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ecocoolcomau-my.sharepoint.com/personal/craig_ecocool_com_au/Documents/Products/"/>
    </mc:Choice>
  </mc:AlternateContent>
  <xr:revisionPtr revIDLastSave="477" documentId="13_ncr:1_{D4D3A8C2-A1D4-4CA3-A51A-9CEEA704516F}" xr6:coauthVersionLast="47" xr6:coauthVersionMax="47" xr10:uidLastSave="{AC977564-5063-465F-B86A-1A96AABB097D}"/>
  <bookViews>
    <workbookView xWindow="28680" yWindow="-120" windowWidth="29040" windowHeight="15840" xr2:uid="{00000000-000D-0000-FFFF-FFFF00000000}"/>
  </bookViews>
  <sheets>
    <sheet name="Packages" sheetId="4" r:id="rId1"/>
    <sheet name="OffGridPackages" sheetId="16" r:id="rId2"/>
    <sheet name="Sheet1" sheetId="14" r:id="rId3"/>
    <sheet name="Sheet2" sheetId="15" r:id="rId4"/>
    <sheet name="ArraysBanks" sheetId="11" r:id="rId5"/>
    <sheet name="Calcs.2" sheetId="9" r:id="rId6"/>
    <sheet name="Calcs" sheetId="6" r:id="rId7"/>
    <sheet name="Load-calcs" sheetId="13" r:id="rId8"/>
    <sheet name="Calculator" sheetId="8" r:id="rId9"/>
    <sheet name="Equipment" sheetId="7" r:id="rId10"/>
    <sheet name="Store-Products" sheetId="2" r:id="rId11"/>
    <sheet name="SolarRegions" sheetId="5" r:id="rId12"/>
    <sheet name="Upload" sheetId="1" r:id="rId13"/>
    <sheet name="Solar-tables" sheetId="10" r:id="rId14"/>
    <sheet name="Loads" sheetId="12" r:id="rId15"/>
    <sheet name=".process" sheetId="3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Array.Type">Calcs!$B$106:$B$110</definedName>
    <definedName name="Batteries">'.process'!$S$3:$S$26</definedName>
    <definedName name="Battery_Banks" localSheetId="7">'[1]Arrays-Banks'!$C$20:$C$36</definedName>
    <definedName name="Battery_Banks" localSheetId="14">'[1]Arrays-Banks'!$C$20:$C$36</definedName>
    <definedName name="Battery_Banks">ArraysBanks!$C$29:$C$45</definedName>
    <definedName name="Battery_Modules">Equipment!$B$50:$B$60</definedName>
    <definedName name="Brands">'.process'!$Y$3:$Y$26</definedName>
    <definedName name="Electrical">'.process'!$W$3:$W$26</definedName>
    <definedName name="Inverter_Chargers" localSheetId="4">[1]Equipment!$A$30:$A$39</definedName>
    <definedName name="Inverter_Chargers" localSheetId="5">[1]Equipment!$A$30:$A$39</definedName>
    <definedName name="Inverter_Chargers" localSheetId="7">[1]Equipment!$A$30:$A$39</definedName>
    <definedName name="Inverter_Chargers" localSheetId="14">[1]Equipment!$A$30:$A$39</definedName>
    <definedName name="Inverter_Chargers" localSheetId="13">[1]Equipment!$A$30:$A$39</definedName>
    <definedName name="Inverter_Chargers">Equipment!$A$36:$A$45</definedName>
    <definedName name="Locations" localSheetId="4">'[1]Solar-tables'!$O$2:$O$11</definedName>
    <definedName name="Locations" localSheetId="7">'[1]Solar-tables'!$O$2:$O$11</definedName>
    <definedName name="Locations" localSheetId="14">'[1]Solar-tables'!$O$2:$O$11</definedName>
    <definedName name="Locations">'Solar-tables'!$O$2:$O$11</definedName>
    <definedName name="Monitoring">'.process'!$V$3:$V$26</definedName>
    <definedName name="Offgrid.Equip">'.process'!$U$3:$U$26</definedName>
    <definedName name="_xlnm.Print_Area" localSheetId="8">Calculator!$A$1:$Z$56</definedName>
    <definedName name="_xlnm.Print_Area" localSheetId="14">Loads!$A$1:$M$93</definedName>
    <definedName name="Solar.Panels">'.process'!$T$3:$T$26</definedName>
    <definedName name="Solar_Arrays" localSheetId="7">'[1]Arrays-Banks'!$C$4:$C$16</definedName>
    <definedName name="Solar_Arrays" localSheetId="14">'[1]Arrays-Banks'!$C$4:$C$16</definedName>
    <definedName name="Solar_Arrays">ArraysBanks!$C$4:$C$16</definedName>
    <definedName name="Solar_Controllers" comment="Solar Controllers">Equipment!$B$5:$B$26</definedName>
    <definedName name="Solar_Panels">Equipment!$B$69:$B$78</definedName>
    <definedName name="StoreCategory">'.process'!$R$2:$AB$2</definedName>
    <definedName name="Subscriptions">'.process'!$X$3:$X$26</definedName>
    <definedName name="Systems">'.process'!$R$3:$R$26</definedName>
    <definedName name="UserProfiles" localSheetId="4">[1]Calcs!$B$106:$B$110</definedName>
    <definedName name="UserProfiles" localSheetId="5">[1]Calcs!$B$106:$B$110</definedName>
    <definedName name="UserProfiles" localSheetId="8">[1]Calcs!$B$106:$B$110</definedName>
    <definedName name="UserProfiles" localSheetId="9">[1]Calcs!$B$106:$B$110</definedName>
    <definedName name="UserProfiles" localSheetId="7">[1]Calcs!$B$106:$B$110</definedName>
    <definedName name="UserProfiles" localSheetId="14">[1]Calcs!$B$106:$B$110</definedName>
    <definedName name="UserProfiles" localSheetId="13">[1]Calcs!$B$106:$B$110</definedName>
    <definedName name="UserProfiles">Calcs!$B$106:$B$110</definedName>
  </definedName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0" i="16" l="1"/>
  <c r="A39" i="16"/>
  <c r="A38" i="16"/>
  <c r="A37" i="16"/>
  <c r="A36" i="16"/>
  <c r="A35" i="16"/>
  <c r="A34" i="16"/>
  <c r="B30" i="16"/>
  <c r="O25" i="16"/>
  <c r="N25" i="16"/>
  <c r="D25" i="16"/>
  <c r="B25" i="16"/>
  <c r="O24" i="16"/>
  <c r="N24" i="16"/>
  <c r="D24" i="16"/>
  <c r="B24" i="16"/>
  <c r="O23" i="16"/>
  <c r="N23" i="16"/>
  <c r="D23" i="16"/>
  <c r="B23" i="16"/>
  <c r="O22" i="16"/>
  <c r="N22" i="16"/>
  <c r="D22" i="16"/>
  <c r="B22" i="16"/>
  <c r="O21" i="16"/>
  <c r="N21" i="16"/>
  <c r="D21" i="16"/>
  <c r="B21" i="16"/>
  <c r="O20" i="16"/>
  <c r="N20" i="16"/>
  <c r="D20" i="16"/>
  <c r="B20" i="16"/>
  <c r="O19" i="16"/>
  <c r="N19" i="16"/>
  <c r="D19" i="16"/>
  <c r="B19" i="16"/>
  <c r="O18" i="16"/>
  <c r="N18" i="16"/>
  <c r="D18" i="16"/>
  <c r="B18" i="16"/>
  <c r="O17" i="16"/>
  <c r="N17" i="16"/>
  <c r="D17" i="16"/>
  <c r="B17" i="16"/>
  <c r="O16" i="16"/>
  <c r="N16" i="16"/>
  <c r="D16" i="16"/>
  <c r="B16" i="16"/>
  <c r="O15" i="16"/>
  <c r="N15" i="16"/>
  <c r="D15" i="16"/>
  <c r="B15" i="16"/>
  <c r="O14" i="16"/>
  <c r="N14" i="16"/>
  <c r="D14" i="16"/>
  <c r="B14" i="16"/>
  <c r="O13" i="16"/>
  <c r="N13" i="16"/>
  <c r="D13" i="16"/>
  <c r="B13" i="16"/>
  <c r="O12" i="16"/>
  <c r="N12" i="16"/>
  <c r="D12" i="16"/>
  <c r="B12" i="16"/>
  <c r="O11" i="16"/>
  <c r="N11" i="16"/>
  <c r="D11" i="16"/>
  <c r="B11" i="16"/>
  <c r="O10" i="16"/>
  <c r="N10" i="16"/>
  <c r="D10" i="16"/>
  <c r="B10" i="16"/>
  <c r="O9" i="16"/>
  <c r="N9" i="16"/>
  <c r="D9" i="16"/>
  <c r="B9" i="16"/>
  <c r="O8" i="16"/>
  <c r="N8" i="16"/>
  <c r="D8" i="16"/>
  <c r="B8" i="16"/>
  <c r="O7" i="16"/>
  <c r="N7" i="16"/>
  <c r="D7" i="16"/>
  <c r="B7" i="16"/>
  <c r="O6" i="16"/>
  <c r="N6" i="16"/>
  <c r="D6" i="16"/>
  <c r="B6" i="16"/>
  <c r="O5" i="16"/>
  <c r="N5" i="16"/>
  <c r="D5" i="16"/>
  <c r="B5" i="16"/>
  <c r="O4" i="16"/>
  <c r="N4" i="16"/>
  <c r="D4" i="16"/>
  <c r="B4" i="16"/>
  <c r="D4" i="4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4" i="11"/>
  <c r="AB24" i="11"/>
  <c r="AB25" i="11"/>
  <c r="AB23" i="11"/>
  <c r="E24" i="11"/>
  <c r="H24" i="11"/>
  <c r="I24" i="11"/>
  <c r="C24" i="11" s="1"/>
  <c r="J24" i="11"/>
  <c r="K24" i="11"/>
  <c r="L24" i="11"/>
  <c r="M24" i="11"/>
  <c r="Y24" i="11" s="1"/>
  <c r="N24" i="11"/>
  <c r="O24" i="11"/>
  <c r="P24" i="11"/>
  <c r="Q24" i="11"/>
  <c r="R24" i="11"/>
  <c r="S24" i="11"/>
  <c r="U24" i="11"/>
  <c r="V24" i="11"/>
  <c r="W24" i="11"/>
  <c r="X24" i="11"/>
  <c r="C25" i="11"/>
  <c r="E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U25" i="11"/>
  <c r="V25" i="11"/>
  <c r="W25" i="11"/>
  <c r="X25" i="11"/>
  <c r="Y25" i="11"/>
  <c r="E23" i="11"/>
  <c r="H23" i="11"/>
  <c r="I23" i="11"/>
  <c r="C23" i="11" s="1"/>
  <c r="J23" i="11"/>
  <c r="K23" i="11"/>
  <c r="L23" i="11"/>
  <c r="M23" i="11"/>
  <c r="Y23" i="11" s="1"/>
  <c r="N23" i="11"/>
  <c r="O23" i="11"/>
  <c r="P23" i="11"/>
  <c r="Q23" i="11"/>
  <c r="R23" i="11"/>
  <c r="S23" i="11"/>
  <c r="U23" i="11"/>
  <c r="V23" i="11"/>
  <c r="W23" i="11"/>
  <c r="X23" i="11"/>
  <c r="AB49" i="11"/>
  <c r="E4" i="4"/>
  <c r="O25" i="7"/>
  <c r="X17" i="11"/>
  <c r="X18" i="11"/>
  <c r="X19" i="11"/>
  <c r="X20" i="11"/>
  <c r="X21" i="11"/>
  <c r="X22" i="11"/>
  <c r="W17" i="11"/>
  <c r="W18" i="11"/>
  <c r="W19" i="11"/>
  <c r="W20" i="11"/>
  <c r="W21" i="11"/>
  <c r="W22" i="11"/>
  <c r="V17" i="11"/>
  <c r="V18" i="11"/>
  <c r="V19" i="11"/>
  <c r="V20" i="11"/>
  <c r="V21" i="11"/>
  <c r="V22" i="11"/>
  <c r="U17" i="11"/>
  <c r="U18" i="11"/>
  <c r="U19" i="11"/>
  <c r="U20" i="11"/>
  <c r="U21" i="11"/>
  <c r="U22" i="11"/>
  <c r="S17" i="11"/>
  <c r="S18" i="11"/>
  <c r="S19" i="11"/>
  <c r="S20" i="11"/>
  <c r="S21" i="11"/>
  <c r="S22" i="11"/>
  <c r="R17" i="11"/>
  <c r="R18" i="11"/>
  <c r="R19" i="11"/>
  <c r="R20" i="11"/>
  <c r="R21" i="11"/>
  <c r="R22" i="11"/>
  <c r="Q17" i="11"/>
  <c r="Q18" i="11"/>
  <c r="Q19" i="11"/>
  <c r="Q20" i="11"/>
  <c r="Q21" i="11"/>
  <c r="Q22" i="11"/>
  <c r="P17" i="11"/>
  <c r="P18" i="11"/>
  <c r="P19" i="11"/>
  <c r="P20" i="11"/>
  <c r="P21" i="11"/>
  <c r="P22" i="11"/>
  <c r="O17" i="11"/>
  <c r="O18" i="11"/>
  <c r="O19" i="11"/>
  <c r="O20" i="11"/>
  <c r="O21" i="11"/>
  <c r="O22" i="11"/>
  <c r="N17" i="11"/>
  <c r="AB17" i="11" s="1"/>
  <c r="N18" i="11"/>
  <c r="AB18" i="11" s="1"/>
  <c r="N19" i="11"/>
  <c r="AB19" i="11" s="1"/>
  <c r="N20" i="11"/>
  <c r="AB20" i="11" s="1"/>
  <c r="N21" i="11"/>
  <c r="AB21" i="11" s="1"/>
  <c r="N22" i="11"/>
  <c r="AB22" i="11" s="1"/>
  <c r="M17" i="11"/>
  <c r="Y17" i="11" s="1"/>
  <c r="M18" i="11"/>
  <c r="Y18" i="11" s="1"/>
  <c r="M19" i="11"/>
  <c r="Y19" i="11" s="1"/>
  <c r="M20" i="11"/>
  <c r="Y20" i="11" s="1"/>
  <c r="M21" i="11"/>
  <c r="Y21" i="11" s="1"/>
  <c r="M22" i="11"/>
  <c r="Y22" i="11" s="1"/>
  <c r="L17" i="11"/>
  <c r="L18" i="11"/>
  <c r="L19" i="11"/>
  <c r="L20" i="11"/>
  <c r="L21" i="11"/>
  <c r="L22" i="11"/>
  <c r="K17" i="11"/>
  <c r="K18" i="11"/>
  <c r="K19" i="11"/>
  <c r="K20" i="11"/>
  <c r="K21" i="11"/>
  <c r="K22" i="11"/>
  <c r="J17" i="11"/>
  <c r="J18" i="11"/>
  <c r="J19" i="11"/>
  <c r="J20" i="11"/>
  <c r="J21" i="11"/>
  <c r="J22" i="11"/>
  <c r="H17" i="11"/>
  <c r="H18" i="11"/>
  <c r="H19" i="11"/>
  <c r="H20" i="11"/>
  <c r="H21" i="11"/>
  <c r="H22" i="11"/>
  <c r="E17" i="11"/>
  <c r="I17" i="11" s="1"/>
  <c r="C17" i="11" s="1"/>
  <c r="E18" i="11"/>
  <c r="I18" i="11" s="1"/>
  <c r="C18" i="11" s="1"/>
  <c r="E19" i="11"/>
  <c r="I19" i="11" s="1"/>
  <c r="C19" i="11" s="1"/>
  <c r="E20" i="11"/>
  <c r="I20" i="11" s="1"/>
  <c r="C20" i="11" s="1"/>
  <c r="E21" i="11"/>
  <c r="I21" i="11" s="1"/>
  <c r="C21" i="11" s="1"/>
  <c r="E22" i="11"/>
  <c r="I22" i="11" s="1"/>
  <c r="C22" i="11" s="1"/>
  <c r="H15" i="11"/>
  <c r="H16" i="11"/>
  <c r="E15" i="11"/>
  <c r="E16" i="11"/>
  <c r="F4" i="4" l="1"/>
  <c r="C87" i="6"/>
  <c r="C88" i="6"/>
  <c r="W31" i="6"/>
  <c r="C45" i="6"/>
  <c r="C43" i="6"/>
  <c r="C42" i="6"/>
  <c r="C39" i="6"/>
  <c r="F2" i="6"/>
  <c r="E2" i="6"/>
  <c r="F251" i="13"/>
  <c r="D223" i="13"/>
  <c r="C223" i="13" s="1"/>
  <c r="D222" i="13"/>
  <c r="D219" i="13"/>
  <c r="D212" i="13"/>
  <c r="D205" i="13"/>
  <c r="D195" i="13"/>
  <c r="C189" i="13"/>
  <c r="B189" i="13"/>
  <c r="J181" i="13"/>
  <c r="D181" i="13"/>
  <c r="D180" i="13"/>
  <c r="D163" i="13"/>
  <c r="E161" i="13"/>
  <c r="D161" i="13"/>
  <c r="D116" i="13"/>
  <c r="D114" i="13"/>
  <c r="D119" i="13" s="1"/>
  <c r="D113" i="13"/>
  <c r="D112" i="13"/>
  <c r="D83" i="13"/>
  <c r="D84" i="13" s="1"/>
  <c r="D80" i="13"/>
  <c r="D81" i="13" s="1"/>
  <c r="D79" i="13"/>
  <c r="D62" i="13"/>
  <c r="B62" i="13"/>
  <c r="D61" i="13"/>
  <c r="B61" i="13"/>
  <c r="C59" i="13"/>
  <c r="D55" i="13"/>
  <c r="C55" i="13"/>
  <c r="B55" i="13"/>
  <c r="D54" i="13"/>
  <c r="C54" i="13"/>
  <c r="B54" i="13"/>
  <c r="D53" i="13"/>
  <c r="B53" i="13"/>
  <c r="D52" i="13"/>
  <c r="D115" i="13" s="1"/>
  <c r="B52" i="13"/>
  <c r="D51" i="13"/>
  <c r="D50" i="13"/>
  <c r="D49" i="13"/>
  <c r="C49" i="13"/>
  <c r="B49" i="13"/>
  <c r="D48" i="13"/>
  <c r="C48" i="13" s="1"/>
  <c r="B48" i="13"/>
  <c r="D47" i="13"/>
  <c r="C47" i="13"/>
  <c r="B47" i="13"/>
  <c r="D46" i="13"/>
  <c r="C46" i="13" s="1"/>
  <c r="B46" i="13"/>
  <c r="D45" i="13"/>
  <c r="C45" i="13"/>
  <c r="B45" i="13"/>
  <c r="D44" i="13"/>
  <c r="C44" i="13" s="1"/>
  <c r="B44" i="13"/>
  <c r="D43" i="13"/>
  <c r="C43" i="13"/>
  <c r="B43" i="13"/>
  <c r="D42" i="13"/>
  <c r="C42" i="13" s="1"/>
  <c r="B42" i="13"/>
  <c r="F5" i="13"/>
  <c r="E4" i="13"/>
  <c r="B4" i="13"/>
  <c r="F2" i="13"/>
  <c r="O132" i="12"/>
  <c r="O131" i="12"/>
  <c r="O128" i="12"/>
  <c r="O127" i="12"/>
  <c r="O124" i="12"/>
  <c r="O123" i="12"/>
  <c r="O120" i="12"/>
  <c r="O119" i="12"/>
  <c r="O116" i="12"/>
  <c r="O115" i="12"/>
  <c r="O112" i="12"/>
  <c r="O111" i="12"/>
  <c r="O108" i="12"/>
  <c r="O107" i="12"/>
  <c r="O104" i="12"/>
  <c r="O103" i="12"/>
  <c r="O100" i="12"/>
  <c r="O99" i="12"/>
  <c r="O96" i="12"/>
  <c r="O95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M91" i="12"/>
  <c r="L91" i="12"/>
  <c r="K91" i="12"/>
  <c r="J91" i="12"/>
  <c r="O91" i="12" s="1"/>
  <c r="I91" i="12"/>
  <c r="H91" i="12"/>
  <c r="G91" i="12"/>
  <c r="F91" i="12"/>
  <c r="E91" i="12"/>
  <c r="D91" i="12"/>
  <c r="C91" i="12"/>
  <c r="B91" i="12"/>
  <c r="O92" i="12" s="1"/>
  <c r="G89" i="12"/>
  <c r="F84" i="12"/>
  <c r="F83" i="12"/>
  <c r="J82" i="12"/>
  <c r="E82" i="12"/>
  <c r="F85" i="12" s="1"/>
  <c r="K80" i="12"/>
  <c r="K82" i="12" s="1"/>
  <c r="K83" i="12" s="1"/>
  <c r="K85" i="12" s="1"/>
  <c r="K78" i="12"/>
  <c r="F77" i="12"/>
  <c r="E77" i="12"/>
  <c r="E76" i="12"/>
  <c r="F76" i="12" s="1"/>
  <c r="F78" i="12" s="1"/>
  <c r="F75" i="12"/>
  <c r="E75" i="12"/>
  <c r="T74" i="12"/>
  <c r="T75" i="12" s="1"/>
  <c r="T76" i="12" s="1"/>
  <c r="J64" i="12" s="1"/>
  <c r="J65" i="12" s="1"/>
  <c r="Q74" i="12"/>
  <c r="F74" i="12"/>
  <c r="E74" i="12"/>
  <c r="F73" i="12"/>
  <c r="E73" i="12"/>
  <c r="E78" i="12" s="1"/>
  <c r="P72" i="12"/>
  <c r="J67" i="12"/>
  <c r="J66" i="12"/>
  <c r="C63" i="12"/>
  <c r="H62" i="12"/>
  <c r="J61" i="12"/>
  <c r="H61" i="12"/>
  <c r="E52" i="12"/>
  <c r="D52" i="12" s="1"/>
  <c r="E51" i="12"/>
  <c r="E47" i="12"/>
  <c r="D47" i="12"/>
  <c r="E46" i="12"/>
  <c r="D46" i="12"/>
  <c r="J45" i="12"/>
  <c r="E45" i="12"/>
  <c r="D45" i="12" s="1"/>
  <c r="J44" i="12"/>
  <c r="G44" i="12"/>
  <c r="I44" i="12" s="1"/>
  <c r="E44" i="12"/>
  <c r="D44" i="12"/>
  <c r="G43" i="12"/>
  <c r="J43" i="12" s="1"/>
  <c r="E43" i="12"/>
  <c r="D43" i="12" s="1"/>
  <c r="E42" i="12"/>
  <c r="D42" i="12" s="1"/>
  <c r="K34" i="12"/>
  <c r="J34" i="12"/>
  <c r="I34" i="12"/>
  <c r="H34" i="12"/>
  <c r="G34" i="12"/>
  <c r="F34" i="12"/>
  <c r="E34" i="12"/>
  <c r="D34" i="12"/>
  <c r="C34" i="12"/>
  <c r="V33" i="12"/>
  <c r="U33" i="12"/>
  <c r="O33" i="12"/>
  <c r="L33" i="12"/>
  <c r="V32" i="12"/>
  <c r="P32" i="12"/>
  <c r="L32" i="12"/>
  <c r="O32" i="12" s="1"/>
  <c r="U32" i="12" s="1"/>
  <c r="V31" i="12"/>
  <c r="O31" i="12"/>
  <c r="U31" i="12" s="1"/>
  <c r="L31" i="12"/>
  <c r="V30" i="12"/>
  <c r="L30" i="12"/>
  <c r="O30" i="12" s="1"/>
  <c r="U30" i="12" s="1"/>
  <c r="V29" i="12"/>
  <c r="L29" i="12"/>
  <c r="O29" i="12" s="1"/>
  <c r="U29" i="12" s="1"/>
  <c r="V28" i="12"/>
  <c r="L28" i="12"/>
  <c r="O28" i="12" s="1"/>
  <c r="U28" i="12" s="1"/>
  <c r="V27" i="12"/>
  <c r="U27" i="12"/>
  <c r="O27" i="12"/>
  <c r="L27" i="12"/>
  <c r="V26" i="12"/>
  <c r="L26" i="12"/>
  <c r="O26" i="12" s="1"/>
  <c r="U26" i="12" s="1"/>
  <c r="V25" i="12"/>
  <c r="O25" i="12"/>
  <c r="U25" i="12" s="1"/>
  <c r="L25" i="12"/>
  <c r="V24" i="12"/>
  <c r="L24" i="12"/>
  <c r="O24" i="12" s="1"/>
  <c r="U24" i="12" s="1"/>
  <c r="V23" i="12"/>
  <c r="U23" i="12"/>
  <c r="O23" i="12"/>
  <c r="L23" i="12"/>
  <c r="V22" i="12"/>
  <c r="L22" i="12"/>
  <c r="O22" i="12" s="1"/>
  <c r="U22" i="12" s="1"/>
  <c r="V21" i="12"/>
  <c r="O21" i="12"/>
  <c r="U21" i="12" s="1"/>
  <c r="L21" i="12"/>
  <c r="V20" i="12"/>
  <c r="L20" i="12"/>
  <c r="O20" i="12" s="1"/>
  <c r="U20" i="12" s="1"/>
  <c r="V19" i="12"/>
  <c r="U19" i="12"/>
  <c r="O19" i="12"/>
  <c r="L19" i="12"/>
  <c r="V18" i="12"/>
  <c r="L18" i="12"/>
  <c r="O18" i="12" s="1"/>
  <c r="U18" i="12" s="1"/>
  <c r="V17" i="12"/>
  <c r="O17" i="12"/>
  <c r="U17" i="12" s="1"/>
  <c r="L17" i="12"/>
  <c r="X16" i="12"/>
  <c r="P22" i="12" s="1"/>
  <c r="V16" i="12"/>
  <c r="L16" i="12"/>
  <c r="O16" i="12" s="1"/>
  <c r="U16" i="12" s="1"/>
  <c r="X15" i="12"/>
  <c r="V15" i="12"/>
  <c r="P15" i="12"/>
  <c r="L15" i="12"/>
  <c r="O15" i="12" s="1"/>
  <c r="U15" i="12" s="1"/>
  <c r="V14" i="12"/>
  <c r="O14" i="12"/>
  <c r="U14" i="12" s="1"/>
  <c r="L14" i="12"/>
  <c r="V13" i="12"/>
  <c r="P13" i="12"/>
  <c r="L13" i="12"/>
  <c r="O13" i="12" s="1"/>
  <c r="U13" i="12" s="1"/>
  <c r="V12" i="12"/>
  <c r="O12" i="12"/>
  <c r="U12" i="12" s="1"/>
  <c r="L12" i="12"/>
  <c r="V11" i="12"/>
  <c r="P11" i="12"/>
  <c r="L11" i="12"/>
  <c r="O11" i="12" s="1"/>
  <c r="U11" i="12" s="1"/>
  <c r="V10" i="12"/>
  <c r="P10" i="12"/>
  <c r="L10" i="12"/>
  <c r="L34" i="12" s="1"/>
  <c r="K9" i="12"/>
  <c r="J9" i="12"/>
  <c r="I9" i="12"/>
  <c r="H9" i="12"/>
  <c r="G9" i="12"/>
  <c r="F9" i="12"/>
  <c r="E9" i="12"/>
  <c r="D9" i="12"/>
  <c r="L9" i="12" s="1"/>
  <c r="C9" i="12"/>
  <c r="L3" i="12"/>
  <c r="F3" i="12"/>
  <c r="D3" i="12"/>
  <c r="M2" i="12"/>
  <c r="M1" i="12"/>
  <c r="M45" i="11"/>
  <c r="L45" i="11"/>
  <c r="K45" i="11"/>
  <c r="H45" i="11"/>
  <c r="I45" i="11" s="1"/>
  <c r="E45" i="11"/>
  <c r="M44" i="11"/>
  <c r="L44" i="11"/>
  <c r="K44" i="11"/>
  <c r="H44" i="11"/>
  <c r="I44" i="11" s="1"/>
  <c r="E44" i="11"/>
  <c r="M43" i="11"/>
  <c r="L43" i="11"/>
  <c r="K43" i="11"/>
  <c r="H43" i="11"/>
  <c r="I43" i="11" s="1"/>
  <c r="E43" i="11"/>
  <c r="M42" i="11"/>
  <c r="L42" i="11"/>
  <c r="K42" i="11"/>
  <c r="H42" i="11"/>
  <c r="I42" i="11" s="1"/>
  <c r="E42" i="11"/>
  <c r="M41" i="11"/>
  <c r="L41" i="11"/>
  <c r="K41" i="11"/>
  <c r="H41" i="11"/>
  <c r="I41" i="11" s="1"/>
  <c r="E41" i="11"/>
  <c r="M40" i="11"/>
  <c r="L40" i="11"/>
  <c r="K40" i="11"/>
  <c r="H40" i="11"/>
  <c r="I40" i="11" s="1"/>
  <c r="E40" i="11"/>
  <c r="M39" i="11"/>
  <c r="L39" i="11"/>
  <c r="K39" i="11"/>
  <c r="H39" i="11"/>
  <c r="I39" i="11" s="1"/>
  <c r="E39" i="11"/>
  <c r="M38" i="11"/>
  <c r="L38" i="11"/>
  <c r="K38" i="11"/>
  <c r="H38" i="11"/>
  <c r="I38" i="11" s="1"/>
  <c r="E38" i="11"/>
  <c r="M37" i="11"/>
  <c r="L37" i="11"/>
  <c r="K37" i="11"/>
  <c r="H37" i="11"/>
  <c r="I37" i="11" s="1"/>
  <c r="E37" i="11"/>
  <c r="M36" i="11"/>
  <c r="L36" i="11"/>
  <c r="K36" i="11"/>
  <c r="H36" i="11"/>
  <c r="I36" i="11" s="1"/>
  <c r="E36" i="11"/>
  <c r="M35" i="11"/>
  <c r="L35" i="11"/>
  <c r="K35" i="11"/>
  <c r="H35" i="11"/>
  <c r="I35" i="11" s="1"/>
  <c r="E35" i="11"/>
  <c r="M34" i="11"/>
  <c r="L34" i="11"/>
  <c r="K34" i="11"/>
  <c r="H34" i="11"/>
  <c r="I34" i="11" s="1"/>
  <c r="E34" i="11"/>
  <c r="M33" i="11"/>
  <c r="L33" i="11"/>
  <c r="K33" i="11"/>
  <c r="H33" i="11"/>
  <c r="I33" i="11" s="1"/>
  <c r="E33" i="11"/>
  <c r="M32" i="11"/>
  <c r="L32" i="11"/>
  <c r="K32" i="11"/>
  <c r="H32" i="11"/>
  <c r="I32" i="11" s="1"/>
  <c r="E32" i="11"/>
  <c r="M31" i="11"/>
  <c r="L31" i="11"/>
  <c r="K31" i="11"/>
  <c r="H31" i="11"/>
  <c r="I31" i="11" s="1"/>
  <c r="E31" i="11"/>
  <c r="M30" i="11"/>
  <c r="L30" i="11"/>
  <c r="K30" i="11"/>
  <c r="H30" i="11"/>
  <c r="I30" i="11" s="1"/>
  <c r="E30" i="11"/>
  <c r="M29" i="11"/>
  <c r="L29" i="11"/>
  <c r="K29" i="11"/>
  <c r="H29" i="11"/>
  <c r="I29" i="11" s="1"/>
  <c r="E29" i="11"/>
  <c r="X16" i="11"/>
  <c r="W16" i="11"/>
  <c r="V16" i="11"/>
  <c r="U16" i="11"/>
  <c r="S16" i="11"/>
  <c r="R16" i="11"/>
  <c r="Q16" i="11"/>
  <c r="P16" i="11"/>
  <c r="O16" i="11"/>
  <c r="N16" i="11"/>
  <c r="AB16" i="11" s="1"/>
  <c r="M16" i="11"/>
  <c r="Y16" i="11" s="1"/>
  <c r="L16" i="11"/>
  <c r="K16" i="11"/>
  <c r="J16" i="11"/>
  <c r="I16" i="11"/>
  <c r="C16" i="11" s="1"/>
  <c r="X15" i="11"/>
  <c r="W15" i="11"/>
  <c r="V15" i="11"/>
  <c r="U15" i="11"/>
  <c r="S15" i="11"/>
  <c r="R15" i="11"/>
  <c r="Q15" i="11"/>
  <c r="P15" i="11"/>
  <c r="O15" i="11"/>
  <c r="N15" i="11"/>
  <c r="AB15" i="11" s="1"/>
  <c r="M15" i="11"/>
  <c r="Y15" i="11" s="1"/>
  <c r="L15" i="11"/>
  <c r="K15" i="11"/>
  <c r="J15" i="11"/>
  <c r="I15" i="11"/>
  <c r="C15" i="11" s="1"/>
  <c r="X14" i="11"/>
  <c r="W14" i="11"/>
  <c r="V14" i="11"/>
  <c r="U14" i="11"/>
  <c r="S14" i="11"/>
  <c r="R14" i="11"/>
  <c r="Q14" i="11"/>
  <c r="P14" i="11"/>
  <c r="O14" i="11"/>
  <c r="N14" i="11"/>
  <c r="AB14" i="11" s="1"/>
  <c r="M14" i="11"/>
  <c r="Y14" i="11" s="1"/>
  <c r="L14" i="11"/>
  <c r="K14" i="11"/>
  <c r="J14" i="11"/>
  <c r="H14" i="11"/>
  <c r="E14" i="11"/>
  <c r="I14" i="11" s="1"/>
  <c r="C14" i="11" s="1"/>
  <c r="X13" i="11"/>
  <c r="W13" i="11"/>
  <c r="V13" i="11"/>
  <c r="U13" i="11"/>
  <c r="S13" i="11"/>
  <c r="R13" i="11"/>
  <c r="Q13" i="11"/>
  <c r="P13" i="11"/>
  <c r="O13" i="11"/>
  <c r="N13" i="11"/>
  <c r="AB13" i="11" s="1"/>
  <c r="M13" i="11"/>
  <c r="Y13" i="11" s="1"/>
  <c r="L13" i="11"/>
  <c r="K13" i="11"/>
  <c r="J13" i="11"/>
  <c r="H13" i="11"/>
  <c r="E13" i="11"/>
  <c r="I13" i="11" s="1"/>
  <c r="C13" i="11" s="1"/>
  <c r="X12" i="11"/>
  <c r="W12" i="11"/>
  <c r="V12" i="11"/>
  <c r="U12" i="11"/>
  <c r="S12" i="11"/>
  <c r="R12" i="11"/>
  <c r="Q12" i="11"/>
  <c r="P12" i="11"/>
  <c r="O12" i="11"/>
  <c r="N12" i="11"/>
  <c r="AB12" i="11" s="1"/>
  <c r="M12" i="11"/>
  <c r="Y12" i="11" s="1"/>
  <c r="L12" i="11"/>
  <c r="K12" i="11"/>
  <c r="J12" i="11"/>
  <c r="H12" i="11"/>
  <c r="E12" i="11"/>
  <c r="I12" i="11" s="1"/>
  <c r="C12" i="11" s="1"/>
  <c r="X11" i="11"/>
  <c r="W11" i="11"/>
  <c r="V11" i="11"/>
  <c r="U11" i="11"/>
  <c r="S11" i="11"/>
  <c r="R11" i="11"/>
  <c r="Q11" i="11"/>
  <c r="P11" i="11"/>
  <c r="O11" i="11"/>
  <c r="N11" i="11"/>
  <c r="AB11" i="11" s="1"/>
  <c r="M11" i="11"/>
  <c r="Y11" i="11" s="1"/>
  <c r="L11" i="11"/>
  <c r="K11" i="11"/>
  <c r="J11" i="11"/>
  <c r="H11" i="11"/>
  <c r="E11" i="11"/>
  <c r="I11" i="11" s="1"/>
  <c r="C11" i="11" s="1"/>
  <c r="X10" i="11"/>
  <c r="W10" i="11"/>
  <c r="V10" i="11"/>
  <c r="U10" i="11"/>
  <c r="S10" i="11"/>
  <c r="R10" i="11"/>
  <c r="Q10" i="11"/>
  <c r="P10" i="11"/>
  <c r="O10" i="11"/>
  <c r="N10" i="11"/>
  <c r="AB10" i="11" s="1"/>
  <c r="M10" i="11"/>
  <c r="Y10" i="11" s="1"/>
  <c r="L10" i="11"/>
  <c r="K10" i="11"/>
  <c r="J10" i="11"/>
  <c r="H10" i="11"/>
  <c r="E10" i="11"/>
  <c r="I10" i="11" s="1"/>
  <c r="C10" i="11" s="1"/>
  <c r="X9" i="11"/>
  <c r="W9" i="11"/>
  <c r="V9" i="11"/>
  <c r="U9" i="11"/>
  <c r="S9" i="11"/>
  <c r="R9" i="11"/>
  <c r="Q9" i="11"/>
  <c r="P9" i="11"/>
  <c r="O9" i="11"/>
  <c r="N9" i="11"/>
  <c r="AB9" i="11" s="1"/>
  <c r="M9" i="11"/>
  <c r="Y9" i="11" s="1"/>
  <c r="L9" i="11"/>
  <c r="K9" i="11"/>
  <c r="J9" i="11"/>
  <c r="H9" i="11"/>
  <c r="E9" i="11"/>
  <c r="I9" i="11" s="1"/>
  <c r="C9" i="11" s="1"/>
  <c r="X8" i="11"/>
  <c r="W8" i="11"/>
  <c r="V8" i="11"/>
  <c r="U8" i="11"/>
  <c r="S8" i="11"/>
  <c r="R8" i="11"/>
  <c r="Q8" i="11"/>
  <c r="P8" i="11"/>
  <c r="O8" i="11"/>
  <c r="N8" i="11"/>
  <c r="AB8" i="11" s="1"/>
  <c r="M8" i="11"/>
  <c r="Y8" i="11" s="1"/>
  <c r="L8" i="11"/>
  <c r="K8" i="11"/>
  <c r="J8" i="11"/>
  <c r="H8" i="11"/>
  <c r="E8" i="11"/>
  <c r="I8" i="11" s="1"/>
  <c r="C8" i="11" s="1"/>
  <c r="Y7" i="11"/>
  <c r="X7" i="11"/>
  <c r="W7" i="11"/>
  <c r="V7" i="11"/>
  <c r="U7" i="11"/>
  <c r="S7" i="11"/>
  <c r="R7" i="11"/>
  <c r="Q7" i="11"/>
  <c r="P7" i="11"/>
  <c r="O7" i="11"/>
  <c r="N7" i="11"/>
  <c r="AB7" i="11" s="1"/>
  <c r="M7" i="11"/>
  <c r="L7" i="11"/>
  <c r="K7" i="11"/>
  <c r="J7" i="11"/>
  <c r="H7" i="11"/>
  <c r="E7" i="11"/>
  <c r="I7" i="11" s="1"/>
  <c r="C7" i="11" s="1"/>
  <c r="X6" i="11"/>
  <c r="W6" i="11"/>
  <c r="V6" i="11"/>
  <c r="U6" i="11"/>
  <c r="S6" i="11"/>
  <c r="R6" i="11"/>
  <c r="Q6" i="11"/>
  <c r="P6" i="11"/>
  <c r="O6" i="11"/>
  <c r="N6" i="11"/>
  <c r="AB6" i="11" s="1"/>
  <c r="M6" i="11"/>
  <c r="Y6" i="11" s="1"/>
  <c r="L6" i="11"/>
  <c r="K6" i="11"/>
  <c r="J6" i="11"/>
  <c r="H6" i="11"/>
  <c r="E6" i="11"/>
  <c r="I6" i="11" s="1"/>
  <c r="C6" i="11" s="1"/>
  <c r="X5" i="11"/>
  <c r="W5" i="11"/>
  <c r="V5" i="11"/>
  <c r="U5" i="11"/>
  <c r="S5" i="11"/>
  <c r="R5" i="11"/>
  <c r="Q5" i="11"/>
  <c r="P5" i="11"/>
  <c r="O5" i="11"/>
  <c r="N5" i="11"/>
  <c r="AB5" i="11" s="1"/>
  <c r="M5" i="11"/>
  <c r="Y5" i="11" s="1"/>
  <c r="L5" i="11"/>
  <c r="K5" i="11"/>
  <c r="J5" i="11"/>
  <c r="H5" i="11"/>
  <c r="E5" i="11"/>
  <c r="I5" i="11" s="1"/>
  <c r="C5" i="11" s="1"/>
  <c r="X4" i="11"/>
  <c r="W4" i="11"/>
  <c r="V4" i="11"/>
  <c r="U4" i="11"/>
  <c r="S4" i="11"/>
  <c r="R4" i="11"/>
  <c r="Q4" i="11"/>
  <c r="P4" i="11"/>
  <c r="O4" i="11"/>
  <c r="N4" i="11"/>
  <c r="AB4" i="11" s="1"/>
  <c r="M4" i="11"/>
  <c r="Y4" i="11" s="1"/>
  <c r="L4" i="11"/>
  <c r="K4" i="11"/>
  <c r="J4" i="11"/>
  <c r="H4" i="11"/>
  <c r="E4" i="11"/>
  <c r="I4" i="11" s="1"/>
  <c r="C4" i="11" s="1"/>
  <c r="CN394" i="10"/>
  <c r="CG394" i="10"/>
  <c r="BZ394" i="10"/>
  <c r="BS394" i="10"/>
  <c r="BL394" i="10"/>
  <c r="BE394" i="10"/>
  <c r="AX394" i="10"/>
  <c r="AQ394" i="10"/>
  <c r="AJ394" i="10"/>
  <c r="AC394" i="10"/>
  <c r="V394" i="10"/>
  <c r="O394" i="10"/>
  <c r="CN354" i="10"/>
  <c r="CG354" i="10"/>
  <c r="BZ354" i="10"/>
  <c r="BS354" i="10"/>
  <c r="BL354" i="10"/>
  <c r="BE354" i="10"/>
  <c r="AX354" i="10"/>
  <c r="AQ354" i="10"/>
  <c r="AJ354" i="10"/>
  <c r="AC354" i="10"/>
  <c r="V354" i="10"/>
  <c r="O354" i="10"/>
  <c r="CN313" i="10"/>
  <c r="CG313" i="10"/>
  <c r="BZ313" i="10"/>
  <c r="BS313" i="10"/>
  <c r="BL313" i="10"/>
  <c r="BE313" i="10"/>
  <c r="AX313" i="10"/>
  <c r="AQ313" i="10"/>
  <c r="AJ313" i="10"/>
  <c r="AC313" i="10"/>
  <c r="V313" i="10"/>
  <c r="O313" i="10"/>
  <c r="CN272" i="10"/>
  <c r="CG272" i="10"/>
  <c r="BZ272" i="10"/>
  <c r="BS272" i="10"/>
  <c r="BL272" i="10"/>
  <c r="BE272" i="10"/>
  <c r="AX272" i="10"/>
  <c r="AQ272" i="10"/>
  <c r="AJ272" i="10"/>
  <c r="AC272" i="10"/>
  <c r="V272" i="10"/>
  <c r="O272" i="10"/>
  <c r="CN231" i="10"/>
  <c r="CG231" i="10"/>
  <c r="BZ231" i="10"/>
  <c r="BS231" i="10"/>
  <c r="BL231" i="10"/>
  <c r="BE231" i="10"/>
  <c r="AX231" i="10"/>
  <c r="AQ231" i="10"/>
  <c r="AJ231" i="10"/>
  <c r="AC231" i="10"/>
  <c r="V231" i="10"/>
  <c r="O231" i="10"/>
  <c r="CN190" i="10"/>
  <c r="CG190" i="10"/>
  <c r="BZ190" i="10"/>
  <c r="BS190" i="10"/>
  <c r="BL190" i="10"/>
  <c r="BE190" i="10"/>
  <c r="AX190" i="10"/>
  <c r="AQ190" i="10"/>
  <c r="AJ190" i="10"/>
  <c r="AC190" i="10"/>
  <c r="V190" i="10"/>
  <c r="O190" i="10"/>
  <c r="CN149" i="10"/>
  <c r="CG149" i="10"/>
  <c r="BZ149" i="10"/>
  <c r="BS149" i="10"/>
  <c r="BL149" i="10"/>
  <c r="BE149" i="10"/>
  <c r="AX149" i="10"/>
  <c r="AQ149" i="10"/>
  <c r="AJ149" i="10"/>
  <c r="AC149" i="10"/>
  <c r="V149" i="10"/>
  <c r="O149" i="10"/>
  <c r="CN108" i="10"/>
  <c r="CG108" i="10"/>
  <c r="BZ108" i="10"/>
  <c r="BS108" i="10"/>
  <c r="BL108" i="10"/>
  <c r="BE108" i="10"/>
  <c r="AX108" i="10"/>
  <c r="AQ108" i="10"/>
  <c r="AJ108" i="10"/>
  <c r="AC108" i="10"/>
  <c r="V108" i="10"/>
  <c r="O108" i="10"/>
  <c r="CN67" i="10"/>
  <c r="CG67" i="10"/>
  <c r="BZ67" i="10"/>
  <c r="BS67" i="10"/>
  <c r="BL67" i="10"/>
  <c r="BE67" i="10"/>
  <c r="AX67" i="10"/>
  <c r="AQ67" i="10"/>
  <c r="AJ67" i="10"/>
  <c r="AC67" i="10"/>
  <c r="V67" i="10"/>
  <c r="O67" i="10"/>
  <c r="CN26" i="10"/>
  <c r="CG26" i="10"/>
  <c r="BZ26" i="10"/>
  <c r="BS26" i="10"/>
  <c r="BL26" i="10"/>
  <c r="BE26" i="10"/>
  <c r="AX26" i="10"/>
  <c r="AQ26" i="10"/>
  <c r="AJ26" i="10"/>
  <c r="AC26" i="10"/>
  <c r="V26" i="10"/>
  <c r="O26" i="10"/>
  <c r="M20" i="10"/>
  <c r="M18" i="10"/>
  <c r="L18" i="10"/>
  <c r="K18" i="10"/>
  <c r="J18" i="10"/>
  <c r="I18" i="10"/>
  <c r="H18" i="10"/>
  <c r="G18" i="10"/>
  <c r="F18" i="10"/>
  <c r="E18" i="10"/>
  <c r="D18" i="10"/>
  <c r="M91" i="9"/>
  <c r="M90" i="9"/>
  <c r="M89" i="9"/>
  <c r="M88" i="9"/>
  <c r="M87" i="9"/>
  <c r="M86" i="9"/>
  <c r="C86" i="9"/>
  <c r="M85" i="9"/>
  <c r="C85" i="9"/>
  <c r="C92" i="9" s="1"/>
  <c r="M84" i="9"/>
  <c r="M83" i="9"/>
  <c r="M82" i="9"/>
  <c r="M81" i="9"/>
  <c r="C75" i="9"/>
  <c r="X64" i="9"/>
  <c r="Q59" i="9"/>
  <c r="O58" i="9"/>
  <c r="O64" i="9" s="1"/>
  <c r="O57" i="9"/>
  <c r="O55" i="9"/>
  <c r="V52" i="9"/>
  <c r="P52" i="9"/>
  <c r="Q52" i="9" s="1"/>
  <c r="C49" i="9"/>
  <c r="N46" i="9"/>
  <c r="L45" i="9"/>
  <c r="N43" i="9"/>
  <c r="C43" i="9"/>
  <c r="N42" i="9"/>
  <c r="C41" i="9"/>
  <c r="C40" i="9"/>
  <c r="E38" i="9"/>
  <c r="Y37" i="9"/>
  <c r="X37" i="9"/>
  <c r="W37" i="9"/>
  <c r="V37" i="9"/>
  <c r="U37" i="9"/>
  <c r="T37" i="9"/>
  <c r="S37" i="9"/>
  <c r="R37" i="9"/>
  <c r="Q37" i="9"/>
  <c r="P37" i="9"/>
  <c r="O37" i="9"/>
  <c r="N37" i="9"/>
  <c r="E37" i="9"/>
  <c r="D37" i="9"/>
  <c r="C37" i="9"/>
  <c r="E88" i="9" s="1"/>
  <c r="E89" i="9" s="1"/>
  <c r="Y36" i="9"/>
  <c r="X36" i="9"/>
  <c r="X28" i="9" s="1"/>
  <c r="W36" i="9"/>
  <c r="V36" i="9"/>
  <c r="V28" i="9" s="1"/>
  <c r="U36" i="9"/>
  <c r="T36" i="9"/>
  <c r="T28" i="9" s="1"/>
  <c r="S36" i="9"/>
  <c r="R36" i="9"/>
  <c r="R28" i="9" s="1"/>
  <c r="Q36" i="9"/>
  <c r="P36" i="9"/>
  <c r="P28" i="9" s="1"/>
  <c r="O36" i="9"/>
  <c r="N36" i="9"/>
  <c r="N28" i="9" s="1"/>
  <c r="Y35" i="9"/>
  <c r="X35" i="9"/>
  <c r="W35" i="9"/>
  <c r="V35" i="9"/>
  <c r="U35" i="9"/>
  <c r="T35" i="9"/>
  <c r="S35" i="9"/>
  <c r="R35" i="9"/>
  <c r="Q35" i="9"/>
  <c r="P35" i="9"/>
  <c r="O35" i="9"/>
  <c r="N35" i="9"/>
  <c r="I35" i="9"/>
  <c r="Y34" i="9"/>
  <c r="X34" i="9"/>
  <c r="W34" i="9"/>
  <c r="V34" i="9"/>
  <c r="U34" i="9"/>
  <c r="T34" i="9"/>
  <c r="S34" i="9"/>
  <c r="R34" i="9"/>
  <c r="Q34" i="9"/>
  <c r="P34" i="9"/>
  <c r="O34" i="9"/>
  <c r="N34" i="9"/>
  <c r="Y33" i="9"/>
  <c r="X33" i="9"/>
  <c r="W33" i="9"/>
  <c r="V33" i="9"/>
  <c r="U33" i="9"/>
  <c r="T33" i="9"/>
  <c r="S33" i="9"/>
  <c r="R33" i="9"/>
  <c r="Q33" i="9"/>
  <c r="P33" i="9"/>
  <c r="O33" i="9"/>
  <c r="N33" i="9"/>
  <c r="I33" i="9"/>
  <c r="Y32" i="9"/>
  <c r="X32" i="9"/>
  <c r="W32" i="9"/>
  <c r="V32" i="9"/>
  <c r="U32" i="9"/>
  <c r="T32" i="9"/>
  <c r="S32" i="9"/>
  <c r="R32" i="9"/>
  <c r="Q32" i="9"/>
  <c r="P32" i="9"/>
  <c r="O32" i="9"/>
  <c r="N32" i="9"/>
  <c r="Y31" i="9"/>
  <c r="X31" i="9"/>
  <c r="W31" i="9"/>
  <c r="V31" i="9"/>
  <c r="U31" i="9"/>
  <c r="T31" i="9"/>
  <c r="S31" i="9"/>
  <c r="R31" i="9"/>
  <c r="Q31" i="9"/>
  <c r="P31" i="9"/>
  <c r="O31" i="9"/>
  <c r="N31" i="9"/>
  <c r="Y30" i="9"/>
  <c r="X30" i="9"/>
  <c r="W30" i="9"/>
  <c r="V30" i="9"/>
  <c r="U30" i="9"/>
  <c r="T30" i="9"/>
  <c r="S30" i="9"/>
  <c r="R30" i="9"/>
  <c r="Q30" i="9"/>
  <c r="P30" i="9"/>
  <c r="O30" i="9"/>
  <c r="N30" i="9"/>
  <c r="Y29" i="9"/>
  <c r="X29" i="9"/>
  <c r="W29" i="9"/>
  <c r="V29" i="9"/>
  <c r="U29" i="9"/>
  <c r="T29" i="9"/>
  <c r="S29" i="9"/>
  <c r="R29" i="9"/>
  <c r="Q29" i="9"/>
  <c r="P29" i="9"/>
  <c r="O29" i="9"/>
  <c r="N29" i="9"/>
  <c r="I29" i="9"/>
  <c r="I30" i="9" s="1"/>
  <c r="Y28" i="9"/>
  <c r="W28" i="9"/>
  <c r="U28" i="9"/>
  <c r="S28" i="9"/>
  <c r="Q28" i="9"/>
  <c r="O28" i="9"/>
  <c r="C27" i="9"/>
  <c r="C26" i="9"/>
  <c r="C25" i="9"/>
  <c r="C24" i="9"/>
  <c r="C28" i="9" s="1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C23" i="9"/>
  <c r="Y22" i="9"/>
  <c r="X22" i="9"/>
  <c r="W22" i="9"/>
  <c r="V22" i="9"/>
  <c r="U22" i="9"/>
  <c r="T22" i="9"/>
  <c r="S22" i="9"/>
  <c r="R22" i="9"/>
  <c r="Q22" i="9"/>
  <c r="P22" i="9"/>
  <c r="O22" i="9"/>
  <c r="N22" i="9"/>
  <c r="C21" i="9"/>
  <c r="AE19" i="9"/>
  <c r="AD31" i="9" s="1"/>
  <c r="AO18" i="9"/>
  <c r="AK18" i="9"/>
  <c r="AG18" i="9"/>
  <c r="AE18" i="9"/>
  <c r="AE17" i="9"/>
  <c r="AD30" i="9" s="1"/>
  <c r="C17" i="9"/>
  <c r="J15" i="9"/>
  <c r="J14" i="9"/>
  <c r="Z13" i="9"/>
  <c r="J13" i="9"/>
  <c r="C12" i="9"/>
  <c r="C11" i="9"/>
  <c r="Y10" i="9"/>
  <c r="L10" i="9"/>
  <c r="L9" i="9"/>
  <c r="Y7" i="9"/>
  <c r="O7" i="9"/>
  <c r="J7" i="9"/>
  <c r="C5" i="9"/>
  <c r="C35" i="9" s="1"/>
  <c r="E35" i="9" s="1"/>
  <c r="F2" i="9"/>
  <c r="Y8" i="9" s="1"/>
  <c r="E2" i="9"/>
  <c r="F1" i="9"/>
  <c r="R46" i="8"/>
  <c r="Q46" i="8"/>
  <c r="O46" i="8"/>
  <c r="M46" i="8"/>
  <c r="R45" i="8"/>
  <c r="Q45" i="8"/>
  <c r="R43" i="8"/>
  <c r="Q43" i="8"/>
  <c r="N43" i="8"/>
  <c r="R42" i="8"/>
  <c r="Q42" i="8"/>
  <c r="N42" i="8"/>
  <c r="E35" i="8"/>
  <c r="Y34" i="8"/>
  <c r="X34" i="8"/>
  <c r="E34" i="8"/>
  <c r="E29" i="8"/>
  <c r="E30" i="8" s="1"/>
  <c r="C29" i="8"/>
  <c r="E28" i="8"/>
  <c r="AG26" i="8"/>
  <c r="AG25" i="8"/>
  <c r="E25" i="8"/>
  <c r="AG24" i="8"/>
  <c r="AG23" i="8"/>
  <c r="AB23" i="8" a="1"/>
  <c r="AB23" i="8" s="1"/>
  <c r="AH22" i="8"/>
  <c r="AG22" i="8"/>
  <c r="AH21" i="8"/>
  <c r="AG21" i="8"/>
  <c r="AB21" i="8"/>
  <c r="AH20" i="8"/>
  <c r="AG20" i="8"/>
  <c r="AB20" i="8"/>
  <c r="E7" i="8" s="1"/>
  <c r="N45" i="8" s="1"/>
  <c r="N47" i="8" s="1"/>
  <c r="AH19" i="8"/>
  <c r="AG19" i="8"/>
  <c r="AH18" i="8"/>
  <c r="AG18" i="8"/>
  <c r="AH17" i="8"/>
  <c r="AG17" i="8"/>
  <c r="AH16" i="8"/>
  <c r="AG16" i="8"/>
  <c r="E16" i="8"/>
  <c r="Q44" i="8" s="1"/>
  <c r="E16" i="8" a="1"/>
  <c r="AH15" i="8"/>
  <c r="AG15" i="8"/>
  <c r="AH14" i="8"/>
  <c r="AH13" i="8"/>
  <c r="AH12" i="8"/>
  <c r="I11" i="8"/>
  <c r="E11" i="8" a="1"/>
  <c r="E11" i="8" s="1"/>
  <c r="F8" i="8"/>
  <c r="E8" i="8"/>
  <c r="F7" i="8"/>
  <c r="N46" i="8" s="1"/>
  <c r="E4" i="8"/>
  <c r="I2" i="8"/>
  <c r="H1" i="8"/>
  <c r="A36" i="7"/>
  <c r="A37" i="7"/>
  <c r="A38" i="7"/>
  <c r="Q38" i="7"/>
  <c r="S38" i="7"/>
  <c r="A39" i="7"/>
  <c r="A40" i="7"/>
  <c r="A41" i="7"/>
  <c r="F42" i="7"/>
  <c r="A42" i="7" s="1"/>
  <c r="Q42" i="7"/>
  <c r="S42" i="7"/>
  <c r="A43" i="7"/>
  <c r="AB24" i="8" s="1" a="1"/>
  <c r="AB24" i="8" s="1"/>
  <c r="E14" i="8" s="1"/>
  <c r="C77" i="6" s="1"/>
  <c r="Q43" i="7"/>
  <c r="S43" i="7"/>
  <c r="A44" i="7"/>
  <c r="A45" i="7"/>
  <c r="A46" i="7"/>
  <c r="S50" i="7"/>
  <c r="S51" i="7"/>
  <c r="S52" i="7"/>
  <c r="S53" i="7"/>
  <c r="S54" i="7"/>
  <c r="S58" i="7"/>
  <c r="B69" i="7"/>
  <c r="B76" i="7"/>
  <c r="B77" i="7"/>
  <c r="B78" i="7"/>
  <c r="B81" i="7"/>
  <c r="B82" i="7"/>
  <c r="M93" i="6"/>
  <c r="M92" i="6"/>
  <c r="M91" i="6"/>
  <c r="M90" i="6"/>
  <c r="M89" i="6"/>
  <c r="M88" i="6"/>
  <c r="M87" i="6"/>
  <c r="G87" i="6"/>
  <c r="C94" i="6"/>
  <c r="M86" i="6"/>
  <c r="M85" i="6"/>
  <c r="M84" i="6"/>
  <c r="M83" i="6"/>
  <c r="X66" i="6"/>
  <c r="Q61" i="6"/>
  <c r="O60" i="6"/>
  <c r="O59" i="6"/>
  <c r="O66" i="6" s="1"/>
  <c r="O57" i="6"/>
  <c r="V54" i="6"/>
  <c r="P54" i="6"/>
  <c r="Q54" i="6" s="1"/>
  <c r="N48" i="6"/>
  <c r="L47" i="6"/>
  <c r="N45" i="6"/>
  <c r="N44" i="6"/>
  <c r="Y39" i="6"/>
  <c r="X39" i="6"/>
  <c r="W39" i="6"/>
  <c r="V39" i="6"/>
  <c r="U39" i="6"/>
  <c r="T39" i="6"/>
  <c r="S39" i="6"/>
  <c r="R39" i="6"/>
  <c r="Q39" i="6"/>
  <c r="P39" i="6"/>
  <c r="O39" i="6"/>
  <c r="N39" i="6"/>
  <c r="Y38" i="6"/>
  <c r="X38" i="6"/>
  <c r="W38" i="6"/>
  <c r="V38" i="6"/>
  <c r="U38" i="6"/>
  <c r="T38" i="6"/>
  <c r="S38" i="6"/>
  <c r="R38" i="6"/>
  <c r="Q38" i="6"/>
  <c r="P38" i="6"/>
  <c r="O38" i="6"/>
  <c r="N38" i="6"/>
  <c r="Y37" i="6"/>
  <c r="X37" i="6"/>
  <c r="W37" i="6"/>
  <c r="V37" i="6"/>
  <c r="U37" i="6"/>
  <c r="T37" i="6"/>
  <c r="S37" i="6"/>
  <c r="R37" i="6"/>
  <c r="Q37" i="6"/>
  <c r="P37" i="6"/>
  <c r="O37" i="6"/>
  <c r="N37" i="6"/>
  <c r="I37" i="6"/>
  <c r="Y36" i="6"/>
  <c r="X36" i="6"/>
  <c r="W36" i="6"/>
  <c r="V36" i="6"/>
  <c r="U36" i="6"/>
  <c r="T36" i="6"/>
  <c r="S36" i="6"/>
  <c r="R36" i="6"/>
  <c r="Q36" i="6"/>
  <c r="P36" i="6"/>
  <c r="O36" i="6"/>
  <c r="N36" i="6"/>
  <c r="Y35" i="6"/>
  <c r="X35" i="6"/>
  <c r="W35" i="6"/>
  <c r="V35" i="6"/>
  <c r="U35" i="6"/>
  <c r="T35" i="6"/>
  <c r="S35" i="6"/>
  <c r="R35" i="6"/>
  <c r="Q35" i="6"/>
  <c r="P35" i="6"/>
  <c r="O35" i="6"/>
  <c r="N35" i="6"/>
  <c r="I35" i="6"/>
  <c r="Y34" i="6"/>
  <c r="X34" i="6"/>
  <c r="W34" i="6"/>
  <c r="V34" i="6"/>
  <c r="U34" i="6"/>
  <c r="T34" i="6"/>
  <c r="S34" i="6"/>
  <c r="R34" i="6"/>
  <c r="Q34" i="6"/>
  <c r="P34" i="6"/>
  <c r="O34" i="6"/>
  <c r="N34" i="6"/>
  <c r="Y33" i="6"/>
  <c r="X33" i="6"/>
  <c r="W33" i="6"/>
  <c r="V33" i="6"/>
  <c r="U33" i="6"/>
  <c r="T33" i="6"/>
  <c r="S33" i="6"/>
  <c r="R33" i="6"/>
  <c r="Q33" i="6"/>
  <c r="P33" i="6"/>
  <c r="O33" i="6"/>
  <c r="N33" i="6"/>
  <c r="Y32" i="6"/>
  <c r="X32" i="6"/>
  <c r="W32" i="6"/>
  <c r="V32" i="6"/>
  <c r="U32" i="6"/>
  <c r="T32" i="6"/>
  <c r="S32" i="6"/>
  <c r="R32" i="6"/>
  <c r="Q32" i="6"/>
  <c r="P32" i="6"/>
  <c r="O32" i="6"/>
  <c r="N32" i="6"/>
  <c r="Y31" i="6"/>
  <c r="X31" i="6"/>
  <c r="V31" i="6"/>
  <c r="T31" i="6"/>
  <c r="R31" i="6"/>
  <c r="P31" i="6"/>
  <c r="O31" i="6"/>
  <c r="N31" i="6"/>
  <c r="I31" i="6" s="1"/>
  <c r="I32" i="6" s="1"/>
  <c r="Y30" i="6"/>
  <c r="X30" i="6"/>
  <c r="W30" i="6"/>
  <c r="V30" i="6"/>
  <c r="U30" i="6"/>
  <c r="T30" i="6"/>
  <c r="S30" i="6"/>
  <c r="R30" i="6"/>
  <c r="Q30" i="6"/>
  <c r="P30" i="6"/>
  <c r="O30" i="6"/>
  <c r="N30" i="6"/>
  <c r="AR25" i="6"/>
  <c r="Y24" i="6"/>
  <c r="X24" i="6"/>
  <c r="W24" i="6"/>
  <c r="V24" i="6"/>
  <c r="U24" i="6"/>
  <c r="T24" i="6"/>
  <c r="S24" i="6"/>
  <c r="R24" i="6"/>
  <c r="Q24" i="6"/>
  <c r="P24" i="6"/>
  <c r="O24" i="6"/>
  <c r="N24" i="6"/>
  <c r="AE21" i="6"/>
  <c r="AD33" i="6" s="1"/>
  <c r="AP20" i="6"/>
  <c r="AN20" i="6"/>
  <c r="AL20" i="6"/>
  <c r="AJ20" i="6"/>
  <c r="AH20" i="6"/>
  <c r="AF20" i="6"/>
  <c r="AE20" i="6"/>
  <c r="AQ20" i="6" s="1"/>
  <c r="J17" i="6"/>
  <c r="J16" i="6"/>
  <c r="Z15" i="6"/>
  <c r="Y12" i="6"/>
  <c r="L12" i="6"/>
  <c r="L11" i="6"/>
  <c r="Y9" i="6"/>
  <c r="O9" i="6"/>
  <c r="J9" i="6"/>
  <c r="V5" i="6"/>
  <c r="Z24" i="6" s="1"/>
  <c r="I5" i="6"/>
  <c r="Y10" i="6"/>
  <c r="F1" i="6"/>
  <c r="AN21" i="6"/>
  <c r="Z37" i="9" l="1"/>
  <c r="J30" i="11"/>
  <c r="C30" i="11" s="1"/>
  <c r="J32" i="11"/>
  <c r="C32" i="11" s="1"/>
  <c r="J34" i="11"/>
  <c r="C34" i="11" s="1"/>
  <c r="J36" i="11"/>
  <c r="C36" i="11" s="1"/>
  <c r="J38" i="11"/>
  <c r="C38" i="11" s="1"/>
  <c r="J40" i="11"/>
  <c r="C40" i="11" s="1"/>
  <c r="J42" i="11"/>
  <c r="C42" i="11" s="1"/>
  <c r="J44" i="11"/>
  <c r="C44" i="11" s="1"/>
  <c r="J29" i="11"/>
  <c r="C29" i="11" s="1"/>
  <c r="J31" i="11"/>
  <c r="C31" i="11" s="1"/>
  <c r="J33" i="11"/>
  <c r="C33" i="11" s="1"/>
  <c r="J35" i="11"/>
  <c r="C35" i="11" s="1"/>
  <c r="J37" i="11"/>
  <c r="C37" i="11" s="1"/>
  <c r="J39" i="11"/>
  <c r="C39" i="11" s="1"/>
  <c r="J41" i="11"/>
  <c r="C41" i="11" s="1"/>
  <c r="J43" i="11"/>
  <c r="C43" i="11" s="1"/>
  <c r="J45" i="11"/>
  <c r="C45" i="11" s="1"/>
  <c r="C7" i="6"/>
  <c r="C26" i="6" s="1"/>
  <c r="Q31" i="6"/>
  <c r="S31" i="6"/>
  <c r="U31" i="6"/>
  <c r="G112" i="13"/>
  <c r="G113" i="13" s="1"/>
  <c r="D117" i="13"/>
  <c r="D118" i="13" s="1"/>
  <c r="M17" i="12"/>
  <c r="N8" i="12" s="1"/>
  <c r="M8" i="12" s="1"/>
  <c r="M9" i="12"/>
  <c r="M11" i="12" s="1"/>
  <c r="I43" i="12"/>
  <c r="C64" i="12"/>
  <c r="J62" i="12"/>
  <c r="J63" i="12" s="1"/>
  <c r="M67" i="12" s="1"/>
  <c r="P34" i="12"/>
  <c r="P33" i="12"/>
  <c r="P31" i="12"/>
  <c r="P29" i="12"/>
  <c r="P28" i="12"/>
  <c r="P27" i="12"/>
  <c r="P25" i="12"/>
  <c r="P26" i="12" s="1"/>
  <c r="P23" i="12"/>
  <c r="P21" i="12"/>
  <c r="P19" i="12"/>
  <c r="P17" i="12"/>
  <c r="P18" i="12" s="1"/>
  <c r="C66" i="12"/>
  <c r="O10" i="12"/>
  <c r="P12" i="12"/>
  <c r="P14" i="12"/>
  <c r="P16" i="12"/>
  <c r="P20" i="12"/>
  <c r="P24" i="12"/>
  <c r="P30" i="12"/>
  <c r="C65" i="12"/>
  <c r="AD29" i="9"/>
  <c r="J22" i="9"/>
  <c r="C6" i="9"/>
  <c r="K12" i="9" s="1"/>
  <c r="AP18" i="9"/>
  <c r="AN18" i="9"/>
  <c r="AL18" i="9"/>
  <c r="AJ18" i="9"/>
  <c r="AH18" i="9"/>
  <c r="AF18" i="9"/>
  <c r="AI18" i="9"/>
  <c r="AM18" i="9"/>
  <c r="AQ18" i="9"/>
  <c r="AR23" i="9"/>
  <c r="Z22" i="9" s="1"/>
  <c r="C89" i="9" s="1"/>
  <c r="C80" i="9"/>
  <c r="C78" i="9"/>
  <c r="C76" i="9"/>
  <c r="C79" i="9"/>
  <c r="C7" i="9"/>
  <c r="C8" i="9"/>
  <c r="C9" i="9"/>
  <c r="L12" i="9" s="1"/>
  <c r="C10" i="9"/>
  <c r="C13" i="9"/>
  <c r="C14" i="9"/>
  <c r="C15" i="9"/>
  <c r="C16" i="9"/>
  <c r="C18" i="9"/>
  <c r="I16" i="9" s="1"/>
  <c r="J16" i="9" s="1"/>
  <c r="X24" i="9" s="1"/>
  <c r="C19" i="9"/>
  <c r="C29" i="9" s="1"/>
  <c r="C20" i="9"/>
  <c r="C22" i="9"/>
  <c r="C88" i="9"/>
  <c r="C64" i="9"/>
  <c r="C65" i="9" s="1"/>
  <c r="C66" i="9" s="1" a="1"/>
  <c r="C66" i="9" s="1"/>
  <c r="C71" i="9" s="1"/>
  <c r="C70" i="9" s="1"/>
  <c r="C62" i="9"/>
  <c r="C63" i="9" s="1"/>
  <c r="C50" i="9"/>
  <c r="C48" i="9"/>
  <c r="C45" i="9"/>
  <c r="C46" i="9"/>
  <c r="C47" i="9"/>
  <c r="R52" i="9"/>
  <c r="C53" i="9"/>
  <c r="C77" i="9"/>
  <c r="C81" i="9"/>
  <c r="C82" i="9"/>
  <c r="C94" i="9" s="1"/>
  <c r="C95" i="9" s="1"/>
  <c r="R41" i="8"/>
  <c r="N41" i="8"/>
  <c r="E26" i="8"/>
  <c r="Q41" i="8"/>
  <c r="AE36" i="8"/>
  <c r="AE37" i="8"/>
  <c r="AE35" i="8"/>
  <c r="AB35" i="8" s="1"/>
  <c r="N44" i="8"/>
  <c r="R44" i="8"/>
  <c r="J7" i="8"/>
  <c r="Z26" i="6"/>
  <c r="C90" i="6"/>
  <c r="C91" i="6"/>
  <c r="C40" i="6"/>
  <c r="AG20" i="6"/>
  <c r="AI20" i="6"/>
  <c r="AK20" i="6"/>
  <c r="AM20" i="6"/>
  <c r="AO20" i="6"/>
  <c r="Z39" i="6"/>
  <c r="R54" i="6"/>
  <c r="AM17" i="9"/>
  <c r="AG17" i="9"/>
  <c r="AI21" i="6"/>
  <c r="AM19" i="9"/>
  <c r="AF19" i="9"/>
  <c r="AI19" i="9"/>
  <c r="AP17" i="9"/>
  <c r="AL21" i="6"/>
  <c r="AJ21" i="6"/>
  <c r="AM21" i="6"/>
  <c r="AH21" i="6"/>
  <c r="AO17" i="9"/>
  <c r="AJ17" i="9"/>
  <c r="AQ17" i="9"/>
  <c r="AN19" i="9"/>
  <c r="AO21" i="6"/>
  <c r="AK19" i="9"/>
  <c r="AH19" i="9"/>
  <c r="AF17" i="9"/>
  <c r="AQ19" i="9"/>
  <c r="AK21" i="6"/>
  <c r="AN17" i="9"/>
  <c r="AH17" i="9"/>
  <c r="AI17" i="9"/>
  <c r="AL19" i="9"/>
  <c r="AL17" i="9"/>
  <c r="AO19" i="9"/>
  <c r="AQ21" i="6"/>
  <c r="AP19" i="9"/>
  <c r="AG19" i="9"/>
  <c r="AP21" i="6"/>
  <c r="AF21" i="6"/>
  <c r="AG21" i="6"/>
  <c r="AK17" i="9"/>
  <c r="AJ19" i="9"/>
  <c r="K13" i="9"/>
  <c r="C56" i="9" l="1"/>
  <c r="C51" i="9"/>
  <c r="C59" i="9" s="1"/>
  <c r="C11" i="6"/>
  <c r="C18" i="6"/>
  <c r="C23" i="6"/>
  <c r="C22" i="6"/>
  <c r="C9" i="6"/>
  <c r="C27" i="6"/>
  <c r="C19" i="6"/>
  <c r="C24" i="6"/>
  <c r="C20" i="6"/>
  <c r="C16" i="6"/>
  <c r="C14" i="6"/>
  <c r="C37" i="6"/>
  <c r="C25" i="6"/>
  <c r="C21" i="6"/>
  <c r="C10" i="6"/>
  <c r="C64" i="6"/>
  <c r="C52" i="6"/>
  <c r="C54" i="6" s="1"/>
  <c r="C50" i="6"/>
  <c r="C48" i="6"/>
  <c r="C66" i="6"/>
  <c r="C55" i="6"/>
  <c r="C51" i="6"/>
  <c r="C49" i="6"/>
  <c r="C47" i="6"/>
  <c r="C17" i="6"/>
  <c r="C15" i="6"/>
  <c r="C13" i="6"/>
  <c r="C12" i="6"/>
  <c r="G119" i="13"/>
  <c r="G117" i="13"/>
  <c r="G118" i="13" s="1"/>
  <c r="C62" i="12"/>
  <c r="O34" i="12"/>
  <c r="U10" i="12"/>
  <c r="U34" i="12" s="1"/>
  <c r="Q32" i="12"/>
  <c r="Q30" i="12"/>
  <c r="Q26" i="12"/>
  <c r="Q24" i="12"/>
  <c r="Q22" i="12"/>
  <c r="Q20" i="12"/>
  <c r="Q18" i="12"/>
  <c r="Q31" i="12"/>
  <c r="Q25" i="12"/>
  <c r="Q21" i="12"/>
  <c r="Q17" i="12"/>
  <c r="Q15" i="12"/>
  <c r="Q13" i="12"/>
  <c r="Q11" i="12"/>
  <c r="Q10" i="12"/>
  <c r="Q34" i="12"/>
  <c r="Q33" i="12"/>
  <c r="Q29" i="12"/>
  <c r="Q28" i="12"/>
  <c r="Q27" i="12"/>
  <c r="Q23" i="12"/>
  <c r="Q19" i="12"/>
  <c r="Q16" i="12"/>
  <c r="Q14" i="12"/>
  <c r="Q12" i="12"/>
  <c r="R34" i="12"/>
  <c r="R33" i="12"/>
  <c r="R31" i="12"/>
  <c r="R29" i="12"/>
  <c r="R28" i="12"/>
  <c r="R27" i="12"/>
  <c r="R25" i="12"/>
  <c r="R23" i="12"/>
  <c r="R21" i="12"/>
  <c r="R19" i="12"/>
  <c r="R17" i="12"/>
  <c r="R32" i="12"/>
  <c r="R26" i="12"/>
  <c r="R22" i="12"/>
  <c r="R18" i="12"/>
  <c r="R16" i="12"/>
  <c r="R14" i="12"/>
  <c r="R12" i="12"/>
  <c r="R30" i="12"/>
  <c r="R24" i="12"/>
  <c r="R20" i="12"/>
  <c r="R15" i="12"/>
  <c r="R13" i="12"/>
  <c r="R11" i="12"/>
  <c r="R10" i="12"/>
  <c r="T34" i="12"/>
  <c r="T33" i="12"/>
  <c r="S32" i="12"/>
  <c r="T31" i="12"/>
  <c r="S30" i="12"/>
  <c r="T29" i="12"/>
  <c r="T28" i="12"/>
  <c r="T27" i="12"/>
  <c r="S26" i="12"/>
  <c r="T25" i="12"/>
  <c r="S24" i="12"/>
  <c r="T23" i="12"/>
  <c r="S22" i="12"/>
  <c r="T21" i="12"/>
  <c r="S20" i="12"/>
  <c r="T19" i="12"/>
  <c r="S18" i="12"/>
  <c r="T17" i="12"/>
  <c r="S34" i="12"/>
  <c r="S33" i="12"/>
  <c r="T30" i="12"/>
  <c r="S29" i="12"/>
  <c r="S28" i="12"/>
  <c r="S27" i="12"/>
  <c r="T24" i="12"/>
  <c r="S23" i="12"/>
  <c r="T20" i="12"/>
  <c r="S19" i="12"/>
  <c r="T16" i="12"/>
  <c r="S15" i="12"/>
  <c r="T14" i="12"/>
  <c r="S13" i="12"/>
  <c r="T12" i="12"/>
  <c r="S11" i="12"/>
  <c r="S10" i="12"/>
  <c r="T32" i="12"/>
  <c r="S31" i="12"/>
  <c r="T26" i="12"/>
  <c r="S25" i="12"/>
  <c r="T22" i="12"/>
  <c r="S21" i="12"/>
  <c r="T18" i="12"/>
  <c r="S17" i="12"/>
  <c r="S16" i="12"/>
  <c r="T15" i="12"/>
  <c r="S14" i="12"/>
  <c r="T13" i="12"/>
  <c r="S12" i="12"/>
  <c r="T11" i="12"/>
  <c r="T10" i="12"/>
  <c r="M28" i="12"/>
  <c r="M29" i="12" s="1"/>
  <c r="M16" i="12"/>
  <c r="AM20" i="9"/>
  <c r="AG20" i="9"/>
  <c r="AO20" i="9"/>
  <c r="AH20" i="9"/>
  <c r="AL20" i="9"/>
  <c r="AP20" i="9"/>
  <c r="AI20" i="9"/>
  <c r="AQ20" i="9"/>
  <c r="AK20" i="9"/>
  <c r="AF20" i="9"/>
  <c r="AJ20" i="9"/>
  <c r="AN20" i="9"/>
  <c r="C90" i="9"/>
  <c r="C33" i="9"/>
  <c r="C32" i="9"/>
  <c r="C34" i="9" s="1"/>
  <c r="C69" i="9"/>
  <c r="C72" i="9" s="1"/>
  <c r="C73" i="9" s="1"/>
  <c r="C60" i="9"/>
  <c r="C30" i="9"/>
  <c r="L11" i="9" s="1"/>
  <c r="U24" i="9"/>
  <c r="C44" i="9"/>
  <c r="C57" i="9" s="1"/>
  <c r="C31" i="9"/>
  <c r="S24" i="9"/>
  <c r="N24" i="9"/>
  <c r="R24" i="9"/>
  <c r="V24" i="9"/>
  <c r="Z24" i="9"/>
  <c r="C52" i="9"/>
  <c r="E31" i="9"/>
  <c r="Y24" i="9"/>
  <c r="Q24" i="9"/>
  <c r="C55" i="9"/>
  <c r="C38" i="9"/>
  <c r="W24" i="9"/>
  <c r="O24" i="9"/>
  <c r="P24" i="9"/>
  <c r="T24" i="9"/>
  <c r="T20" i="9"/>
  <c r="P20" i="9"/>
  <c r="Y20" i="9"/>
  <c r="U20" i="9"/>
  <c r="X20" i="9"/>
  <c r="N20" i="9"/>
  <c r="R20" i="9"/>
  <c r="O20" i="9"/>
  <c r="S20" i="9"/>
  <c r="V20" i="9"/>
  <c r="W20" i="9"/>
  <c r="Q20" i="9"/>
  <c r="E59" i="9" l="1"/>
  <c r="F59" i="9" s="1"/>
  <c r="C96" i="9"/>
  <c r="C58" i="9"/>
  <c r="C93" i="9" s="1"/>
  <c r="L17" i="9"/>
  <c r="E60" i="9"/>
  <c r="F60" i="9" s="1"/>
  <c r="C61" i="9"/>
  <c r="S23" i="9"/>
  <c r="S25" i="9" s="1"/>
  <c r="X23" i="9"/>
  <c r="X25" i="9" s="1"/>
  <c r="T23" i="9"/>
  <c r="T25" i="9" s="1"/>
  <c r="P23" i="9"/>
  <c r="P25" i="9" s="1"/>
  <c r="Q23" i="9"/>
  <c r="Q25" i="9" s="1"/>
  <c r="Y23" i="9"/>
  <c r="Y25" i="9" s="1"/>
  <c r="O23" i="9"/>
  <c r="O25" i="9" s="1"/>
  <c r="W23" i="9"/>
  <c r="W25" i="9" s="1"/>
  <c r="V23" i="9"/>
  <c r="V25" i="9" s="1"/>
  <c r="R23" i="9"/>
  <c r="R25" i="9" s="1"/>
  <c r="N23" i="9"/>
  <c r="U23" i="9"/>
  <c r="U25" i="9" s="1"/>
  <c r="C91" i="9"/>
  <c r="N25" i="9" l="1"/>
  <c r="Z23" i="9"/>
  <c r="Z25" i="9" s="1"/>
  <c r="Y48" i="9"/>
  <c r="Y49" i="9" s="1"/>
  <c r="W48" i="9"/>
  <c r="W49" i="9" s="1"/>
  <c r="U48" i="9"/>
  <c r="U49" i="9" s="1"/>
  <c r="S48" i="9"/>
  <c r="S49" i="9" s="1"/>
  <c r="Q48" i="9"/>
  <c r="Q49" i="9" s="1"/>
  <c r="O48" i="9"/>
  <c r="O49" i="9" s="1"/>
  <c r="X47" i="9"/>
  <c r="V47" i="9"/>
  <c r="T47" i="9"/>
  <c r="R47" i="9"/>
  <c r="P47" i="9"/>
  <c r="N47" i="9"/>
  <c r="X48" i="9"/>
  <c r="X49" i="9" s="1"/>
  <c r="T48" i="9"/>
  <c r="T49" i="9" s="1"/>
  <c r="P48" i="9"/>
  <c r="P49" i="9" s="1"/>
  <c r="Y47" i="9"/>
  <c r="U47" i="9"/>
  <c r="Q47" i="9"/>
  <c r="V48" i="9"/>
  <c r="N48" i="9"/>
  <c r="N49" i="9" s="1"/>
  <c r="S47" i="9"/>
  <c r="R48" i="9"/>
  <c r="R49" i="9" s="1"/>
  <c r="W47" i="9"/>
  <c r="O47" i="9"/>
  <c r="R51" i="9" l="1"/>
  <c r="R38" i="9" s="1"/>
  <c r="R39" i="9" s="1"/>
  <c r="R40" i="9" s="1"/>
  <c r="R41" i="9" s="1"/>
  <c r="R50" i="9"/>
  <c r="N51" i="9"/>
  <c r="N38" i="9" s="1"/>
  <c r="N50" i="9"/>
  <c r="T51" i="9"/>
  <c r="T38" i="9" s="1"/>
  <c r="T39" i="9" s="1"/>
  <c r="T40" i="9" s="1"/>
  <c r="T41" i="9" s="1"/>
  <c r="T50" i="9"/>
  <c r="O50" i="9"/>
  <c r="O51" i="9"/>
  <c r="O38" i="9" s="1"/>
  <c r="O39" i="9" s="1"/>
  <c r="O40" i="9" s="1"/>
  <c r="O41" i="9" s="1"/>
  <c r="S50" i="9"/>
  <c r="S51" i="9"/>
  <c r="S38" i="9" s="1"/>
  <c r="S39" i="9" s="1"/>
  <c r="S40" i="9" s="1"/>
  <c r="S41" i="9" s="1"/>
  <c r="W50" i="9"/>
  <c r="W51" i="9"/>
  <c r="W38" i="9" s="1"/>
  <c r="W39" i="9" s="1"/>
  <c r="W40" i="9" s="1"/>
  <c r="W41" i="9" s="1"/>
  <c r="Z33" i="9"/>
  <c r="Z27" i="9"/>
  <c r="X27" i="9"/>
  <c r="V27" i="9"/>
  <c r="T27" i="9"/>
  <c r="R27" i="9"/>
  <c r="P27" i="9"/>
  <c r="N27" i="9"/>
  <c r="W27" i="9"/>
  <c r="S27" i="9"/>
  <c r="O27" i="9"/>
  <c r="Y27" i="9"/>
  <c r="U27" i="9"/>
  <c r="Q27" i="9"/>
  <c r="V49" i="9"/>
  <c r="V54" i="9"/>
  <c r="P51" i="9"/>
  <c r="P38" i="9" s="1"/>
  <c r="P39" i="9" s="1"/>
  <c r="P40" i="9" s="1"/>
  <c r="P41" i="9" s="1"/>
  <c r="P50" i="9"/>
  <c r="X51" i="9"/>
  <c r="X38" i="9" s="1"/>
  <c r="X39" i="9" s="1"/>
  <c r="X40" i="9" s="1"/>
  <c r="X41" i="9" s="1"/>
  <c r="X50" i="9"/>
  <c r="Q50" i="9"/>
  <c r="Q51" i="9"/>
  <c r="Q38" i="9" s="1"/>
  <c r="Q39" i="9" s="1"/>
  <c r="Q40" i="9" s="1"/>
  <c r="Q41" i="9" s="1"/>
  <c r="U50" i="9"/>
  <c r="U51" i="9"/>
  <c r="U38" i="9" s="1"/>
  <c r="U39" i="9" s="1"/>
  <c r="U40" i="9" s="1"/>
  <c r="U41" i="9" s="1"/>
  <c r="Y50" i="9"/>
  <c r="Y51" i="9"/>
  <c r="Y38" i="9" s="1"/>
  <c r="Y39" i="9" s="1"/>
  <c r="Y40" i="9" s="1"/>
  <c r="Y41" i="9" s="1"/>
  <c r="E90" i="6"/>
  <c r="E91" i="6" s="1"/>
  <c r="AE19" i="6"/>
  <c r="AD32" i="6" s="1"/>
  <c r="J15" i="6"/>
  <c r="C84" i="6"/>
  <c r="C78" i="6"/>
  <c r="C80" i="6"/>
  <c r="C82" i="6"/>
  <c r="C81" i="6"/>
  <c r="C79" i="6"/>
  <c r="C83" i="6"/>
  <c r="AG19" i="6"/>
  <c r="AF19" i="6"/>
  <c r="AI19" i="6"/>
  <c r="AL19" i="6"/>
  <c r="AQ19" i="6"/>
  <c r="AO19" i="6"/>
  <c r="AH19" i="6"/>
  <c r="AK19" i="6"/>
  <c r="AN19" i="6"/>
  <c r="K15" i="6"/>
  <c r="AP19" i="6"/>
  <c r="AM19" i="6"/>
  <c r="AJ19" i="6"/>
  <c r="C96" i="6" l="1"/>
  <c r="C97" i="6" s="1"/>
  <c r="V51" i="9"/>
  <c r="V38" i="9" s="1"/>
  <c r="V39" i="9" s="1"/>
  <c r="V40" i="9" s="1"/>
  <c r="V41" i="9" s="1"/>
  <c r="V50" i="9"/>
  <c r="V53" i="9"/>
  <c r="N39" i="9"/>
  <c r="AQ22" i="6"/>
  <c r="AF22" i="6"/>
  <c r="AJ22" i="6"/>
  <c r="AN22" i="6"/>
  <c r="AG22" i="6"/>
  <c r="AK22" i="6"/>
  <c r="AO22" i="6"/>
  <c r="AH22" i="6"/>
  <c r="AL22" i="6"/>
  <c r="AP22" i="6"/>
  <c r="AI22" i="6"/>
  <c r="AM22" i="6"/>
  <c r="AD31" i="6"/>
  <c r="J24" i="6"/>
  <c r="C71" i="6"/>
  <c r="R22" i="6"/>
  <c r="U22" i="6"/>
  <c r="Y22" i="6"/>
  <c r="P22" i="6"/>
  <c r="X22" i="6"/>
  <c r="V22" i="6"/>
  <c r="T22" i="6"/>
  <c r="O22" i="6"/>
  <c r="N22" i="6"/>
  <c r="S22" i="6"/>
  <c r="W22" i="6"/>
  <c r="Q22" i="6"/>
  <c r="Z38" i="9" l="1"/>
  <c r="L38" i="9" s="1"/>
  <c r="N40" i="9"/>
  <c r="Z39" i="9"/>
  <c r="N41" i="9" l="1"/>
  <c r="Z41" i="9" s="1"/>
  <c r="Z40" i="9"/>
  <c r="L40" i="9" s="1"/>
  <c r="Z42" i="9" l="1"/>
  <c r="Z43" i="9" s="1"/>
  <c r="X42" i="9"/>
  <c r="X43" i="9" s="1"/>
  <c r="V42" i="9"/>
  <c r="T42" i="9"/>
  <c r="T43" i="9" s="1"/>
  <c r="R42" i="9"/>
  <c r="R43" i="9" s="1"/>
  <c r="P42" i="9"/>
  <c r="P43" i="9" s="1"/>
  <c r="W42" i="9"/>
  <c r="W43" i="9" s="1"/>
  <c r="S42" i="9"/>
  <c r="S43" i="9" s="1"/>
  <c r="O42" i="9"/>
  <c r="O43" i="9" s="1"/>
  <c r="L42" i="9"/>
  <c r="U42" i="9"/>
  <c r="U43" i="9" s="1"/>
  <c r="L41" i="9"/>
  <c r="Y42" i="9"/>
  <c r="Y43" i="9" s="1"/>
  <c r="Q42" i="9"/>
  <c r="Q43" i="9" s="1"/>
  <c r="V55" i="9" l="1"/>
  <c r="V43" i="9"/>
  <c r="L43" i="9" s="1"/>
  <c r="L14" i="6" l="1"/>
  <c r="I18" i="6"/>
  <c r="J18" i="6" s="1"/>
  <c r="E37" i="6"/>
  <c r="C65" i="6"/>
  <c r="C58" i="6" l="1"/>
  <c r="C53" i="6"/>
  <c r="C61" i="6" s="1"/>
  <c r="W26" i="6"/>
  <c r="N26" i="6"/>
  <c r="V26" i="6"/>
  <c r="U26" i="6"/>
  <c r="P26" i="6"/>
  <c r="X26" i="6"/>
  <c r="S26" i="6"/>
  <c r="R26" i="6"/>
  <c r="Q26" i="6"/>
  <c r="Y26" i="6"/>
  <c r="T26" i="6"/>
  <c r="O26" i="6"/>
  <c r="C34" i="6"/>
  <c r="C36" i="6" s="1"/>
  <c r="C35" i="6"/>
  <c r="C30" i="6"/>
  <c r="C31" i="6" s="1"/>
  <c r="C8" i="6"/>
  <c r="K14" i="6" s="1"/>
  <c r="C67" i="6"/>
  <c r="C68" i="6" s="1" a="1"/>
  <c r="C68" i="6" s="1"/>
  <c r="C73" i="6" s="1"/>
  <c r="C72" i="6" s="1"/>
  <c r="C74" i="6" s="1"/>
  <c r="C46" i="6"/>
  <c r="C57" i="6"/>
  <c r="C32" i="6"/>
  <c r="E33" i="6"/>
  <c r="C33" i="6"/>
  <c r="C62" i="6" l="1"/>
  <c r="E61" i="6"/>
  <c r="F61" i="6" s="1"/>
  <c r="C75" i="6"/>
  <c r="C59" i="6"/>
  <c r="C98" i="6" s="1"/>
  <c r="L13" i="6"/>
  <c r="C92" i="6"/>
  <c r="C93" i="6"/>
  <c r="E62" i="6"/>
  <c r="F62" i="6" s="1"/>
  <c r="C63" i="6"/>
  <c r="N26" i="9"/>
  <c r="L19" i="6" l="1"/>
  <c r="C60" i="6"/>
  <c r="C95" i="6" s="1"/>
  <c r="T25" i="6"/>
  <c r="T27" i="6" s="1"/>
  <c r="T28" i="6" s="1"/>
  <c r="Y25" i="6"/>
  <c r="Y27" i="6" s="1"/>
  <c r="Q25" i="6"/>
  <c r="Q27" i="6" s="1"/>
  <c r="Q28" i="6" s="1"/>
  <c r="R25" i="6"/>
  <c r="R27" i="6" s="1"/>
  <c r="R28" i="6" s="1"/>
  <c r="W25" i="6"/>
  <c r="W27" i="6" s="1"/>
  <c r="W28" i="6" s="1"/>
  <c r="O25" i="6"/>
  <c r="O27" i="6" s="1"/>
  <c r="O28" i="6" s="1"/>
  <c r="X25" i="6"/>
  <c r="X27" i="6" s="1"/>
  <c r="X28" i="6" s="1"/>
  <c r="P25" i="6"/>
  <c r="P27" i="6" s="1"/>
  <c r="P28" i="6" s="1"/>
  <c r="U25" i="6"/>
  <c r="U27" i="6" s="1"/>
  <c r="U28" i="6" s="1"/>
  <c r="V25" i="6"/>
  <c r="V27" i="6" s="1"/>
  <c r="V28" i="6" s="1"/>
  <c r="N25" i="6"/>
  <c r="S25" i="6"/>
  <c r="S27" i="6" s="1"/>
  <c r="S28" i="6" s="1"/>
  <c r="Y50" i="6"/>
  <c r="Y51" i="6" s="1"/>
  <c r="U50" i="6"/>
  <c r="U51" i="6" s="1"/>
  <c r="Q50" i="6"/>
  <c r="Q51" i="6" s="1"/>
  <c r="X49" i="6"/>
  <c r="T49" i="6"/>
  <c r="P49" i="6"/>
  <c r="V50" i="6"/>
  <c r="N50" i="6"/>
  <c r="N51" i="6" s="1"/>
  <c r="S49" i="6"/>
  <c r="X50" i="6"/>
  <c r="X51" i="6" s="1"/>
  <c r="P50" i="6"/>
  <c r="P51" i="6" s="1"/>
  <c r="U49" i="6"/>
  <c r="W50" i="6"/>
  <c r="W51" i="6" s="1"/>
  <c r="S50" i="6"/>
  <c r="S51" i="6" s="1"/>
  <c r="O50" i="6"/>
  <c r="O51" i="6" s="1"/>
  <c r="V49" i="6"/>
  <c r="R49" i="6"/>
  <c r="N49" i="6"/>
  <c r="R50" i="6"/>
  <c r="R51" i="6" s="1"/>
  <c r="W49" i="6"/>
  <c r="O49" i="6"/>
  <c r="T50" i="6"/>
  <c r="T51" i="6" s="1"/>
  <c r="Y49" i="6"/>
  <c r="Q49" i="6"/>
  <c r="H64" i="12"/>
  <c r="U26" i="9"/>
  <c r="Y26" i="9"/>
  <c r="S26" i="9"/>
  <c r="V26" i="9" l="1"/>
  <c r="R26" i="9"/>
  <c r="X26" i="9"/>
  <c r="W26" i="9"/>
  <c r="T26" i="9"/>
  <c r="O26" i="9"/>
  <c r="Q26" i="9"/>
  <c r="P26" i="9"/>
  <c r="R52" i="6"/>
  <c r="R53" i="6"/>
  <c r="R40" i="6" s="1"/>
  <c r="R41" i="6" s="1"/>
  <c r="R42" i="6" s="1"/>
  <c r="R43" i="6" s="1"/>
  <c r="O52" i="6"/>
  <c r="O53" i="6"/>
  <c r="O40" i="6" s="1"/>
  <c r="O41" i="6" s="1"/>
  <c r="O42" i="6" s="1"/>
  <c r="O43" i="6" s="1"/>
  <c r="W52" i="6"/>
  <c r="W53" i="6"/>
  <c r="W40" i="6" s="1"/>
  <c r="W41" i="6" s="1"/>
  <c r="W42" i="6" s="1"/>
  <c r="W43" i="6" s="1"/>
  <c r="P53" i="6"/>
  <c r="P40" i="6" s="1"/>
  <c r="P41" i="6" s="1"/>
  <c r="P42" i="6" s="1"/>
  <c r="P43" i="6" s="1"/>
  <c r="P52" i="6"/>
  <c r="V51" i="6"/>
  <c r="V56" i="6"/>
  <c r="Q52" i="6"/>
  <c r="Q53" i="6"/>
  <c r="Q40" i="6" s="1"/>
  <c r="Q41" i="6" s="1"/>
  <c r="Q42" i="6" s="1"/>
  <c r="Q43" i="6" s="1"/>
  <c r="Y52" i="6"/>
  <c r="Y53" i="6"/>
  <c r="Y40" i="6" s="1"/>
  <c r="Y41" i="6" s="1"/>
  <c r="Y42" i="6" s="1"/>
  <c r="Y43" i="6" s="1"/>
  <c r="Z25" i="6"/>
  <c r="Z27" i="6" s="1"/>
  <c r="N27" i="6"/>
  <c r="N28" i="6" s="1"/>
  <c r="T52" i="6"/>
  <c r="T53" i="6"/>
  <c r="T40" i="6" s="1"/>
  <c r="T41" i="6" s="1"/>
  <c r="T42" i="6" s="1"/>
  <c r="T43" i="6" s="1"/>
  <c r="V55" i="6"/>
  <c r="S52" i="6"/>
  <c r="S53" i="6"/>
  <c r="S40" i="6" s="1"/>
  <c r="S41" i="6" s="1"/>
  <c r="S42" i="6" s="1"/>
  <c r="S43" i="6" s="1"/>
  <c r="X53" i="6"/>
  <c r="X40" i="6" s="1"/>
  <c r="X41" i="6" s="1"/>
  <c r="X42" i="6" s="1"/>
  <c r="X43" i="6" s="1"/>
  <c r="X52" i="6"/>
  <c r="U52" i="6"/>
  <c r="U53" i="6"/>
  <c r="U40" i="6" s="1"/>
  <c r="U41" i="6" s="1"/>
  <c r="U42" i="6" s="1"/>
  <c r="U43" i="6" s="1"/>
  <c r="Y28" i="6"/>
  <c r="N53" i="6" l="1"/>
  <c r="N40" i="6" s="1"/>
  <c r="N41" i="6" s="1"/>
  <c r="H63" i="12"/>
  <c r="Z26" i="9"/>
  <c r="U16" i="8"/>
  <c r="U18" i="8" s="1"/>
  <c r="V16" i="8"/>
  <c r="V18" i="8" s="1"/>
  <c r="N16" i="8"/>
  <c r="N18" i="8" s="1"/>
  <c r="O16" i="8"/>
  <c r="O18" i="8" s="1"/>
  <c r="Q16" i="8"/>
  <c r="Q18" i="8" s="1"/>
  <c r="M16" i="8"/>
  <c r="M18" i="8" s="1"/>
  <c r="S16" i="8"/>
  <c r="S18" i="8" s="1"/>
  <c r="P16" i="8"/>
  <c r="P18" i="8" s="1"/>
  <c r="W16" i="8"/>
  <c r="W18" i="8" s="1"/>
  <c r="T16" i="8"/>
  <c r="T18" i="8" s="1"/>
  <c r="R16" i="8"/>
  <c r="R18" i="8" s="1"/>
  <c r="X16" i="8"/>
  <c r="E27" i="8"/>
  <c r="N52" i="6"/>
  <c r="Y29" i="6"/>
  <c r="U29" i="6"/>
  <c r="Q29" i="6"/>
  <c r="Z35" i="6"/>
  <c r="X29" i="6"/>
  <c r="T29" i="6"/>
  <c r="P29" i="6"/>
  <c r="W29" i="6"/>
  <c r="S29" i="6"/>
  <c r="O29" i="6"/>
  <c r="Z29" i="6"/>
  <c r="V29" i="6"/>
  <c r="R29" i="6"/>
  <c r="N29" i="6"/>
  <c r="V52" i="6"/>
  <c r="V53" i="6"/>
  <c r="V40" i="6" s="1"/>
  <c r="V41" i="6" s="1"/>
  <c r="V42" i="6" s="1"/>
  <c r="V43" i="6" s="1"/>
  <c r="Z28" i="6"/>
  <c r="Y16" i="8"/>
  <c r="D100" i="13" l="1"/>
  <c r="D109" i="13" s="1"/>
  <c r="D125" i="13" s="1"/>
  <c r="D99" i="13"/>
  <c r="D108" i="13" s="1"/>
  <c r="Z40" i="6"/>
  <c r="L40" i="6" s="1"/>
  <c r="AE34" i="8"/>
  <c r="AB34" i="8" s="1"/>
  <c r="AE32" i="8"/>
  <c r="AH23" i="8"/>
  <c r="X18" i="8"/>
  <c r="X19" i="8" s="1"/>
  <c r="N42" i="6"/>
  <c r="Z41" i="6"/>
  <c r="P19" i="8" l="1"/>
  <c r="M19" i="8"/>
  <c r="T19" i="8"/>
  <c r="S19" i="8"/>
  <c r="W19" i="8"/>
  <c r="R19" i="8"/>
  <c r="O19" i="8"/>
  <c r="V19" i="8"/>
  <c r="AB33" i="8"/>
  <c r="AC31" i="8"/>
  <c r="U19" i="8"/>
  <c r="N19" i="8"/>
  <c r="Q19" i="8"/>
  <c r="N43" i="6"/>
  <c r="Z43" i="6" s="1"/>
  <c r="Z42" i="6"/>
  <c r="L42" i="6" s="1"/>
  <c r="Z44" i="6" l="1"/>
  <c r="Z45" i="6" s="1"/>
  <c r="V44" i="6"/>
  <c r="R44" i="6"/>
  <c r="R45" i="6" s="1"/>
  <c r="Y44" i="6"/>
  <c r="Y45" i="6" s="1"/>
  <c r="Q44" i="6"/>
  <c r="Q45" i="6" s="1"/>
  <c r="W44" i="6"/>
  <c r="W45" i="6" s="1"/>
  <c r="O44" i="6"/>
  <c r="O45" i="6" s="1"/>
  <c r="X44" i="6"/>
  <c r="X45" i="6" s="1"/>
  <c r="T44" i="6"/>
  <c r="T45" i="6" s="1"/>
  <c r="P44" i="6"/>
  <c r="P45" i="6" s="1"/>
  <c r="U44" i="6"/>
  <c r="U45" i="6" s="1"/>
  <c r="L43" i="6"/>
  <c r="S44" i="6"/>
  <c r="S45" i="6" s="1"/>
  <c r="L44" i="6"/>
  <c r="V57" i="6" l="1"/>
  <c r="V45" i="6"/>
  <c r="L45" i="6" s="1"/>
  <c r="D96" i="13" l="1"/>
  <c r="D95" i="13" l="1"/>
  <c r="H4" i="4"/>
  <c r="E2" i="5"/>
  <c r="E2167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14" i="4"/>
  <c r="C43" i="4"/>
  <c r="C38" i="4"/>
  <c r="AE3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E380" i="2"/>
  <c r="F380" i="2"/>
  <c r="G380" i="2"/>
  <c r="E383" i="2"/>
  <c r="F383" i="2"/>
  <c r="G383" i="2"/>
  <c r="E384" i="2"/>
  <c r="F384" i="2"/>
  <c r="G384" i="2"/>
  <c r="E381" i="2"/>
  <c r="F381" i="2"/>
  <c r="G381" i="2"/>
  <c r="E405" i="2"/>
  <c r="F405" i="2"/>
  <c r="G405" i="2"/>
  <c r="E410" i="2"/>
  <c r="F410" i="2"/>
  <c r="G410" i="2"/>
  <c r="E411" i="2"/>
  <c r="F411" i="2"/>
  <c r="G411" i="2"/>
  <c r="E382" i="2"/>
  <c r="F382" i="2"/>
  <c r="G382" i="2"/>
  <c r="E389" i="2"/>
  <c r="F389" i="2"/>
  <c r="G389" i="2"/>
  <c r="E393" i="2"/>
  <c r="F393" i="2"/>
  <c r="G393" i="2"/>
  <c r="E391" i="2"/>
  <c r="F391" i="2"/>
  <c r="G391" i="2"/>
  <c r="E392" i="2"/>
  <c r="F392" i="2"/>
  <c r="G392" i="2"/>
  <c r="E395" i="2"/>
  <c r="F395" i="2"/>
  <c r="G395" i="2"/>
  <c r="E397" i="2"/>
  <c r="F397" i="2"/>
  <c r="G397" i="2"/>
  <c r="E398" i="2"/>
  <c r="F398" i="2"/>
  <c r="G398" i="2"/>
  <c r="E399" i="2"/>
  <c r="F399" i="2"/>
  <c r="G399" i="2"/>
  <c r="E400" i="2"/>
  <c r="F400" i="2"/>
  <c r="G400" i="2"/>
  <c r="E406" i="2"/>
  <c r="F406" i="2"/>
  <c r="G406" i="2"/>
  <c r="E404" i="2"/>
  <c r="F404" i="2"/>
  <c r="G404" i="2"/>
  <c r="E409" i="2"/>
  <c r="F409" i="2"/>
  <c r="G409" i="2"/>
  <c r="E401" i="2"/>
  <c r="F401" i="2"/>
  <c r="G401" i="2"/>
  <c r="E402" i="2"/>
  <c r="F402" i="2"/>
  <c r="G402" i="2"/>
  <c r="E403" i="2"/>
  <c r="F403" i="2"/>
  <c r="G403" i="2"/>
  <c r="E407" i="2"/>
  <c r="F407" i="2"/>
  <c r="G407" i="2"/>
  <c r="E408" i="2"/>
  <c r="F408" i="2"/>
  <c r="G408" i="2"/>
  <c r="E385" i="2"/>
  <c r="F385" i="2"/>
  <c r="G385" i="2"/>
  <c r="E388" i="2"/>
  <c r="F388" i="2"/>
  <c r="G388" i="2"/>
  <c r="E386" i="2"/>
  <c r="F386" i="2"/>
  <c r="G386" i="2"/>
  <c r="E387" i="2"/>
  <c r="F387" i="2"/>
  <c r="G387" i="2"/>
  <c r="E390" i="2"/>
  <c r="F390" i="2"/>
  <c r="G390" i="2"/>
  <c r="E394" i="2"/>
  <c r="F394" i="2"/>
  <c r="G394" i="2"/>
  <c r="E396" i="2"/>
  <c r="F396" i="2"/>
  <c r="G396" i="2"/>
  <c r="E326" i="2"/>
  <c r="F326" i="2"/>
  <c r="G326" i="2"/>
  <c r="E328" i="2"/>
  <c r="F328" i="2"/>
  <c r="G328" i="2"/>
  <c r="E168" i="2"/>
  <c r="F168" i="2"/>
  <c r="G168" i="2"/>
  <c r="E169" i="2"/>
  <c r="F169" i="2"/>
  <c r="G169" i="2"/>
  <c r="E164" i="2"/>
  <c r="F164" i="2"/>
  <c r="G164" i="2"/>
  <c r="E165" i="2"/>
  <c r="F165" i="2"/>
  <c r="G165" i="2"/>
  <c r="E170" i="2"/>
  <c r="F170" i="2"/>
  <c r="G170" i="2"/>
  <c r="E172" i="2"/>
  <c r="F172" i="2"/>
  <c r="G172" i="2"/>
  <c r="E324" i="2"/>
  <c r="F324" i="2"/>
  <c r="G324" i="2"/>
  <c r="E46" i="2"/>
  <c r="F46" i="2"/>
  <c r="G46" i="2"/>
  <c r="E14" i="2"/>
  <c r="F14" i="2"/>
  <c r="G14" i="2"/>
  <c r="E47" i="2"/>
  <c r="F47" i="2"/>
  <c r="G47" i="2"/>
  <c r="E21" i="2"/>
  <c r="F21" i="2"/>
  <c r="G21" i="2"/>
  <c r="E48" i="2"/>
  <c r="F48" i="2"/>
  <c r="G48" i="2"/>
  <c r="E63" i="2"/>
  <c r="F63" i="2"/>
  <c r="G63" i="2"/>
  <c r="E8" i="2"/>
  <c r="F8" i="2"/>
  <c r="G8" i="2"/>
  <c r="E9" i="2"/>
  <c r="F9" i="2"/>
  <c r="G9" i="2"/>
  <c r="E39" i="2"/>
  <c r="F39" i="2"/>
  <c r="G39" i="2"/>
  <c r="E40" i="2"/>
  <c r="F40" i="2"/>
  <c r="G40" i="2"/>
  <c r="E41" i="2"/>
  <c r="F41" i="2"/>
  <c r="G41" i="2"/>
  <c r="E42" i="2"/>
  <c r="F42" i="2"/>
  <c r="G42" i="2"/>
  <c r="E29" i="2"/>
  <c r="F29" i="2"/>
  <c r="G29" i="2"/>
  <c r="E37" i="2"/>
  <c r="F37" i="2"/>
  <c r="G37" i="2"/>
  <c r="E33" i="2"/>
  <c r="F33" i="2"/>
  <c r="G33" i="2"/>
  <c r="E34" i="2"/>
  <c r="F34" i="2"/>
  <c r="G34" i="2"/>
  <c r="E36" i="2"/>
  <c r="F36" i="2"/>
  <c r="G36" i="2"/>
  <c r="E59" i="2"/>
  <c r="F59" i="2"/>
  <c r="G59" i="2"/>
  <c r="E56" i="2"/>
  <c r="F56" i="2"/>
  <c r="G56" i="2"/>
  <c r="E15" i="2"/>
  <c r="F15" i="2"/>
  <c r="G15" i="2"/>
  <c r="E16" i="2"/>
  <c r="F16" i="2"/>
  <c r="G16" i="2"/>
  <c r="E17" i="2"/>
  <c r="F17" i="2"/>
  <c r="G17" i="2"/>
  <c r="E19" i="2"/>
  <c r="F19" i="2"/>
  <c r="G19" i="2"/>
  <c r="E55" i="2"/>
  <c r="F55" i="2"/>
  <c r="G55" i="2"/>
  <c r="E51" i="2"/>
  <c r="F51" i="2"/>
  <c r="G51" i="2"/>
  <c r="E52" i="2"/>
  <c r="F52" i="2"/>
  <c r="G52" i="2"/>
  <c r="E53" i="2"/>
  <c r="F53" i="2"/>
  <c r="G53" i="2"/>
  <c r="E414" i="2"/>
  <c r="F414" i="2"/>
  <c r="G414" i="2"/>
  <c r="E415" i="2"/>
  <c r="F415" i="2"/>
  <c r="G415" i="2"/>
  <c r="E416" i="2"/>
  <c r="F416" i="2"/>
  <c r="G416" i="2"/>
  <c r="E417" i="2"/>
  <c r="F417" i="2"/>
  <c r="G417" i="2"/>
  <c r="E50" i="2"/>
  <c r="F50" i="2"/>
  <c r="G50" i="2"/>
  <c r="E64" i="2"/>
  <c r="F64" i="2"/>
  <c r="G64" i="2"/>
  <c r="E65" i="2"/>
  <c r="F65" i="2"/>
  <c r="G65" i="2"/>
  <c r="E70" i="2"/>
  <c r="F70" i="2"/>
  <c r="G70" i="2"/>
  <c r="E71" i="2"/>
  <c r="F71" i="2"/>
  <c r="G71" i="2"/>
  <c r="E83" i="2"/>
  <c r="F83" i="2"/>
  <c r="G83" i="2"/>
  <c r="E84" i="2"/>
  <c r="F84" i="2"/>
  <c r="G84" i="2"/>
  <c r="E85" i="2"/>
  <c r="F85" i="2"/>
  <c r="G85" i="2"/>
  <c r="E86" i="2"/>
  <c r="F86" i="2"/>
  <c r="G86" i="2"/>
  <c r="E87" i="2"/>
  <c r="F87" i="2"/>
  <c r="G87" i="2"/>
  <c r="E88" i="2"/>
  <c r="F88" i="2"/>
  <c r="G88" i="2"/>
  <c r="E89" i="2"/>
  <c r="F89" i="2"/>
  <c r="G89" i="2"/>
  <c r="E90" i="2"/>
  <c r="F90" i="2"/>
  <c r="G90" i="2"/>
  <c r="E92" i="2"/>
  <c r="F92" i="2"/>
  <c r="G92" i="2"/>
  <c r="E159" i="2"/>
  <c r="F159" i="2"/>
  <c r="G159" i="2"/>
  <c r="E160" i="2"/>
  <c r="F160" i="2"/>
  <c r="G160" i="2"/>
  <c r="E158" i="2"/>
  <c r="F158" i="2"/>
  <c r="G158" i="2"/>
  <c r="E58" i="2"/>
  <c r="F58" i="2"/>
  <c r="G58" i="2"/>
  <c r="E60" i="2"/>
  <c r="F60" i="2"/>
  <c r="G60" i="2"/>
  <c r="E61" i="2"/>
  <c r="F61" i="2"/>
  <c r="G61" i="2"/>
  <c r="E176" i="2"/>
  <c r="F176" i="2"/>
  <c r="G176" i="2"/>
  <c r="E177" i="2"/>
  <c r="F177" i="2"/>
  <c r="G177" i="2"/>
  <c r="E178" i="2"/>
  <c r="F178" i="2"/>
  <c r="G178" i="2"/>
  <c r="E179" i="2"/>
  <c r="F179" i="2"/>
  <c r="G179" i="2"/>
  <c r="E148" i="2"/>
  <c r="F148" i="2"/>
  <c r="G148" i="2"/>
  <c r="E149" i="2"/>
  <c r="F149" i="2"/>
  <c r="G149" i="2"/>
  <c r="E150" i="2"/>
  <c r="F150" i="2"/>
  <c r="G150" i="2"/>
  <c r="E151" i="2"/>
  <c r="F151" i="2"/>
  <c r="G151" i="2"/>
  <c r="E152" i="2"/>
  <c r="F152" i="2"/>
  <c r="G152" i="2"/>
  <c r="E153" i="2"/>
  <c r="F153" i="2"/>
  <c r="G153" i="2"/>
  <c r="E154" i="2"/>
  <c r="F154" i="2"/>
  <c r="G154" i="2"/>
  <c r="E155" i="2"/>
  <c r="F155" i="2"/>
  <c r="G155" i="2"/>
  <c r="E156" i="2"/>
  <c r="F156" i="2"/>
  <c r="G156" i="2"/>
  <c r="E180" i="2"/>
  <c r="F180" i="2"/>
  <c r="G180" i="2"/>
  <c r="E181" i="2"/>
  <c r="F181" i="2"/>
  <c r="G181" i="2"/>
  <c r="E182" i="2"/>
  <c r="F182" i="2"/>
  <c r="G182" i="2"/>
  <c r="E183" i="2"/>
  <c r="F183" i="2"/>
  <c r="G183" i="2"/>
  <c r="E185" i="2"/>
  <c r="F185" i="2"/>
  <c r="G185" i="2"/>
  <c r="E173" i="2"/>
  <c r="F173" i="2"/>
  <c r="G173" i="2"/>
  <c r="E132" i="2"/>
  <c r="F132" i="2"/>
  <c r="G132" i="2"/>
  <c r="E187" i="2"/>
  <c r="F187" i="2"/>
  <c r="G187" i="2"/>
  <c r="E174" i="2"/>
  <c r="F174" i="2"/>
  <c r="G174" i="2"/>
  <c r="E190" i="2"/>
  <c r="F190" i="2"/>
  <c r="G190" i="2"/>
  <c r="E103" i="2"/>
  <c r="F103" i="2"/>
  <c r="G103" i="2"/>
  <c r="E104" i="2"/>
  <c r="F104" i="2"/>
  <c r="G104" i="2"/>
  <c r="E105" i="2"/>
  <c r="F105" i="2"/>
  <c r="G105" i="2"/>
  <c r="E196" i="2"/>
  <c r="F196" i="2"/>
  <c r="G196" i="2"/>
  <c r="E184" i="2"/>
  <c r="F184" i="2"/>
  <c r="G184" i="2"/>
  <c r="E186" i="2"/>
  <c r="F186" i="2"/>
  <c r="G186" i="2"/>
  <c r="E191" i="2"/>
  <c r="F191" i="2"/>
  <c r="G191" i="2"/>
  <c r="E192" i="2"/>
  <c r="F192" i="2"/>
  <c r="G192" i="2"/>
  <c r="E134" i="2"/>
  <c r="F134" i="2"/>
  <c r="G134" i="2"/>
  <c r="E135" i="2"/>
  <c r="F135" i="2"/>
  <c r="G135" i="2"/>
  <c r="E136" i="2"/>
  <c r="F136" i="2"/>
  <c r="G136" i="2"/>
  <c r="E141" i="2"/>
  <c r="F141" i="2"/>
  <c r="G141" i="2"/>
  <c r="E57" i="2"/>
  <c r="F57" i="2"/>
  <c r="G57" i="2"/>
  <c r="E142" i="2"/>
  <c r="F142" i="2"/>
  <c r="G142" i="2"/>
  <c r="E140" i="2"/>
  <c r="F140" i="2"/>
  <c r="G140" i="2"/>
  <c r="E131" i="2"/>
  <c r="F131" i="2"/>
  <c r="G131" i="2"/>
  <c r="E133" i="2"/>
  <c r="F133" i="2"/>
  <c r="G133" i="2"/>
  <c r="E143" i="2"/>
  <c r="F143" i="2"/>
  <c r="G143" i="2"/>
  <c r="E144" i="2"/>
  <c r="F144" i="2"/>
  <c r="G144" i="2"/>
  <c r="E145" i="2"/>
  <c r="F145" i="2"/>
  <c r="G145" i="2"/>
  <c r="E146" i="2"/>
  <c r="F146" i="2"/>
  <c r="G146" i="2"/>
  <c r="E137" i="2"/>
  <c r="F137" i="2"/>
  <c r="G137" i="2"/>
  <c r="E138" i="2"/>
  <c r="F138" i="2"/>
  <c r="G138" i="2"/>
  <c r="E139" i="2"/>
  <c r="F139" i="2"/>
  <c r="G139" i="2"/>
  <c r="E72" i="2"/>
  <c r="F72" i="2"/>
  <c r="G72" i="2"/>
  <c r="E73" i="2"/>
  <c r="F73" i="2"/>
  <c r="G73" i="2"/>
  <c r="E74" i="2"/>
  <c r="F74" i="2"/>
  <c r="G74" i="2"/>
  <c r="E75" i="2"/>
  <c r="F75" i="2"/>
  <c r="G75" i="2"/>
  <c r="E77" i="2"/>
  <c r="F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167" i="2"/>
  <c r="F167" i="2"/>
  <c r="G167" i="2"/>
  <c r="E82" i="2"/>
  <c r="F82" i="2"/>
  <c r="G82" i="2"/>
  <c r="E94" i="2"/>
  <c r="F94" i="2"/>
  <c r="G94" i="2"/>
  <c r="E95" i="2"/>
  <c r="F95" i="2"/>
  <c r="G95" i="2"/>
  <c r="E96" i="2"/>
  <c r="F96" i="2"/>
  <c r="G96" i="2"/>
  <c r="E330" i="2"/>
  <c r="F330" i="2"/>
  <c r="G330" i="2"/>
  <c r="E307" i="2"/>
  <c r="F307" i="2"/>
  <c r="G307" i="2"/>
  <c r="E121" i="2"/>
  <c r="F121" i="2"/>
  <c r="G121" i="2"/>
  <c r="E122" i="2"/>
  <c r="F122" i="2"/>
  <c r="G122" i="2"/>
  <c r="E123" i="2"/>
  <c r="F123" i="2"/>
  <c r="G123" i="2"/>
  <c r="E124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F129" i="2"/>
  <c r="G129" i="2"/>
  <c r="E130" i="2"/>
  <c r="F130" i="2"/>
  <c r="G130" i="2"/>
  <c r="E110" i="2"/>
  <c r="F110" i="2"/>
  <c r="G110" i="2"/>
  <c r="E111" i="2"/>
  <c r="F111" i="2"/>
  <c r="G111" i="2"/>
  <c r="E112" i="2"/>
  <c r="F112" i="2"/>
  <c r="G112" i="2"/>
  <c r="E114" i="2"/>
  <c r="F114" i="2"/>
  <c r="G114" i="2"/>
  <c r="E115" i="2"/>
  <c r="F115" i="2"/>
  <c r="G115" i="2"/>
  <c r="E116" i="2"/>
  <c r="F116" i="2"/>
  <c r="G116" i="2"/>
  <c r="E117" i="2"/>
  <c r="F117" i="2"/>
  <c r="G117" i="2"/>
  <c r="E118" i="2"/>
  <c r="F118" i="2"/>
  <c r="G118" i="2"/>
  <c r="E119" i="2"/>
  <c r="F119" i="2"/>
  <c r="G119" i="2"/>
  <c r="E120" i="2"/>
  <c r="F120" i="2"/>
  <c r="G120" i="2"/>
  <c r="E113" i="2"/>
  <c r="F113" i="2"/>
  <c r="G113" i="2"/>
  <c r="E197" i="2"/>
  <c r="F197" i="2"/>
  <c r="G197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102" i="2"/>
  <c r="F102" i="2"/>
  <c r="G102" i="2"/>
  <c r="E202" i="2"/>
  <c r="F202" i="2"/>
  <c r="G202" i="2"/>
  <c r="E204" i="2"/>
  <c r="F204" i="2"/>
  <c r="G204" i="2"/>
  <c r="E205" i="2"/>
  <c r="F205" i="2"/>
  <c r="G205" i="2"/>
  <c r="E107" i="2"/>
  <c r="F107" i="2"/>
  <c r="G107" i="2"/>
  <c r="E109" i="2"/>
  <c r="F109" i="2"/>
  <c r="G109" i="2"/>
  <c r="E98" i="2"/>
  <c r="F98" i="2"/>
  <c r="G98" i="2"/>
  <c r="E99" i="2"/>
  <c r="F99" i="2"/>
  <c r="G99" i="2"/>
  <c r="E100" i="2"/>
  <c r="F100" i="2"/>
  <c r="G100" i="2"/>
  <c r="E101" i="2"/>
  <c r="F101" i="2"/>
  <c r="G101" i="2"/>
  <c r="E108" i="2"/>
  <c r="F108" i="2"/>
  <c r="G108" i="2"/>
  <c r="E289" i="2"/>
  <c r="F289" i="2"/>
  <c r="G289" i="2"/>
  <c r="E209" i="2"/>
  <c r="F209" i="2"/>
  <c r="G209" i="2"/>
  <c r="E210" i="2"/>
  <c r="F210" i="2"/>
  <c r="G210" i="2"/>
  <c r="E211" i="2"/>
  <c r="F211" i="2"/>
  <c r="G211" i="2"/>
  <c r="E163" i="2"/>
  <c r="F163" i="2"/>
  <c r="G163" i="2"/>
  <c r="E162" i="2"/>
  <c r="F162" i="2"/>
  <c r="G162" i="2"/>
  <c r="E212" i="2"/>
  <c r="F212" i="2"/>
  <c r="G212" i="2"/>
  <c r="E266" i="2"/>
  <c r="F266" i="2"/>
  <c r="G266" i="2"/>
  <c r="E220" i="2"/>
  <c r="F220" i="2"/>
  <c r="G220" i="2"/>
  <c r="E221" i="2"/>
  <c r="F221" i="2"/>
  <c r="G221" i="2"/>
  <c r="E222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7" i="2"/>
  <c r="F227" i="2"/>
  <c r="G227" i="2"/>
  <c r="E228" i="2"/>
  <c r="F228" i="2"/>
  <c r="G228" i="2"/>
  <c r="E229" i="2"/>
  <c r="F229" i="2"/>
  <c r="G229" i="2"/>
  <c r="E230" i="2"/>
  <c r="F230" i="2"/>
  <c r="G230" i="2"/>
  <c r="E231" i="2"/>
  <c r="F231" i="2"/>
  <c r="G231" i="2"/>
  <c r="E232" i="2"/>
  <c r="F232" i="2"/>
  <c r="G232" i="2"/>
  <c r="E233" i="2"/>
  <c r="F233" i="2"/>
  <c r="G233" i="2"/>
  <c r="E234" i="2"/>
  <c r="F234" i="2"/>
  <c r="G234" i="2"/>
  <c r="E235" i="2"/>
  <c r="F235" i="2"/>
  <c r="G235" i="2"/>
  <c r="E236" i="2"/>
  <c r="F236" i="2"/>
  <c r="G236" i="2"/>
  <c r="E215" i="2"/>
  <c r="F215" i="2"/>
  <c r="G215" i="2"/>
  <c r="E6" i="2"/>
  <c r="F6" i="2"/>
  <c r="G6" i="2"/>
  <c r="E237" i="2"/>
  <c r="F237" i="2"/>
  <c r="G237" i="2"/>
  <c r="E54" i="2"/>
  <c r="F54" i="2"/>
  <c r="G54" i="2"/>
  <c r="E238" i="2"/>
  <c r="F238" i="2"/>
  <c r="G238" i="2"/>
  <c r="E239" i="2"/>
  <c r="F239" i="2"/>
  <c r="G239" i="2"/>
  <c r="E240" i="2"/>
  <c r="F240" i="2"/>
  <c r="G240" i="2"/>
  <c r="E241" i="2"/>
  <c r="F241" i="2"/>
  <c r="G241" i="2"/>
  <c r="E216" i="2"/>
  <c r="F216" i="2"/>
  <c r="G216" i="2"/>
  <c r="E242" i="2"/>
  <c r="F242" i="2"/>
  <c r="G242" i="2"/>
  <c r="E243" i="2"/>
  <c r="F243" i="2"/>
  <c r="G243" i="2"/>
  <c r="E244" i="2"/>
  <c r="F244" i="2"/>
  <c r="G244" i="2"/>
  <c r="E245" i="2"/>
  <c r="F245" i="2"/>
  <c r="G245" i="2"/>
  <c r="E246" i="2"/>
  <c r="F246" i="2"/>
  <c r="G246" i="2"/>
  <c r="E247" i="2"/>
  <c r="F247" i="2"/>
  <c r="G247" i="2"/>
  <c r="E248" i="2"/>
  <c r="F248" i="2"/>
  <c r="G248" i="2"/>
  <c r="E217" i="2"/>
  <c r="F217" i="2"/>
  <c r="G217" i="2"/>
  <c r="E249" i="2"/>
  <c r="F249" i="2"/>
  <c r="G249" i="2"/>
  <c r="E218" i="2"/>
  <c r="F218" i="2"/>
  <c r="G218" i="2"/>
  <c r="E250" i="2"/>
  <c r="F250" i="2"/>
  <c r="G250" i="2"/>
  <c r="E251" i="2"/>
  <c r="F251" i="2"/>
  <c r="G251" i="2"/>
  <c r="E252" i="2"/>
  <c r="F252" i="2"/>
  <c r="G252" i="2"/>
  <c r="E253" i="2"/>
  <c r="F253" i="2"/>
  <c r="G253" i="2"/>
  <c r="E254" i="2"/>
  <c r="F254" i="2"/>
  <c r="G254" i="2"/>
  <c r="E255" i="2"/>
  <c r="F255" i="2"/>
  <c r="G255" i="2"/>
  <c r="E219" i="2"/>
  <c r="F219" i="2"/>
  <c r="G219" i="2"/>
  <c r="E256" i="2"/>
  <c r="F256" i="2"/>
  <c r="G256" i="2"/>
  <c r="E257" i="2"/>
  <c r="F257" i="2"/>
  <c r="G257" i="2"/>
  <c r="E258" i="2"/>
  <c r="F258" i="2"/>
  <c r="G258" i="2"/>
  <c r="E270" i="2"/>
  <c r="F270" i="2"/>
  <c r="G270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E263" i="2"/>
  <c r="F263" i="2"/>
  <c r="G263" i="2"/>
  <c r="E264" i="2"/>
  <c r="F264" i="2"/>
  <c r="G264" i="2"/>
  <c r="E265" i="2"/>
  <c r="F265" i="2"/>
  <c r="G265" i="2"/>
  <c r="E188" i="2"/>
  <c r="F188" i="2"/>
  <c r="G188" i="2"/>
  <c r="E69" i="2"/>
  <c r="F69" i="2"/>
  <c r="G69" i="2"/>
  <c r="E3" i="2"/>
  <c r="F3" i="2"/>
  <c r="G3" i="2"/>
  <c r="E4" i="2"/>
  <c r="F4" i="2"/>
  <c r="G4" i="2"/>
  <c r="E27" i="2"/>
  <c r="F27" i="2"/>
  <c r="G27" i="2"/>
  <c r="E28" i="2"/>
  <c r="F28" i="2"/>
  <c r="G28" i="2"/>
  <c r="E194" i="2"/>
  <c r="F194" i="2"/>
  <c r="G194" i="2"/>
  <c r="E195" i="2"/>
  <c r="F195" i="2"/>
  <c r="G195" i="2"/>
  <c r="E189" i="2"/>
  <c r="F189" i="2"/>
  <c r="G189" i="2"/>
  <c r="E97" i="2"/>
  <c r="F97" i="2"/>
  <c r="G97" i="2"/>
  <c r="E267" i="2"/>
  <c r="F267" i="2"/>
  <c r="G267" i="2"/>
  <c r="E147" i="2"/>
  <c r="F147" i="2"/>
  <c r="G147" i="2"/>
  <c r="E206" i="2"/>
  <c r="F206" i="2"/>
  <c r="G206" i="2"/>
  <c r="E214" i="2"/>
  <c r="F214" i="2"/>
  <c r="G214" i="2"/>
  <c r="E272" i="2"/>
  <c r="F272" i="2"/>
  <c r="G272" i="2"/>
  <c r="E273" i="2"/>
  <c r="F273" i="2"/>
  <c r="G273" i="2"/>
  <c r="E275" i="2"/>
  <c r="F275" i="2"/>
  <c r="G275" i="2"/>
  <c r="E281" i="2"/>
  <c r="F281" i="2"/>
  <c r="G281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E286" i="2"/>
  <c r="F286" i="2"/>
  <c r="G286" i="2"/>
  <c r="E287" i="2"/>
  <c r="F287" i="2"/>
  <c r="G287" i="2"/>
  <c r="E288" i="2"/>
  <c r="F288" i="2"/>
  <c r="G288" i="2"/>
  <c r="E274" i="2"/>
  <c r="F274" i="2"/>
  <c r="G274" i="2"/>
  <c r="E336" i="2"/>
  <c r="F336" i="2"/>
  <c r="G336" i="2"/>
  <c r="E337" i="2"/>
  <c r="F337" i="2"/>
  <c r="G337" i="2"/>
  <c r="E338" i="2"/>
  <c r="F338" i="2"/>
  <c r="G338" i="2"/>
  <c r="E339" i="2"/>
  <c r="F339" i="2"/>
  <c r="G339" i="2"/>
  <c r="E340" i="2"/>
  <c r="F340" i="2"/>
  <c r="G340" i="2"/>
  <c r="E341" i="2"/>
  <c r="F341" i="2"/>
  <c r="G341" i="2"/>
  <c r="E290" i="2"/>
  <c r="F290" i="2"/>
  <c r="G290" i="2"/>
  <c r="E291" i="2"/>
  <c r="F291" i="2"/>
  <c r="G291" i="2"/>
  <c r="E293" i="2"/>
  <c r="F293" i="2"/>
  <c r="G293" i="2"/>
  <c r="E292" i="2"/>
  <c r="F292" i="2"/>
  <c r="G292" i="2"/>
  <c r="E312" i="2"/>
  <c r="F312" i="2"/>
  <c r="G312" i="2"/>
  <c r="E313" i="2"/>
  <c r="F313" i="2"/>
  <c r="G313" i="2"/>
  <c r="E271" i="2"/>
  <c r="F271" i="2"/>
  <c r="G271" i="2"/>
  <c r="E294" i="2"/>
  <c r="F294" i="2"/>
  <c r="G294" i="2"/>
  <c r="E314" i="2"/>
  <c r="F314" i="2"/>
  <c r="G314" i="2"/>
  <c r="E315" i="2"/>
  <c r="F315" i="2"/>
  <c r="G315" i="2"/>
  <c r="E354" i="2"/>
  <c r="F354" i="2"/>
  <c r="G354" i="2"/>
  <c r="E355" i="2"/>
  <c r="F355" i="2"/>
  <c r="G355" i="2"/>
  <c r="E356" i="2"/>
  <c r="F356" i="2"/>
  <c r="G356" i="2"/>
  <c r="E357" i="2"/>
  <c r="F357" i="2"/>
  <c r="G357" i="2"/>
  <c r="E358" i="2"/>
  <c r="F358" i="2"/>
  <c r="G358" i="2"/>
  <c r="E367" i="2"/>
  <c r="F367" i="2"/>
  <c r="G367" i="2"/>
  <c r="E368" i="2"/>
  <c r="F368" i="2"/>
  <c r="G368" i="2"/>
  <c r="E213" i="2"/>
  <c r="F213" i="2"/>
  <c r="G213" i="2"/>
  <c r="E295" i="2"/>
  <c r="F295" i="2"/>
  <c r="G295" i="2"/>
  <c r="E298" i="2"/>
  <c r="F298" i="2"/>
  <c r="G298" i="2"/>
  <c r="E299" i="2"/>
  <c r="F299" i="2"/>
  <c r="G299" i="2"/>
  <c r="E304" i="2"/>
  <c r="F304" i="2"/>
  <c r="G304" i="2"/>
  <c r="E305" i="2"/>
  <c r="F305" i="2"/>
  <c r="G305" i="2"/>
  <c r="E306" i="2"/>
  <c r="F306" i="2"/>
  <c r="G306" i="2"/>
  <c r="E376" i="2"/>
  <c r="F376" i="2"/>
  <c r="G376" i="2"/>
  <c r="E327" i="2"/>
  <c r="F327" i="2"/>
  <c r="G327" i="2"/>
  <c r="E369" i="2"/>
  <c r="F369" i="2"/>
  <c r="G369" i="2"/>
  <c r="E370" i="2"/>
  <c r="F370" i="2"/>
  <c r="G370" i="2"/>
  <c r="E371" i="2"/>
  <c r="F371" i="2"/>
  <c r="G371" i="2"/>
  <c r="E372" i="2"/>
  <c r="F372" i="2"/>
  <c r="G372" i="2"/>
  <c r="E373" i="2"/>
  <c r="F373" i="2"/>
  <c r="G373" i="2"/>
  <c r="E374" i="2"/>
  <c r="F374" i="2"/>
  <c r="G374" i="2"/>
  <c r="E106" i="2"/>
  <c r="F106" i="2"/>
  <c r="G106" i="2"/>
  <c r="E157" i="2"/>
  <c r="F157" i="2"/>
  <c r="G157" i="2"/>
  <c r="E166" i="2"/>
  <c r="F166" i="2"/>
  <c r="G166" i="2"/>
  <c r="E310" i="2"/>
  <c r="F310" i="2"/>
  <c r="G310" i="2"/>
  <c r="E311" i="2"/>
  <c r="F311" i="2"/>
  <c r="G311" i="2"/>
  <c r="E377" i="2"/>
  <c r="F377" i="2"/>
  <c r="G377" i="2"/>
  <c r="E365" i="2"/>
  <c r="F365" i="2"/>
  <c r="G365" i="2"/>
  <c r="E378" i="2"/>
  <c r="F378" i="2"/>
  <c r="G378" i="2"/>
  <c r="E379" i="2"/>
  <c r="F379" i="2"/>
  <c r="G379" i="2"/>
  <c r="E412" i="2"/>
  <c r="F412" i="2"/>
  <c r="G412" i="2"/>
  <c r="E413" i="2"/>
  <c r="F413" i="2"/>
  <c r="G413" i="2"/>
  <c r="E269" i="2"/>
  <c r="F269" i="2"/>
  <c r="G269" i="2"/>
  <c r="E268" i="2"/>
  <c r="F268" i="2"/>
  <c r="G268" i="2"/>
  <c r="E23" i="2"/>
  <c r="F23" i="2"/>
  <c r="G23" i="2"/>
  <c r="E308" i="2"/>
  <c r="F308" i="2"/>
  <c r="G308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E363" i="2"/>
  <c r="F363" i="2"/>
  <c r="G363" i="2"/>
  <c r="E364" i="2"/>
  <c r="F364" i="2"/>
  <c r="G364" i="2"/>
  <c r="E161" i="2"/>
  <c r="F161" i="2"/>
  <c r="G161" i="2"/>
  <c r="E193" i="2"/>
  <c r="F193" i="2"/>
  <c r="G193" i="2"/>
  <c r="E24" i="2"/>
  <c r="F24" i="2"/>
  <c r="G24" i="2"/>
  <c r="E30" i="2"/>
  <c r="F30" i="2"/>
  <c r="G30" i="2"/>
  <c r="E31" i="2"/>
  <c r="F31" i="2"/>
  <c r="G31" i="2"/>
  <c r="E32" i="2"/>
  <c r="F32" i="2"/>
  <c r="G32" i="2"/>
  <c r="E20" i="2"/>
  <c r="F20" i="2"/>
  <c r="G20" i="2"/>
  <c r="E18" i="2"/>
  <c r="F18" i="2"/>
  <c r="G18" i="2"/>
  <c r="E22" i="2"/>
  <c r="F22" i="2"/>
  <c r="G22" i="2"/>
  <c r="E45" i="2"/>
  <c r="F45" i="2"/>
  <c r="G45" i="2"/>
  <c r="E49" i="2"/>
  <c r="F49" i="2"/>
  <c r="G49" i="2"/>
  <c r="E7" i="2"/>
  <c r="F7" i="2"/>
  <c r="G7" i="2"/>
  <c r="E5" i="2"/>
  <c r="F5" i="2"/>
  <c r="G5" i="2"/>
  <c r="E25" i="2"/>
  <c r="F25" i="2"/>
  <c r="G25" i="2"/>
  <c r="E26" i="2"/>
  <c r="F26" i="2"/>
  <c r="G26" i="2"/>
  <c r="E10" i="2"/>
  <c r="F10" i="2"/>
  <c r="G10" i="2"/>
  <c r="E11" i="2"/>
  <c r="F11" i="2"/>
  <c r="G11" i="2"/>
  <c r="E12" i="2"/>
  <c r="F12" i="2"/>
  <c r="G12" i="2"/>
  <c r="E13" i="2"/>
  <c r="F13" i="2"/>
  <c r="G13" i="2"/>
  <c r="E38" i="2"/>
  <c r="F38" i="2"/>
  <c r="G38" i="2"/>
  <c r="E43" i="2"/>
  <c r="F43" i="2"/>
  <c r="G43" i="2"/>
  <c r="E44" i="2"/>
  <c r="F44" i="2"/>
  <c r="G44" i="2"/>
  <c r="B38" i="2" l="1"/>
  <c r="B43" i="2"/>
  <c r="B44" i="2"/>
  <c r="B46" i="2"/>
  <c r="B14" i="2"/>
  <c r="B47" i="2"/>
  <c r="B21" i="2"/>
  <c r="B48" i="2"/>
  <c r="B63" i="2"/>
  <c r="B8" i="2"/>
  <c r="B9" i="2"/>
  <c r="B39" i="2"/>
  <c r="B40" i="2"/>
  <c r="B41" i="2"/>
  <c r="B42" i="2"/>
  <c r="B29" i="2"/>
  <c r="B37" i="2"/>
  <c r="B33" i="2"/>
  <c r="B34" i="2"/>
  <c r="B36" i="2"/>
  <c r="B59" i="2"/>
  <c r="B56" i="2"/>
  <c r="B15" i="2"/>
  <c r="B16" i="2"/>
  <c r="B17" i="2"/>
  <c r="B19" i="2"/>
  <c r="B55" i="2"/>
  <c r="B51" i="2"/>
  <c r="B52" i="2"/>
  <c r="B53" i="2"/>
  <c r="B414" i="2"/>
  <c r="B415" i="2"/>
  <c r="B416" i="2"/>
  <c r="B417" i="2"/>
  <c r="B50" i="2"/>
  <c r="B64" i="2"/>
  <c r="B65" i="2"/>
  <c r="B70" i="2"/>
  <c r="B71" i="2"/>
  <c r="B83" i="2"/>
  <c r="B84" i="2"/>
  <c r="B85" i="2"/>
  <c r="B86" i="2"/>
  <c r="B87" i="2"/>
  <c r="B88" i="2"/>
  <c r="B89" i="2"/>
  <c r="B90" i="2"/>
  <c r="B92" i="2"/>
  <c r="B159" i="2"/>
  <c r="B160" i="2"/>
  <c r="B158" i="2"/>
  <c r="B58" i="2"/>
  <c r="B60" i="2"/>
  <c r="B61" i="2"/>
  <c r="B176" i="2"/>
  <c r="B177" i="2"/>
  <c r="B178" i="2"/>
  <c r="B179" i="2"/>
  <c r="B148" i="2"/>
  <c r="B149" i="2"/>
  <c r="B150" i="2"/>
  <c r="B151" i="2"/>
  <c r="B152" i="2"/>
  <c r="B153" i="2"/>
  <c r="B154" i="2"/>
  <c r="B155" i="2"/>
  <c r="B156" i="2"/>
  <c r="B180" i="2"/>
  <c r="B181" i="2"/>
  <c r="B182" i="2"/>
  <c r="B183" i="2"/>
  <c r="B185" i="2"/>
  <c r="B173" i="2"/>
  <c r="B132" i="2"/>
  <c r="B187" i="2"/>
  <c r="B174" i="2"/>
  <c r="B190" i="2"/>
  <c r="B103" i="2"/>
  <c r="B104" i="2"/>
  <c r="B105" i="2"/>
  <c r="B196" i="2"/>
  <c r="B184" i="2"/>
  <c r="B186" i="2"/>
  <c r="B191" i="2"/>
  <c r="B192" i="2"/>
  <c r="B134" i="2"/>
  <c r="B135" i="2"/>
  <c r="B136" i="2"/>
  <c r="B141" i="2"/>
  <c r="B57" i="2"/>
  <c r="B142" i="2"/>
  <c r="B140" i="2"/>
  <c r="B131" i="2"/>
  <c r="B133" i="2"/>
  <c r="B143" i="2"/>
  <c r="B144" i="2"/>
  <c r="B145" i="2"/>
  <c r="B146" i="2"/>
  <c r="B137" i="2"/>
  <c r="B138" i="2"/>
  <c r="B139" i="2"/>
  <c r="B72" i="2"/>
  <c r="B73" i="2"/>
  <c r="B74" i="2"/>
  <c r="B75" i="2"/>
  <c r="B77" i="2"/>
  <c r="B78" i="2"/>
  <c r="B79" i="2"/>
  <c r="B80" i="2"/>
  <c r="B81" i="2"/>
  <c r="B167" i="2"/>
  <c r="B82" i="2"/>
  <c r="B94" i="2"/>
  <c r="B95" i="2"/>
  <c r="B96" i="2"/>
  <c r="B330" i="2"/>
  <c r="B307" i="2"/>
  <c r="B121" i="2"/>
  <c r="B122" i="2"/>
  <c r="B123" i="2"/>
  <c r="B124" i="2"/>
  <c r="B125" i="2"/>
  <c r="B126" i="2"/>
  <c r="B127" i="2"/>
  <c r="B128" i="2"/>
  <c r="B129" i="2"/>
  <c r="B130" i="2"/>
  <c r="B110" i="2"/>
  <c r="B111" i="2"/>
  <c r="B112" i="2"/>
  <c r="B114" i="2"/>
  <c r="B115" i="2"/>
  <c r="B116" i="2"/>
  <c r="B117" i="2"/>
  <c r="B118" i="2"/>
  <c r="B119" i="2"/>
  <c r="B120" i="2"/>
  <c r="B113" i="2"/>
  <c r="B197" i="2"/>
  <c r="B198" i="2"/>
  <c r="B199" i="2"/>
  <c r="B200" i="2"/>
  <c r="B201" i="2"/>
  <c r="B102" i="2"/>
  <c r="B202" i="2"/>
  <c r="B204" i="2"/>
  <c r="B205" i="2"/>
  <c r="B107" i="2"/>
  <c r="B109" i="2"/>
  <c r="B98" i="2"/>
  <c r="B99" i="2"/>
  <c r="B100" i="2"/>
  <c r="B101" i="2"/>
  <c r="B108" i="2"/>
  <c r="B289" i="2"/>
  <c r="B209" i="2"/>
  <c r="B210" i="2"/>
  <c r="B211" i="2"/>
  <c r="B163" i="2"/>
  <c r="B162" i="2"/>
  <c r="B212" i="2"/>
  <c r="B266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15" i="2"/>
  <c r="B6" i="2"/>
  <c r="B237" i="2"/>
  <c r="B54" i="2"/>
  <c r="B238" i="2"/>
  <c r="B239" i="2"/>
  <c r="B240" i="2"/>
  <c r="B241" i="2"/>
  <c r="B216" i="2"/>
  <c r="B242" i="2"/>
  <c r="B243" i="2"/>
  <c r="B244" i="2"/>
  <c r="B245" i="2"/>
  <c r="B246" i="2"/>
  <c r="B247" i="2"/>
  <c r="B248" i="2"/>
  <c r="B217" i="2"/>
  <c r="B249" i="2"/>
  <c r="B218" i="2"/>
  <c r="B250" i="2"/>
  <c r="B251" i="2"/>
  <c r="B252" i="2"/>
  <c r="B253" i="2"/>
  <c r="B254" i="2"/>
  <c r="B255" i="2"/>
  <c r="B219" i="2"/>
  <c r="B256" i="2"/>
  <c r="B257" i="2"/>
  <c r="B258" i="2"/>
  <c r="B270" i="2"/>
  <c r="B259" i="2"/>
  <c r="B260" i="2"/>
  <c r="B261" i="2"/>
  <c r="B262" i="2"/>
  <c r="B263" i="2"/>
  <c r="B264" i="2"/>
  <c r="B265" i="2"/>
  <c r="B188" i="2"/>
  <c r="B69" i="2"/>
  <c r="B3" i="2"/>
  <c r="B4" i="2"/>
  <c r="B27" i="2"/>
  <c r="B28" i="2"/>
  <c r="B194" i="2"/>
  <c r="B195" i="2"/>
  <c r="B189" i="2"/>
  <c r="B97" i="2"/>
  <c r="B267" i="2"/>
  <c r="B147" i="2"/>
  <c r="B206" i="2"/>
  <c r="B214" i="2"/>
  <c r="B272" i="2"/>
  <c r="B273" i="2"/>
  <c r="B275" i="2"/>
  <c r="B281" i="2"/>
  <c r="B276" i="2"/>
  <c r="B277" i="2"/>
  <c r="B278" i="2"/>
  <c r="B279" i="2"/>
  <c r="B280" i="2"/>
  <c r="B282" i="2"/>
  <c r="B283" i="2"/>
  <c r="B284" i="2"/>
  <c r="B285" i="2"/>
  <c r="B286" i="2"/>
  <c r="B287" i="2"/>
  <c r="B288" i="2"/>
  <c r="B274" i="2"/>
  <c r="B336" i="2"/>
  <c r="B337" i="2"/>
  <c r="B338" i="2"/>
  <c r="B339" i="2"/>
  <c r="B340" i="2"/>
  <c r="B341" i="2"/>
  <c r="B290" i="2"/>
  <c r="B291" i="2"/>
  <c r="B293" i="2"/>
  <c r="B292" i="2"/>
  <c r="B312" i="2"/>
  <c r="B313" i="2"/>
  <c r="B271" i="2"/>
  <c r="B294" i="2"/>
  <c r="B314" i="2"/>
  <c r="B315" i="2"/>
  <c r="B354" i="2"/>
  <c r="B355" i="2"/>
  <c r="B356" i="2"/>
  <c r="B357" i="2"/>
  <c r="B358" i="2"/>
  <c r="B367" i="2"/>
  <c r="B368" i="2"/>
  <c r="B213" i="2"/>
  <c r="B295" i="2"/>
  <c r="B298" i="2"/>
  <c r="B299" i="2"/>
  <c r="B304" i="2"/>
  <c r="B305" i="2"/>
  <c r="B306" i="2"/>
  <c r="B376" i="2"/>
  <c r="B327" i="2"/>
  <c r="B369" i="2"/>
  <c r="B370" i="2"/>
  <c r="B371" i="2"/>
  <c r="B372" i="2"/>
  <c r="B373" i="2"/>
  <c r="B374" i="2"/>
  <c r="B106" i="2"/>
  <c r="B157" i="2"/>
  <c r="B166" i="2"/>
  <c r="B310" i="2"/>
  <c r="B311" i="2"/>
  <c r="B377" i="2"/>
  <c r="B365" i="2"/>
  <c r="B378" i="2"/>
  <c r="B379" i="2"/>
  <c r="B412" i="2"/>
  <c r="B413" i="2"/>
  <c r="B269" i="2"/>
  <c r="B268" i="2"/>
  <c r="B23" i="2"/>
  <c r="B308" i="2"/>
  <c r="B359" i="2"/>
  <c r="B360" i="2"/>
  <c r="B361" i="2"/>
  <c r="B362" i="2"/>
  <c r="B363" i="2"/>
  <c r="B364" i="2"/>
  <c r="B161" i="2"/>
  <c r="B193" i="2"/>
  <c r="B326" i="2"/>
  <c r="B328" i="2"/>
  <c r="B168" i="2"/>
  <c r="B169" i="2"/>
  <c r="B164" i="2"/>
  <c r="B165" i="2"/>
  <c r="B170" i="2"/>
  <c r="B172" i="2"/>
  <c r="B324" i="2"/>
  <c r="B380" i="2"/>
  <c r="B383" i="2"/>
  <c r="B384" i="2"/>
  <c r="B381" i="2"/>
  <c r="B405" i="2"/>
  <c r="B410" i="2"/>
  <c r="B411" i="2"/>
  <c r="B382" i="2"/>
  <c r="B389" i="2"/>
  <c r="B393" i="2"/>
  <c r="B391" i="2"/>
  <c r="B392" i="2"/>
  <c r="B395" i="2"/>
  <c r="B397" i="2"/>
  <c r="B398" i="2"/>
  <c r="B399" i="2"/>
  <c r="B400" i="2"/>
  <c r="B406" i="2"/>
  <c r="B404" i="2"/>
  <c r="B409" i="2"/>
  <c r="B401" i="2"/>
  <c r="B402" i="2"/>
  <c r="B403" i="2"/>
  <c r="B407" i="2"/>
  <c r="B408" i="2"/>
  <c r="B385" i="2"/>
  <c r="B388" i="2"/>
  <c r="B386" i="2"/>
  <c r="B387" i="2"/>
  <c r="B390" i="2"/>
  <c r="B394" i="2"/>
  <c r="B396" i="2"/>
  <c r="B24" i="2"/>
  <c r="B30" i="2"/>
  <c r="B31" i="2"/>
  <c r="B32" i="2"/>
  <c r="B20" i="2"/>
  <c r="B18" i="2"/>
  <c r="B22" i="2"/>
  <c r="B45" i="2"/>
  <c r="B49" i="2"/>
  <c r="B7" i="2"/>
  <c r="B5" i="2"/>
  <c r="B25" i="2"/>
  <c r="B26" i="2"/>
  <c r="B10" i="2"/>
  <c r="B11" i="2"/>
  <c r="B12" i="2"/>
  <c r="B13" i="2"/>
  <c r="I233" i="2"/>
  <c r="I251" i="2"/>
  <c r="I380" i="2"/>
  <c r="I383" i="2"/>
  <c r="I384" i="2"/>
  <c r="I405" i="2"/>
  <c r="J233" i="2"/>
  <c r="J251" i="2"/>
  <c r="J380" i="2"/>
  <c r="J383" i="2"/>
  <c r="J384" i="2"/>
  <c r="J405" i="2"/>
  <c r="K24" i="2"/>
  <c r="K30" i="2"/>
  <c r="K31" i="2"/>
  <c r="K32" i="2"/>
  <c r="K20" i="2"/>
  <c r="K18" i="2"/>
  <c r="K22" i="2"/>
  <c r="K45" i="2"/>
  <c r="K49" i="2"/>
  <c r="K7" i="2"/>
  <c r="K5" i="2"/>
  <c r="K25" i="2"/>
  <c r="K26" i="2"/>
  <c r="K10" i="2"/>
  <c r="K11" i="2"/>
  <c r="K12" i="2"/>
  <c r="K13" i="2"/>
  <c r="K38" i="2"/>
  <c r="K43" i="2"/>
  <c r="K44" i="2"/>
  <c r="K46" i="2"/>
  <c r="K14" i="2"/>
  <c r="K47" i="2"/>
  <c r="K21" i="2"/>
  <c r="K48" i="2"/>
  <c r="K63" i="2"/>
  <c r="K8" i="2"/>
  <c r="K9" i="2"/>
  <c r="K39" i="2"/>
  <c r="K40" i="2"/>
  <c r="K41" i="2"/>
  <c r="K42" i="2"/>
  <c r="K29" i="2"/>
  <c r="K37" i="2"/>
  <c r="K33" i="2"/>
  <c r="K34" i="2"/>
  <c r="K36" i="2"/>
  <c r="K59" i="2"/>
  <c r="K56" i="2"/>
  <c r="K15" i="2"/>
  <c r="K16" i="2"/>
  <c r="K17" i="2"/>
  <c r="K19" i="2"/>
  <c r="K55" i="2"/>
  <c r="K51" i="2"/>
  <c r="K52" i="2"/>
  <c r="K53" i="2"/>
  <c r="K414" i="2"/>
  <c r="K415" i="2"/>
  <c r="K416" i="2"/>
  <c r="K417" i="2"/>
  <c r="K50" i="2"/>
  <c r="K64" i="2"/>
  <c r="K65" i="2"/>
  <c r="K70" i="2"/>
  <c r="K71" i="2"/>
  <c r="K83" i="2"/>
  <c r="K84" i="2"/>
  <c r="K85" i="2"/>
  <c r="K86" i="2"/>
  <c r="K87" i="2"/>
  <c r="K88" i="2"/>
  <c r="K89" i="2"/>
  <c r="K90" i="2"/>
  <c r="K92" i="2"/>
  <c r="K159" i="2"/>
  <c r="K160" i="2"/>
  <c r="K158" i="2"/>
  <c r="K58" i="2"/>
  <c r="K60" i="2"/>
  <c r="K61" i="2"/>
  <c r="K176" i="2"/>
  <c r="K177" i="2"/>
  <c r="K178" i="2"/>
  <c r="K179" i="2"/>
  <c r="K148" i="2"/>
  <c r="K149" i="2"/>
  <c r="K150" i="2"/>
  <c r="K151" i="2"/>
  <c r="K152" i="2"/>
  <c r="K153" i="2"/>
  <c r="K154" i="2"/>
  <c r="K155" i="2"/>
  <c r="K156" i="2"/>
  <c r="K180" i="2"/>
  <c r="K181" i="2"/>
  <c r="K182" i="2"/>
  <c r="K183" i="2"/>
  <c r="K185" i="2"/>
  <c r="K173" i="2"/>
  <c r="K132" i="2"/>
  <c r="K187" i="2"/>
  <c r="K174" i="2"/>
  <c r="K190" i="2"/>
  <c r="K103" i="2"/>
  <c r="K104" i="2"/>
  <c r="K105" i="2"/>
  <c r="K196" i="2"/>
  <c r="K184" i="2"/>
  <c r="K186" i="2"/>
  <c r="K191" i="2"/>
  <c r="K192" i="2"/>
  <c r="K134" i="2"/>
  <c r="K135" i="2"/>
  <c r="K136" i="2"/>
  <c r="K141" i="2"/>
  <c r="K57" i="2"/>
  <c r="K142" i="2"/>
  <c r="K140" i="2"/>
  <c r="K131" i="2"/>
  <c r="K133" i="2"/>
  <c r="K143" i="2"/>
  <c r="K144" i="2"/>
  <c r="K145" i="2"/>
  <c r="K146" i="2"/>
  <c r="K137" i="2"/>
  <c r="K138" i="2"/>
  <c r="K139" i="2"/>
  <c r="K72" i="2"/>
  <c r="K73" i="2"/>
  <c r="K74" i="2"/>
  <c r="K75" i="2"/>
  <c r="K77" i="2"/>
  <c r="K78" i="2"/>
  <c r="K79" i="2"/>
  <c r="K80" i="2"/>
  <c r="K81" i="2"/>
  <c r="K167" i="2"/>
  <c r="K82" i="2"/>
  <c r="K94" i="2"/>
  <c r="K95" i="2"/>
  <c r="K96" i="2"/>
  <c r="K330" i="2"/>
  <c r="K307" i="2"/>
  <c r="K121" i="2"/>
  <c r="K122" i="2"/>
  <c r="K123" i="2"/>
  <c r="K124" i="2"/>
  <c r="K125" i="2"/>
  <c r="K126" i="2"/>
  <c r="K127" i="2"/>
  <c r="K128" i="2"/>
  <c r="K129" i="2"/>
  <c r="K130" i="2"/>
  <c r="K110" i="2"/>
  <c r="K111" i="2"/>
  <c r="K112" i="2"/>
  <c r="K114" i="2"/>
  <c r="K115" i="2"/>
  <c r="K116" i="2"/>
  <c r="K117" i="2"/>
  <c r="K118" i="2"/>
  <c r="K119" i="2"/>
  <c r="K120" i="2"/>
  <c r="K113" i="2"/>
  <c r="K197" i="2"/>
  <c r="K198" i="2"/>
  <c r="K199" i="2"/>
  <c r="K200" i="2"/>
  <c r="K201" i="2"/>
  <c r="K102" i="2"/>
  <c r="K202" i="2"/>
  <c r="K204" i="2"/>
  <c r="K205" i="2"/>
  <c r="K107" i="2"/>
  <c r="K109" i="2"/>
  <c r="K98" i="2"/>
  <c r="K99" i="2"/>
  <c r="K100" i="2"/>
  <c r="K101" i="2"/>
  <c r="K108" i="2"/>
  <c r="K289" i="2"/>
  <c r="K209" i="2"/>
  <c r="K210" i="2"/>
  <c r="K211" i="2"/>
  <c r="K163" i="2"/>
  <c r="K162" i="2"/>
  <c r="K212" i="2"/>
  <c r="K266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15" i="2"/>
  <c r="K6" i="2"/>
  <c r="K237" i="2"/>
  <c r="K54" i="2"/>
  <c r="K238" i="2"/>
  <c r="K239" i="2"/>
  <c r="K240" i="2"/>
  <c r="K241" i="2"/>
  <c r="K216" i="2"/>
  <c r="K242" i="2"/>
  <c r="K243" i="2"/>
  <c r="K244" i="2"/>
  <c r="K245" i="2"/>
  <c r="K246" i="2"/>
  <c r="K247" i="2"/>
  <c r="K248" i="2"/>
  <c r="K217" i="2"/>
  <c r="K249" i="2"/>
  <c r="K218" i="2"/>
  <c r="K250" i="2"/>
  <c r="K251" i="2"/>
  <c r="K252" i="2"/>
  <c r="K253" i="2"/>
  <c r="K254" i="2"/>
  <c r="K255" i="2"/>
  <c r="K219" i="2"/>
  <c r="K256" i="2"/>
  <c r="K257" i="2"/>
  <c r="K258" i="2"/>
  <c r="K270" i="2"/>
  <c r="K259" i="2"/>
  <c r="K260" i="2"/>
  <c r="K261" i="2"/>
  <c r="K262" i="2"/>
  <c r="K263" i="2"/>
  <c r="K264" i="2"/>
  <c r="K265" i="2"/>
  <c r="K188" i="2"/>
  <c r="K69" i="2"/>
  <c r="K3" i="2"/>
  <c r="K4" i="2"/>
  <c r="K27" i="2"/>
  <c r="K28" i="2"/>
  <c r="K194" i="2"/>
  <c r="K195" i="2"/>
  <c r="K189" i="2"/>
  <c r="K97" i="2"/>
  <c r="K267" i="2"/>
  <c r="K147" i="2"/>
  <c r="K206" i="2"/>
  <c r="K214" i="2"/>
  <c r="K272" i="2"/>
  <c r="K273" i="2"/>
  <c r="K275" i="2"/>
  <c r="K281" i="2"/>
  <c r="K276" i="2"/>
  <c r="K277" i="2"/>
  <c r="K278" i="2"/>
  <c r="K279" i="2"/>
  <c r="K280" i="2"/>
  <c r="K282" i="2"/>
  <c r="K283" i="2"/>
  <c r="K284" i="2"/>
  <c r="K285" i="2"/>
  <c r="K286" i="2"/>
  <c r="K287" i="2"/>
  <c r="K288" i="2"/>
  <c r="K274" i="2"/>
  <c r="K336" i="2"/>
  <c r="K337" i="2"/>
  <c r="K338" i="2"/>
  <c r="K339" i="2"/>
  <c r="K340" i="2"/>
  <c r="K341" i="2"/>
  <c r="K290" i="2"/>
  <c r="K291" i="2"/>
  <c r="K293" i="2"/>
  <c r="K292" i="2"/>
  <c r="K312" i="2"/>
  <c r="K313" i="2"/>
  <c r="K271" i="2"/>
  <c r="K294" i="2"/>
  <c r="K314" i="2"/>
  <c r="K315" i="2"/>
  <c r="K354" i="2"/>
  <c r="K355" i="2"/>
  <c r="K356" i="2"/>
  <c r="K357" i="2"/>
  <c r="K358" i="2"/>
  <c r="K367" i="2"/>
  <c r="K368" i="2"/>
  <c r="K213" i="2"/>
  <c r="K295" i="2"/>
  <c r="K298" i="2"/>
  <c r="K299" i="2"/>
  <c r="K304" i="2"/>
  <c r="K305" i="2"/>
  <c r="K306" i="2"/>
  <c r="K376" i="2"/>
  <c r="K327" i="2"/>
  <c r="K369" i="2"/>
  <c r="K370" i="2"/>
  <c r="K371" i="2"/>
  <c r="K372" i="2"/>
  <c r="K373" i="2"/>
  <c r="K374" i="2"/>
  <c r="K106" i="2"/>
  <c r="K157" i="2"/>
  <c r="K166" i="2"/>
  <c r="K310" i="2"/>
  <c r="K311" i="2"/>
  <c r="K377" i="2"/>
  <c r="K365" i="2"/>
  <c r="K378" i="2"/>
  <c r="K379" i="2"/>
  <c r="K412" i="2"/>
  <c r="K413" i="2"/>
  <c r="K269" i="2"/>
  <c r="K268" i="2"/>
  <c r="K23" i="2"/>
  <c r="K308" i="2"/>
  <c r="K359" i="2"/>
  <c r="K360" i="2"/>
  <c r="K361" i="2"/>
  <c r="K362" i="2"/>
  <c r="K363" i="2"/>
  <c r="K364" i="2"/>
  <c r="K193" i="2"/>
  <c r="K326" i="2"/>
  <c r="K328" i="2"/>
  <c r="K168" i="2"/>
  <c r="K169" i="2"/>
  <c r="K164" i="2"/>
  <c r="K165" i="2"/>
  <c r="K170" i="2"/>
  <c r="K172" i="2"/>
  <c r="K324" i="2"/>
  <c r="K380" i="2"/>
  <c r="K383" i="2"/>
  <c r="K384" i="2"/>
  <c r="K381" i="2"/>
  <c r="K405" i="2"/>
  <c r="K410" i="2"/>
  <c r="K411" i="2"/>
  <c r="K382" i="2"/>
  <c r="K389" i="2"/>
  <c r="K393" i="2"/>
  <c r="K391" i="2"/>
  <c r="K392" i="2"/>
  <c r="K395" i="2"/>
  <c r="K397" i="2"/>
  <c r="K398" i="2"/>
  <c r="K399" i="2"/>
  <c r="K400" i="2"/>
  <c r="K406" i="2"/>
  <c r="K404" i="2"/>
  <c r="K409" i="2"/>
  <c r="K401" i="2"/>
  <c r="K402" i="2"/>
  <c r="K403" i="2"/>
  <c r="K407" i="2"/>
  <c r="K408" i="2"/>
  <c r="K385" i="2"/>
  <c r="K388" i="2"/>
  <c r="K386" i="2"/>
  <c r="K387" i="2"/>
  <c r="K390" i="2"/>
  <c r="K394" i="2"/>
  <c r="K396" i="2"/>
  <c r="L24" i="2"/>
  <c r="L30" i="2"/>
  <c r="L31" i="2"/>
  <c r="L32" i="2"/>
  <c r="L20" i="2"/>
  <c r="L18" i="2"/>
  <c r="L22" i="2"/>
  <c r="L45" i="2"/>
  <c r="L49" i="2"/>
  <c r="L7" i="2"/>
  <c r="L5" i="2"/>
  <c r="L25" i="2"/>
  <c r="L26" i="2"/>
  <c r="L10" i="2"/>
  <c r="L11" i="2"/>
  <c r="L12" i="2"/>
  <c r="L13" i="2"/>
  <c r="L38" i="2"/>
  <c r="L43" i="2"/>
  <c r="L44" i="2"/>
  <c r="L46" i="2"/>
  <c r="L14" i="2"/>
  <c r="L47" i="2"/>
  <c r="L21" i="2"/>
  <c r="L48" i="2"/>
  <c r="L63" i="2"/>
  <c r="L8" i="2"/>
  <c r="L9" i="2"/>
  <c r="L39" i="2"/>
  <c r="L40" i="2"/>
  <c r="L41" i="2"/>
  <c r="L42" i="2"/>
  <c r="L29" i="2"/>
  <c r="L37" i="2"/>
  <c r="L33" i="2"/>
  <c r="L34" i="2"/>
  <c r="L36" i="2"/>
  <c r="L59" i="2"/>
  <c r="L56" i="2"/>
  <c r="L15" i="2"/>
  <c r="L16" i="2"/>
  <c r="L17" i="2"/>
  <c r="L19" i="2"/>
  <c r="L55" i="2"/>
  <c r="L51" i="2"/>
  <c r="L52" i="2"/>
  <c r="L53" i="2"/>
  <c r="L414" i="2"/>
  <c r="L415" i="2"/>
  <c r="L416" i="2"/>
  <c r="L417" i="2"/>
  <c r="L50" i="2"/>
  <c r="L64" i="2"/>
  <c r="L65" i="2"/>
  <c r="L70" i="2"/>
  <c r="L71" i="2"/>
  <c r="L83" i="2"/>
  <c r="L84" i="2"/>
  <c r="L85" i="2"/>
  <c r="L86" i="2"/>
  <c r="L87" i="2"/>
  <c r="L88" i="2"/>
  <c r="L89" i="2"/>
  <c r="L90" i="2"/>
  <c r="L92" i="2"/>
  <c r="L159" i="2"/>
  <c r="L160" i="2"/>
  <c r="L158" i="2"/>
  <c r="L58" i="2"/>
  <c r="L60" i="2"/>
  <c r="L61" i="2"/>
  <c r="L176" i="2"/>
  <c r="L177" i="2"/>
  <c r="L178" i="2"/>
  <c r="L179" i="2"/>
  <c r="L148" i="2"/>
  <c r="L149" i="2"/>
  <c r="L150" i="2"/>
  <c r="L151" i="2"/>
  <c r="L152" i="2"/>
  <c r="L153" i="2"/>
  <c r="L154" i="2"/>
  <c r="L155" i="2"/>
  <c r="L156" i="2"/>
  <c r="L180" i="2"/>
  <c r="L181" i="2"/>
  <c r="L182" i="2"/>
  <c r="L183" i="2"/>
  <c r="L185" i="2"/>
  <c r="L173" i="2"/>
  <c r="L132" i="2"/>
  <c r="L187" i="2"/>
  <c r="L174" i="2"/>
  <c r="L190" i="2"/>
  <c r="L103" i="2"/>
  <c r="L104" i="2"/>
  <c r="L105" i="2"/>
  <c r="L196" i="2"/>
  <c r="L184" i="2"/>
  <c r="L186" i="2"/>
  <c r="L191" i="2"/>
  <c r="L192" i="2"/>
  <c r="L134" i="2"/>
  <c r="L135" i="2"/>
  <c r="L136" i="2"/>
  <c r="L141" i="2"/>
  <c r="L57" i="2"/>
  <c r="L142" i="2"/>
  <c r="L140" i="2"/>
  <c r="L131" i="2"/>
  <c r="L133" i="2"/>
  <c r="L143" i="2"/>
  <c r="L144" i="2"/>
  <c r="L145" i="2"/>
  <c r="L146" i="2"/>
  <c r="L137" i="2"/>
  <c r="L138" i="2"/>
  <c r="L139" i="2"/>
  <c r="L72" i="2"/>
  <c r="L73" i="2"/>
  <c r="L74" i="2"/>
  <c r="L75" i="2"/>
  <c r="L77" i="2"/>
  <c r="L78" i="2"/>
  <c r="L79" i="2"/>
  <c r="L80" i="2"/>
  <c r="L81" i="2"/>
  <c r="L167" i="2"/>
  <c r="L82" i="2"/>
  <c r="L94" i="2"/>
  <c r="L95" i="2"/>
  <c r="L96" i="2"/>
  <c r="L330" i="2"/>
  <c r="L307" i="2"/>
  <c r="L121" i="2"/>
  <c r="L122" i="2"/>
  <c r="L123" i="2"/>
  <c r="L124" i="2"/>
  <c r="L125" i="2"/>
  <c r="L126" i="2"/>
  <c r="L127" i="2"/>
  <c r="L128" i="2"/>
  <c r="L129" i="2"/>
  <c r="L130" i="2"/>
  <c r="L110" i="2"/>
  <c r="L111" i="2"/>
  <c r="L112" i="2"/>
  <c r="L114" i="2"/>
  <c r="L115" i="2"/>
  <c r="L116" i="2"/>
  <c r="L117" i="2"/>
  <c r="L118" i="2"/>
  <c r="L119" i="2"/>
  <c r="L120" i="2"/>
  <c r="L113" i="2"/>
  <c r="L197" i="2"/>
  <c r="L198" i="2"/>
  <c r="L199" i="2"/>
  <c r="L200" i="2"/>
  <c r="L201" i="2"/>
  <c r="L102" i="2"/>
  <c r="L202" i="2"/>
  <c r="L204" i="2"/>
  <c r="L205" i="2"/>
  <c r="L107" i="2"/>
  <c r="L109" i="2"/>
  <c r="L98" i="2"/>
  <c r="L99" i="2"/>
  <c r="L100" i="2"/>
  <c r="L101" i="2"/>
  <c r="L108" i="2"/>
  <c r="L289" i="2"/>
  <c r="L209" i="2"/>
  <c r="L210" i="2"/>
  <c r="L211" i="2"/>
  <c r="L163" i="2"/>
  <c r="L162" i="2"/>
  <c r="L212" i="2"/>
  <c r="L266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15" i="2"/>
  <c r="L6" i="2"/>
  <c r="L237" i="2"/>
  <c r="L54" i="2"/>
  <c r="L238" i="2"/>
  <c r="L239" i="2"/>
  <c r="L240" i="2"/>
  <c r="L241" i="2"/>
  <c r="L216" i="2"/>
  <c r="L242" i="2"/>
  <c r="L243" i="2"/>
  <c r="L244" i="2"/>
  <c r="L245" i="2"/>
  <c r="L246" i="2"/>
  <c r="L247" i="2"/>
  <c r="L248" i="2"/>
  <c r="L217" i="2"/>
  <c r="L249" i="2"/>
  <c r="L218" i="2"/>
  <c r="L250" i="2"/>
  <c r="L251" i="2"/>
  <c r="L252" i="2"/>
  <c r="L253" i="2"/>
  <c r="L254" i="2"/>
  <c r="L255" i="2"/>
  <c r="L219" i="2"/>
  <c r="L256" i="2"/>
  <c r="L257" i="2"/>
  <c r="L258" i="2"/>
  <c r="L270" i="2"/>
  <c r="L259" i="2"/>
  <c r="L260" i="2"/>
  <c r="L261" i="2"/>
  <c r="L262" i="2"/>
  <c r="L263" i="2"/>
  <c r="L264" i="2"/>
  <c r="L265" i="2"/>
  <c r="L188" i="2"/>
  <c r="L69" i="2"/>
  <c r="L3" i="2"/>
  <c r="L4" i="2"/>
  <c r="L27" i="2"/>
  <c r="L28" i="2"/>
  <c r="L194" i="2"/>
  <c r="L195" i="2"/>
  <c r="L189" i="2"/>
  <c r="L97" i="2"/>
  <c r="L267" i="2"/>
  <c r="L147" i="2"/>
  <c r="L206" i="2"/>
  <c r="L214" i="2"/>
  <c r="L272" i="2"/>
  <c r="L273" i="2"/>
  <c r="L275" i="2"/>
  <c r="L281" i="2"/>
  <c r="L276" i="2"/>
  <c r="L277" i="2"/>
  <c r="L278" i="2"/>
  <c r="L279" i="2"/>
  <c r="L280" i="2"/>
  <c r="L282" i="2"/>
  <c r="L283" i="2"/>
  <c r="L284" i="2"/>
  <c r="L285" i="2"/>
  <c r="L286" i="2"/>
  <c r="L287" i="2"/>
  <c r="L288" i="2"/>
  <c r="L274" i="2"/>
  <c r="L336" i="2"/>
  <c r="L337" i="2"/>
  <c r="L338" i="2"/>
  <c r="L339" i="2"/>
  <c r="L340" i="2"/>
  <c r="L341" i="2"/>
  <c r="L290" i="2"/>
  <c r="L291" i="2"/>
  <c r="L293" i="2"/>
  <c r="L292" i="2"/>
  <c r="L312" i="2"/>
  <c r="L313" i="2"/>
  <c r="L271" i="2"/>
  <c r="L294" i="2"/>
  <c r="L314" i="2"/>
  <c r="L315" i="2"/>
  <c r="L354" i="2"/>
  <c r="L355" i="2"/>
  <c r="L356" i="2"/>
  <c r="L357" i="2"/>
  <c r="L358" i="2"/>
  <c r="L367" i="2"/>
  <c r="L368" i="2"/>
  <c r="L213" i="2"/>
  <c r="L295" i="2"/>
  <c r="L298" i="2"/>
  <c r="L299" i="2"/>
  <c r="L304" i="2"/>
  <c r="L305" i="2"/>
  <c r="L306" i="2"/>
  <c r="L376" i="2"/>
  <c r="L327" i="2"/>
  <c r="L369" i="2"/>
  <c r="L370" i="2"/>
  <c r="L371" i="2"/>
  <c r="L372" i="2"/>
  <c r="L373" i="2"/>
  <c r="L374" i="2"/>
  <c r="L106" i="2"/>
  <c r="L157" i="2"/>
  <c r="L166" i="2"/>
  <c r="L310" i="2"/>
  <c r="L311" i="2"/>
  <c r="L377" i="2"/>
  <c r="L365" i="2"/>
  <c r="L378" i="2"/>
  <c r="L379" i="2"/>
  <c r="L412" i="2"/>
  <c r="L413" i="2"/>
  <c r="L269" i="2"/>
  <c r="L268" i="2"/>
  <c r="L23" i="2"/>
  <c r="L308" i="2"/>
  <c r="L359" i="2"/>
  <c r="L360" i="2"/>
  <c r="L361" i="2"/>
  <c r="L362" i="2"/>
  <c r="L363" i="2"/>
  <c r="L364" i="2"/>
  <c r="L161" i="2"/>
  <c r="L193" i="2"/>
  <c r="L326" i="2"/>
  <c r="L328" i="2"/>
  <c r="L168" i="2"/>
  <c r="L169" i="2"/>
  <c r="L164" i="2"/>
  <c r="L165" i="2"/>
  <c r="L170" i="2"/>
  <c r="L172" i="2"/>
  <c r="L324" i="2"/>
  <c r="L380" i="2"/>
  <c r="L383" i="2"/>
  <c r="L384" i="2"/>
  <c r="L381" i="2"/>
  <c r="L405" i="2"/>
  <c r="L410" i="2"/>
  <c r="L411" i="2"/>
  <c r="L382" i="2"/>
  <c r="L389" i="2"/>
  <c r="L393" i="2"/>
  <c r="L391" i="2"/>
  <c r="L392" i="2"/>
  <c r="L395" i="2"/>
  <c r="L397" i="2"/>
  <c r="L398" i="2"/>
  <c r="L399" i="2"/>
  <c r="L400" i="2"/>
  <c r="L406" i="2"/>
  <c r="L404" i="2"/>
  <c r="L409" i="2"/>
  <c r="L401" i="2"/>
  <c r="L402" i="2"/>
  <c r="L403" i="2"/>
  <c r="L407" i="2"/>
  <c r="L408" i="2"/>
  <c r="L385" i="2"/>
  <c r="L388" i="2"/>
  <c r="L386" i="2"/>
  <c r="L387" i="2"/>
  <c r="L390" i="2"/>
  <c r="L394" i="2"/>
  <c r="L396" i="2"/>
  <c r="M24" i="2"/>
  <c r="M30" i="2"/>
  <c r="M31" i="2"/>
  <c r="M32" i="2"/>
  <c r="M20" i="2"/>
  <c r="M18" i="2"/>
  <c r="M22" i="2"/>
  <c r="M45" i="2"/>
  <c r="M49" i="2"/>
  <c r="M7" i="2"/>
  <c r="M5" i="2"/>
  <c r="M25" i="2"/>
  <c r="M26" i="2"/>
  <c r="M10" i="2"/>
  <c r="M11" i="2"/>
  <c r="M12" i="2"/>
  <c r="M13" i="2"/>
  <c r="M38" i="2"/>
  <c r="M43" i="2"/>
  <c r="M44" i="2"/>
  <c r="M46" i="2"/>
  <c r="M14" i="2"/>
  <c r="M47" i="2"/>
  <c r="M21" i="2"/>
  <c r="M48" i="2"/>
  <c r="M63" i="2"/>
  <c r="M8" i="2"/>
  <c r="M9" i="2"/>
  <c r="M39" i="2"/>
  <c r="M40" i="2"/>
  <c r="M41" i="2"/>
  <c r="M42" i="2"/>
  <c r="M29" i="2"/>
  <c r="M37" i="2"/>
  <c r="M33" i="2"/>
  <c r="M34" i="2"/>
  <c r="M36" i="2"/>
  <c r="M59" i="2"/>
  <c r="M56" i="2"/>
  <c r="M15" i="2"/>
  <c r="M16" i="2"/>
  <c r="M17" i="2"/>
  <c r="M19" i="2"/>
  <c r="M55" i="2"/>
  <c r="M51" i="2"/>
  <c r="M52" i="2"/>
  <c r="M53" i="2"/>
  <c r="M414" i="2"/>
  <c r="M415" i="2"/>
  <c r="M416" i="2"/>
  <c r="M417" i="2"/>
  <c r="M50" i="2"/>
  <c r="M64" i="2"/>
  <c r="M65" i="2"/>
  <c r="M70" i="2"/>
  <c r="M71" i="2"/>
  <c r="M83" i="2"/>
  <c r="M84" i="2"/>
  <c r="M85" i="2"/>
  <c r="M86" i="2"/>
  <c r="M87" i="2"/>
  <c r="M88" i="2"/>
  <c r="M89" i="2"/>
  <c r="M90" i="2"/>
  <c r="M92" i="2"/>
  <c r="M159" i="2"/>
  <c r="M160" i="2"/>
  <c r="M158" i="2"/>
  <c r="M58" i="2"/>
  <c r="M60" i="2"/>
  <c r="M61" i="2"/>
  <c r="M176" i="2"/>
  <c r="M177" i="2"/>
  <c r="M178" i="2"/>
  <c r="M179" i="2"/>
  <c r="M148" i="2"/>
  <c r="M149" i="2"/>
  <c r="M150" i="2"/>
  <c r="M151" i="2"/>
  <c r="M152" i="2"/>
  <c r="M153" i="2"/>
  <c r="M154" i="2"/>
  <c r="M155" i="2"/>
  <c r="M156" i="2"/>
  <c r="M180" i="2"/>
  <c r="M181" i="2"/>
  <c r="M182" i="2"/>
  <c r="M183" i="2"/>
  <c r="M185" i="2"/>
  <c r="M173" i="2"/>
  <c r="M132" i="2"/>
  <c r="M187" i="2"/>
  <c r="M174" i="2"/>
  <c r="M190" i="2"/>
  <c r="M103" i="2"/>
  <c r="M104" i="2"/>
  <c r="M105" i="2"/>
  <c r="M196" i="2"/>
  <c r="M184" i="2"/>
  <c r="M186" i="2"/>
  <c r="M191" i="2"/>
  <c r="M192" i="2"/>
  <c r="M134" i="2"/>
  <c r="M135" i="2"/>
  <c r="M136" i="2"/>
  <c r="M141" i="2"/>
  <c r="M57" i="2"/>
  <c r="M142" i="2"/>
  <c r="M140" i="2"/>
  <c r="M131" i="2"/>
  <c r="M133" i="2"/>
  <c r="M143" i="2"/>
  <c r="M144" i="2"/>
  <c r="M145" i="2"/>
  <c r="M146" i="2"/>
  <c r="M137" i="2"/>
  <c r="M138" i="2"/>
  <c r="M139" i="2"/>
  <c r="M72" i="2"/>
  <c r="M73" i="2"/>
  <c r="M74" i="2"/>
  <c r="M75" i="2"/>
  <c r="M77" i="2"/>
  <c r="M78" i="2"/>
  <c r="M79" i="2"/>
  <c r="M80" i="2"/>
  <c r="M81" i="2"/>
  <c r="M167" i="2"/>
  <c r="M82" i="2"/>
  <c r="M94" i="2"/>
  <c r="M95" i="2"/>
  <c r="M96" i="2"/>
  <c r="M330" i="2"/>
  <c r="M307" i="2"/>
  <c r="M121" i="2"/>
  <c r="M122" i="2"/>
  <c r="M123" i="2"/>
  <c r="M124" i="2"/>
  <c r="M125" i="2"/>
  <c r="M126" i="2"/>
  <c r="M127" i="2"/>
  <c r="M128" i="2"/>
  <c r="M129" i="2"/>
  <c r="M130" i="2"/>
  <c r="M110" i="2"/>
  <c r="M111" i="2"/>
  <c r="M112" i="2"/>
  <c r="M114" i="2"/>
  <c r="M115" i="2"/>
  <c r="M116" i="2"/>
  <c r="M117" i="2"/>
  <c r="M118" i="2"/>
  <c r="M119" i="2"/>
  <c r="M120" i="2"/>
  <c r="M113" i="2"/>
  <c r="M197" i="2"/>
  <c r="M198" i="2"/>
  <c r="M199" i="2"/>
  <c r="M200" i="2"/>
  <c r="M201" i="2"/>
  <c r="M102" i="2"/>
  <c r="M202" i="2"/>
  <c r="M204" i="2"/>
  <c r="M205" i="2"/>
  <c r="M107" i="2"/>
  <c r="M109" i="2"/>
  <c r="M98" i="2"/>
  <c r="M99" i="2"/>
  <c r="M100" i="2"/>
  <c r="M101" i="2"/>
  <c r="M108" i="2"/>
  <c r="M289" i="2"/>
  <c r="M209" i="2"/>
  <c r="M210" i="2"/>
  <c r="M211" i="2"/>
  <c r="M163" i="2"/>
  <c r="M162" i="2"/>
  <c r="M212" i="2"/>
  <c r="M266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15" i="2"/>
  <c r="M6" i="2"/>
  <c r="M237" i="2"/>
  <c r="M54" i="2"/>
  <c r="M238" i="2"/>
  <c r="M239" i="2"/>
  <c r="M240" i="2"/>
  <c r="M241" i="2"/>
  <c r="M216" i="2"/>
  <c r="M242" i="2"/>
  <c r="M243" i="2"/>
  <c r="M244" i="2"/>
  <c r="M245" i="2"/>
  <c r="M246" i="2"/>
  <c r="M247" i="2"/>
  <c r="M248" i="2"/>
  <c r="M217" i="2"/>
  <c r="M249" i="2"/>
  <c r="M218" i="2"/>
  <c r="M250" i="2"/>
  <c r="M251" i="2"/>
  <c r="M252" i="2"/>
  <c r="M253" i="2"/>
  <c r="M254" i="2"/>
  <c r="M255" i="2"/>
  <c r="M219" i="2"/>
  <c r="M256" i="2"/>
  <c r="M257" i="2"/>
  <c r="M258" i="2"/>
  <c r="M270" i="2"/>
  <c r="M259" i="2"/>
  <c r="M260" i="2"/>
  <c r="M261" i="2"/>
  <c r="M262" i="2"/>
  <c r="M263" i="2"/>
  <c r="M264" i="2"/>
  <c r="M265" i="2"/>
  <c r="M188" i="2"/>
  <c r="M69" i="2"/>
  <c r="M3" i="2"/>
  <c r="M4" i="2"/>
  <c r="M27" i="2"/>
  <c r="M28" i="2"/>
  <c r="M194" i="2"/>
  <c r="M195" i="2"/>
  <c r="M189" i="2"/>
  <c r="M97" i="2"/>
  <c r="M267" i="2"/>
  <c r="M147" i="2"/>
  <c r="M206" i="2"/>
  <c r="M214" i="2"/>
  <c r="M272" i="2"/>
  <c r="M273" i="2"/>
  <c r="M275" i="2"/>
  <c r="M281" i="2"/>
  <c r="M276" i="2"/>
  <c r="M277" i="2"/>
  <c r="M278" i="2"/>
  <c r="M279" i="2"/>
  <c r="M280" i="2"/>
  <c r="M282" i="2"/>
  <c r="M283" i="2"/>
  <c r="M284" i="2"/>
  <c r="M285" i="2"/>
  <c r="M286" i="2"/>
  <c r="M287" i="2"/>
  <c r="M288" i="2"/>
  <c r="M274" i="2"/>
  <c r="M336" i="2"/>
  <c r="M337" i="2"/>
  <c r="M338" i="2"/>
  <c r="M339" i="2"/>
  <c r="M340" i="2"/>
  <c r="M341" i="2"/>
  <c r="M290" i="2"/>
  <c r="M291" i="2"/>
  <c r="M293" i="2"/>
  <c r="M292" i="2"/>
  <c r="M312" i="2"/>
  <c r="M313" i="2"/>
  <c r="M271" i="2"/>
  <c r="M294" i="2"/>
  <c r="M314" i="2"/>
  <c r="M315" i="2"/>
  <c r="M354" i="2"/>
  <c r="M355" i="2"/>
  <c r="M356" i="2"/>
  <c r="M357" i="2"/>
  <c r="M358" i="2"/>
  <c r="M367" i="2"/>
  <c r="M368" i="2"/>
  <c r="M213" i="2"/>
  <c r="M295" i="2"/>
  <c r="M298" i="2"/>
  <c r="M299" i="2"/>
  <c r="M304" i="2"/>
  <c r="M305" i="2"/>
  <c r="M306" i="2"/>
  <c r="M376" i="2"/>
  <c r="M327" i="2"/>
  <c r="M369" i="2"/>
  <c r="M370" i="2"/>
  <c r="M371" i="2"/>
  <c r="M372" i="2"/>
  <c r="M373" i="2"/>
  <c r="M374" i="2"/>
  <c r="M106" i="2"/>
  <c r="M157" i="2"/>
  <c r="M166" i="2"/>
  <c r="M310" i="2"/>
  <c r="M311" i="2"/>
  <c r="M377" i="2"/>
  <c r="M365" i="2"/>
  <c r="M378" i="2"/>
  <c r="M379" i="2"/>
  <c r="M412" i="2"/>
  <c r="M413" i="2"/>
  <c r="M269" i="2"/>
  <c r="M268" i="2"/>
  <c r="M23" i="2"/>
  <c r="M308" i="2"/>
  <c r="M359" i="2"/>
  <c r="M360" i="2"/>
  <c r="M361" i="2"/>
  <c r="M362" i="2"/>
  <c r="M363" i="2"/>
  <c r="M364" i="2"/>
  <c r="M161" i="2"/>
  <c r="M193" i="2"/>
  <c r="M326" i="2"/>
  <c r="M328" i="2"/>
  <c r="M168" i="2"/>
  <c r="M169" i="2"/>
  <c r="M164" i="2"/>
  <c r="M165" i="2"/>
  <c r="M170" i="2"/>
  <c r="M172" i="2"/>
  <c r="M324" i="2"/>
  <c r="M380" i="2"/>
  <c r="M383" i="2"/>
  <c r="M384" i="2"/>
  <c r="M381" i="2"/>
  <c r="M405" i="2"/>
  <c r="M410" i="2"/>
  <c r="M411" i="2"/>
  <c r="M382" i="2"/>
  <c r="M389" i="2"/>
  <c r="M393" i="2"/>
  <c r="M391" i="2"/>
  <c r="M392" i="2"/>
  <c r="M395" i="2"/>
  <c r="M397" i="2"/>
  <c r="M398" i="2"/>
  <c r="M399" i="2"/>
  <c r="M400" i="2"/>
  <c r="M406" i="2"/>
  <c r="M404" i="2"/>
  <c r="M409" i="2"/>
  <c r="M401" i="2"/>
  <c r="M402" i="2"/>
  <c r="M403" i="2"/>
  <c r="M407" i="2"/>
  <c r="M408" i="2"/>
  <c r="M385" i="2"/>
  <c r="M388" i="2"/>
  <c r="M386" i="2"/>
  <c r="M387" i="2"/>
  <c r="M390" i="2"/>
  <c r="M394" i="2"/>
  <c r="M396" i="2"/>
  <c r="N24" i="2"/>
  <c r="N30" i="2"/>
  <c r="N31" i="2"/>
  <c r="N32" i="2"/>
  <c r="N20" i="2"/>
  <c r="N18" i="2"/>
  <c r="N22" i="2"/>
  <c r="N45" i="2"/>
  <c r="N49" i="2"/>
  <c r="N7" i="2"/>
  <c r="N5" i="2"/>
  <c r="N25" i="2"/>
  <c r="N26" i="2"/>
  <c r="N10" i="2"/>
  <c r="N11" i="2"/>
  <c r="N12" i="2"/>
  <c r="N13" i="2"/>
  <c r="N38" i="2"/>
  <c r="N43" i="2"/>
  <c r="N44" i="2"/>
  <c r="N46" i="2"/>
  <c r="N14" i="2"/>
  <c r="N47" i="2"/>
  <c r="N21" i="2"/>
  <c r="N48" i="2"/>
  <c r="N63" i="2"/>
  <c r="N8" i="2"/>
  <c r="N9" i="2"/>
  <c r="N39" i="2"/>
  <c r="N40" i="2"/>
  <c r="N41" i="2"/>
  <c r="N42" i="2"/>
  <c r="N29" i="2"/>
  <c r="N37" i="2"/>
  <c r="N33" i="2"/>
  <c r="N34" i="2"/>
  <c r="N36" i="2"/>
  <c r="N59" i="2"/>
  <c r="N56" i="2"/>
  <c r="N15" i="2"/>
  <c r="N16" i="2"/>
  <c r="N17" i="2"/>
  <c r="N19" i="2"/>
  <c r="N55" i="2"/>
  <c r="N51" i="2"/>
  <c r="N52" i="2"/>
  <c r="N53" i="2"/>
  <c r="N414" i="2"/>
  <c r="N415" i="2"/>
  <c r="N416" i="2"/>
  <c r="N417" i="2"/>
  <c r="N50" i="2"/>
  <c r="N64" i="2"/>
  <c r="N65" i="2"/>
  <c r="N70" i="2"/>
  <c r="N71" i="2"/>
  <c r="N83" i="2"/>
  <c r="N84" i="2"/>
  <c r="N85" i="2"/>
  <c r="N86" i="2"/>
  <c r="N87" i="2"/>
  <c r="N88" i="2"/>
  <c r="N89" i="2"/>
  <c r="N90" i="2"/>
  <c r="N92" i="2"/>
  <c r="N159" i="2"/>
  <c r="N160" i="2"/>
  <c r="N158" i="2"/>
  <c r="N58" i="2"/>
  <c r="N60" i="2"/>
  <c r="N61" i="2"/>
  <c r="N176" i="2"/>
  <c r="N177" i="2"/>
  <c r="N178" i="2"/>
  <c r="N179" i="2"/>
  <c r="N148" i="2"/>
  <c r="N149" i="2"/>
  <c r="N150" i="2"/>
  <c r="N151" i="2"/>
  <c r="N152" i="2"/>
  <c r="N153" i="2"/>
  <c r="N154" i="2"/>
  <c r="N155" i="2"/>
  <c r="N156" i="2"/>
  <c r="N180" i="2"/>
  <c r="N181" i="2"/>
  <c r="N182" i="2"/>
  <c r="N183" i="2"/>
  <c r="N185" i="2"/>
  <c r="N173" i="2"/>
  <c r="N132" i="2"/>
  <c r="N187" i="2"/>
  <c r="N174" i="2"/>
  <c r="N190" i="2"/>
  <c r="N103" i="2"/>
  <c r="N104" i="2"/>
  <c r="N105" i="2"/>
  <c r="N196" i="2"/>
  <c r="N184" i="2"/>
  <c r="N186" i="2"/>
  <c r="N191" i="2"/>
  <c r="N192" i="2"/>
  <c r="N134" i="2"/>
  <c r="N135" i="2"/>
  <c r="N136" i="2"/>
  <c r="N141" i="2"/>
  <c r="N57" i="2"/>
  <c r="N142" i="2"/>
  <c r="N140" i="2"/>
  <c r="N131" i="2"/>
  <c r="N133" i="2"/>
  <c r="N143" i="2"/>
  <c r="N144" i="2"/>
  <c r="N145" i="2"/>
  <c r="N146" i="2"/>
  <c r="N137" i="2"/>
  <c r="N138" i="2"/>
  <c r="N139" i="2"/>
  <c r="N72" i="2"/>
  <c r="N73" i="2"/>
  <c r="N74" i="2"/>
  <c r="N75" i="2"/>
  <c r="N77" i="2"/>
  <c r="N78" i="2"/>
  <c r="N79" i="2"/>
  <c r="N80" i="2"/>
  <c r="N81" i="2"/>
  <c r="N167" i="2"/>
  <c r="N82" i="2"/>
  <c r="N94" i="2"/>
  <c r="N95" i="2"/>
  <c r="N96" i="2"/>
  <c r="N330" i="2"/>
  <c r="N307" i="2"/>
  <c r="N121" i="2"/>
  <c r="N122" i="2"/>
  <c r="N123" i="2"/>
  <c r="N124" i="2"/>
  <c r="N125" i="2"/>
  <c r="N126" i="2"/>
  <c r="N127" i="2"/>
  <c r="N128" i="2"/>
  <c r="N129" i="2"/>
  <c r="N130" i="2"/>
  <c r="N110" i="2"/>
  <c r="N111" i="2"/>
  <c r="N112" i="2"/>
  <c r="N114" i="2"/>
  <c r="N115" i="2"/>
  <c r="N116" i="2"/>
  <c r="N117" i="2"/>
  <c r="N118" i="2"/>
  <c r="N119" i="2"/>
  <c r="N120" i="2"/>
  <c r="N113" i="2"/>
  <c r="N197" i="2"/>
  <c r="N198" i="2"/>
  <c r="N199" i="2"/>
  <c r="N200" i="2"/>
  <c r="N201" i="2"/>
  <c r="N102" i="2"/>
  <c r="N202" i="2"/>
  <c r="N204" i="2"/>
  <c r="N205" i="2"/>
  <c r="N107" i="2"/>
  <c r="N109" i="2"/>
  <c r="N98" i="2"/>
  <c r="N99" i="2"/>
  <c r="N100" i="2"/>
  <c r="N101" i="2"/>
  <c r="N108" i="2"/>
  <c r="N289" i="2"/>
  <c r="N209" i="2"/>
  <c r="N210" i="2"/>
  <c r="N211" i="2"/>
  <c r="N163" i="2"/>
  <c r="N162" i="2"/>
  <c r="N212" i="2"/>
  <c r="N266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15" i="2"/>
  <c r="N6" i="2"/>
  <c r="N237" i="2"/>
  <c r="N54" i="2"/>
  <c r="N238" i="2"/>
  <c r="N239" i="2"/>
  <c r="N240" i="2"/>
  <c r="N241" i="2"/>
  <c r="N216" i="2"/>
  <c r="N242" i="2"/>
  <c r="N243" i="2"/>
  <c r="N244" i="2"/>
  <c r="N245" i="2"/>
  <c r="N246" i="2"/>
  <c r="N247" i="2"/>
  <c r="N248" i="2"/>
  <c r="N217" i="2"/>
  <c r="N249" i="2"/>
  <c r="N218" i="2"/>
  <c r="N250" i="2"/>
  <c r="N251" i="2"/>
  <c r="N252" i="2"/>
  <c r="N253" i="2"/>
  <c r="N254" i="2"/>
  <c r="N255" i="2"/>
  <c r="N219" i="2"/>
  <c r="N256" i="2"/>
  <c r="N257" i="2"/>
  <c r="N258" i="2"/>
  <c r="N270" i="2"/>
  <c r="N259" i="2"/>
  <c r="N260" i="2"/>
  <c r="N261" i="2"/>
  <c r="N262" i="2"/>
  <c r="N263" i="2"/>
  <c r="N264" i="2"/>
  <c r="N265" i="2"/>
  <c r="N188" i="2"/>
  <c r="N69" i="2"/>
  <c r="N3" i="2"/>
  <c r="N4" i="2"/>
  <c r="N27" i="2"/>
  <c r="N28" i="2"/>
  <c r="N194" i="2"/>
  <c r="N195" i="2"/>
  <c r="N189" i="2"/>
  <c r="N97" i="2"/>
  <c r="N267" i="2"/>
  <c r="N147" i="2"/>
  <c r="N206" i="2"/>
  <c r="N214" i="2"/>
  <c r="N272" i="2"/>
  <c r="N273" i="2"/>
  <c r="N275" i="2"/>
  <c r="N281" i="2"/>
  <c r="N276" i="2"/>
  <c r="N277" i="2"/>
  <c r="N278" i="2"/>
  <c r="N279" i="2"/>
  <c r="N280" i="2"/>
  <c r="N282" i="2"/>
  <c r="N283" i="2"/>
  <c r="N284" i="2"/>
  <c r="N285" i="2"/>
  <c r="N286" i="2"/>
  <c r="N287" i="2"/>
  <c r="N288" i="2"/>
  <c r="N274" i="2"/>
  <c r="N336" i="2"/>
  <c r="N337" i="2"/>
  <c r="N338" i="2"/>
  <c r="N339" i="2"/>
  <c r="N340" i="2"/>
  <c r="N341" i="2"/>
  <c r="N290" i="2"/>
  <c r="N291" i="2"/>
  <c r="N293" i="2"/>
  <c r="N292" i="2"/>
  <c r="N312" i="2"/>
  <c r="N313" i="2"/>
  <c r="N271" i="2"/>
  <c r="N294" i="2"/>
  <c r="N314" i="2"/>
  <c r="N315" i="2"/>
  <c r="N354" i="2"/>
  <c r="N355" i="2"/>
  <c r="N356" i="2"/>
  <c r="N357" i="2"/>
  <c r="N358" i="2"/>
  <c r="N367" i="2"/>
  <c r="N368" i="2"/>
  <c r="N213" i="2"/>
  <c r="N295" i="2"/>
  <c r="N298" i="2"/>
  <c r="N299" i="2"/>
  <c r="N304" i="2"/>
  <c r="N305" i="2"/>
  <c r="N306" i="2"/>
  <c r="N376" i="2"/>
  <c r="N327" i="2"/>
  <c r="N369" i="2"/>
  <c r="N370" i="2"/>
  <c r="N371" i="2"/>
  <c r="N372" i="2"/>
  <c r="N373" i="2"/>
  <c r="N374" i="2"/>
  <c r="N106" i="2"/>
  <c r="N157" i="2"/>
  <c r="N166" i="2"/>
  <c r="N310" i="2"/>
  <c r="N311" i="2"/>
  <c r="N377" i="2"/>
  <c r="N365" i="2"/>
  <c r="N378" i="2"/>
  <c r="N379" i="2"/>
  <c r="N412" i="2"/>
  <c r="N413" i="2"/>
  <c r="N269" i="2"/>
  <c r="N268" i="2"/>
  <c r="N23" i="2"/>
  <c r="N308" i="2"/>
  <c r="N359" i="2"/>
  <c r="N360" i="2"/>
  <c r="N361" i="2"/>
  <c r="N362" i="2"/>
  <c r="N363" i="2"/>
  <c r="N364" i="2"/>
  <c r="N161" i="2"/>
  <c r="N193" i="2"/>
  <c r="N326" i="2"/>
  <c r="N328" i="2"/>
  <c r="N168" i="2"/>
  <c r="N169" i="2"/>
  <c r="N164" i="2"/>
  <c r="N165" i="2"/>
  <c r="N170" i="2"/>
  <c r="N172" i="2"/>
  <c r="N324" i="2"/>
  <c r="N380" i="2"/>
  <c r="N383" i="2"/>
  <c r="N384" i="2"/>
  <c r="N381" i="2"/>
  <c r="N405" i="2"/>
  <c r="N410" i="2"/>
  <c r="N411" i="2"/>
  <c r="N382" i="2"/>
  <c r="N389" i="2"/>
  <c r="N393" i="2"/>
  <c r="N391" i="2"/>
  <c r="N392" i="2"/>
  <c r="N395" i="2"/>
  <c r="N397" i="2"/>
  <c r="N398" i="2"/>
  <c r="N399" i="2"/>
  <c r="N400" i="2"/>
  <c r="N406" i="2"/>
  <c r="N404" i="2"/>
  <c r="N409" i="2"/>
  <c r="N401" i="2"/>
  <c r="N402" i="2"/>
  <c r="N403" i="2"/>
  <c r="N407" i="2"/>
  <c r="N408" i="2"/>
  <c r="N385" i="2"/>
  <c r="N388" i="2"/>
  <c r="N386" i="2"/>
  <c r="N387" i="2"/>
  <c r="N390" i="2"/>
  <c r="N394" i="2"/>
  <c r="N396" i="2"/>
  <c r="O24" i="2"/>
  <c r="O30" i="2"/>
  <c r="O31" i="2"/>
  <c r="O32" i="2"/>
  <c r="O20" i="2"/>
  <c r="O18" i="2"/>
  <c r="O22" i="2"/>
  <c r="O45" i="2"/>
  <c r="O49" i="2"/>
  <c r="O7" i="2"/>
  <c r="O5" i="2"/>
  <c r="O25" i="2"/>
  <c r="O26" i="2"/>
  <c r="O10" i="2"/>
  <c r="O11" i="2"/>
  <c r="O12" i="2"/>
  <c r="O13" i="2"/>
  <c r="O38" i="2"/>
  <c r="O43" i="2"/>
  <c r="O44" i="2"/>
  <c r="O46" i="2"/>
  <c r="O14" i="2"/>
  <c r="O47" i="2"/>
  <c r="O21" i="2"/>
  <c r="O48" i="2"/>
  <c r="O63" i="2"/>
  <c r="O8" i="2"/>
  <c r="O9" i="2"/>
  <c r="O39" i="2"/>
  <c r="O40" i="2"/>
  <c r="O41" i="2"/>
  <c r="O42" i="2"/>
  <c r="O29" i="2"/>
  <c r="O37" i="2"/>
  <c r="O33" i="2"/>
  <c r="O34" i="2"/>
  <c r="O36" i="2"/>
  <c r="O59" i="2"/>
  <c r="O56" i="2"/>
  <c r="O15" i="2"/>
  <c r="O16" i="2"/>
  <c r="O17" i="2"/>
  <c r="O19" i="2"/>
  <c r="O55" i="2"/>
  <c r="O51" i="2"/>
  <c r="O52" i="2"/>
  <c r="O53" i="2"/>
  <c r="O414" i="2"/>
  <c r="O415" i="2"/>
  <c r="O416" i="2"/>
  <c r="O417" i="2"/>
  <c r="O50" i="2"/>
  <c r="O64" i="2"/>
  <c r="O65" i="2"/>
  <c r="O70" i="2"/>
  <c r="O71" i="2"/>
  <c r="O83" i="2"/>
  <c r="O84" i="2"/>
  <c r="O85" i="2"/>
  <c r="O86" i="2"/>
  <c r="O87" i="2"/>
  <c r="O88" i="2"/>
  <c r="O89" i="2"/>
  <c r="O90" i="2"/>
  <c r="O92" i="2"/>
  <c r="O159" i="2"/>
  <c r="O160" i="2"/>
  <c r="O158" i="2"/>
  <c r="O58" i="2"/>
  <c r="O60" i="2"/>
  <c r="O61" i="2"/>
  <c r="O176" i="2"/>
  <c r="O177" i="2"/>
  <c r="O178" i="2"/>
  <c r="O179" i="2"/>
  <c r="O148" i="2"/>
  <c r="O149" i="2"/>
  <c r="O150" i="2"/>
  <c r="O151" i="2"/>
  <c r="O152" i="2"/>
  <c r="O153" i="2"/>
  <c r="O154" i="2"/>
  <c r="O155" i="2"/>
  <c r="O156" i="2"/>
  <c r="O180" i="2"/>
  <c r="O181" i="2"/>
  <c r="O182" i="2"/>
  <c r="O183" i="2"/>
  <c r="O185" i="2"/>
  <c r="O173" i="2"/>
  <c r="O132" i="2"/>
  <c r="O187" i="2"/>
  <c r="O174" i="2"/>
  <c r="O190" i="2"/>
  <c r="O103" i="2"/>
  <c r="O104" i="2"/>
  <c r="O105" i="2"/>
  <c r="O196" i="2"/>
  <c r="O184" i="2"/>
  <c r="O186" i="2"/>
  <c r="O191" i="2"/>
  <c r="O192" i="2"/>
  <c r="O134" i="2"/>
  <c r="O135" i="2"/>
  <c r="O136" i="2"/>
  <c r="O141" i="2"/>
  <c r="O57" i="2"/>
  <c r="O142" i="2"/>
  <c r="O140" i="2"/>
  <c r="O131" i="2"/>
  <c r="O133" i="2"/>
  <c r="O143" i="2"/>
  <c r="O144" i="2"/>
  <c r="O145" i="2"/>
  <c r="O146" i="2"/>
  <c r="O137" i="2"/>
  <c r="O138" i="2"/>
  <c r="O139" i="2"/>
  <c r="O72" i="2"/>
  <c r="O73" i="2"/>
  <c r="O74" i="2"/>
  <c r="O75" i="2"/>
  <c r="O77" i="2"/>
  <c r="O78" i="2"/>
  <c r="O79" i="2"/>
  <c r="O80" i="2"/>
  <c r="O81" i="2"/>
  <c r="O167" i="2"/>
  <c r="O82" i="2"/>
  <c r="O94" i="2"/>
  <c r="O95" i="2"/>
  <c r="O96" i="2"/>
  <c r="O330" i="2"/>
  <c r="O307" i="2"/>
  <c r="O121" i="2"/>
  <c r="O122" i="2"/>
  <c r="O123" i="2"/>
  <c r="O124" i="2"/>
  <c r="O125" i="2"/>
  <c r="O126" i="2"/>
  <c r="O127" i="2"/>
  <c r="O128" i="2"/>
  <c r="O129" i="2"/>
  <c r="O130" i="2"/>
  <c r="O110" i="2"/>
  <c r="O111" i="2"/>
  <c r="O112" i="2"/>
  <c r="O114" i="2"/>
  <c r="O115" i="2"/>
  <c r="O116" i="2"/>
  <c r="O117" i="2"/>
  <c r="O118" i="2"/>
  <c r="O119" i="2"/>
  <c r="O120" i="2"/>
  <c r="O113" i="2"/>
  <c r="O197" i="2"/>
  <c r="O198" i="2"/>
  <c r="O199" i="2"/>
  <c r="O200" i="2"/>
  <c r="O201" i="2"/>
  <c r="O102" i="2"/>
  <c r="O202" i="2"/>
  <c r="O204" i="2"/>
  <c r="O205" i="2"/>
  <c r="O107" i="2"/>
  <c r="O109" i="2"/>
  <c r="O98" i="2"/>
  <c r="O99" i="2"/>
  <c r="O100" i="2"/>
  <c r="O101" i="2"/>
  <c r="O108" i="2"/>
  <c r="O289" i="2"/>
  <c r="O209" i="2"/>
  <c r="O210" i="2"/>
  <c r="O211" i="2"/>
  <c r="O163" i="2"/>
  <c r="O162" i="2"/>
  <c r="O212" i="2"/>
  <c r="O266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15" i="2"/>
  <c r="O6" i="2"/>
  <c r="O237" i="2"/>
  <c r="O54" i="2"/>
  <c r="O238" i="2"/>
  <c r="O239" i="2"/>
  <c r="O240" i="2"/>
  <c r="O241" i="2"/>
  <c r="O216" i="2"/>
  <c r="O242" i="2"/>
  <c r="O243" i="2"/>
  <c r="O244" i="2"/>
  <c r="O245" i="2"/>
  <c r="O246" i="2"/>
  <c r="O247" i="2"/>
  <c r="O248" i="2"/>
  <c r="O217" i="2"/>
  <c r="O249" i="2"/>
  <c r="O218" i="2"/>
  <c r="O250" i="2"/>
  <c r="O251" i="2"/>
  <c r="O252" i="2"/>
  <c r="O253" i="2"/>
  <c r="O254" i="2"/>
  <c r="O255" i="2"/>
  <c r="O219" i="2"/>
  <c r="O256" i="2"/>
  <c r="O257" i="2"/>
  <c r="O258" i="2"/>
  <c r="O270" i="2"/>
  <c r="O259" i="2"/>
  <c r="O260" i="2"/>
  <c r="O261" i="2"/>
  <c r="O262" i="2"/>
  <c r="O263" i="2"/>
  <c r="O264" i="2"/>
  <c r="O265" i="2"/>
  <c r="O188" i="2"/>
  <c r="O69" i="2"/>
  <c r="O3" i="2"/>
  <c r="O4" i="2"/>
  <c r="O27" i="2"/>
  <c r="O28" i="2"/>
  <c r="O194" i="2"/>
  <c r="O195" i="2"/>
  <c r="O189" i="2"/>
  <c r="O97" i="2"/>
  <c r="O267" i="2"/>
  <c r="O147" i="2"/>
  <c r="O206" i="2"/>
  <c r="O214" i="2"/>
  <c r="O272" i="2"/>
  <c r="O273" i="2"/>
  <c r="O275" i="2"/>
  <c r="O281" i="2"/>
  <c r="O276" i="2"/>
  <c r="O277" i="2"/>
  <c r="O278" i="2"/>
  <c r="O279" i="2"/>
  <c r="O280" i="2"/>
  <c r="O282" i="2"/>
  <c r="O283" i="2"/>
  <c r="O284" i="2"/>
  <c r="O285" i="2"/>
  <c r="O286" i="2"/>
  <c r="O287" i="2"/>
  <c r="O288" i="2"/>
  <c r="O274" i="2"/>
  <c r="O336" i="2"/>
  <c r="O337" i="2"/>
  <c r="O338" i="2"/>
  <c r="O339" i="2"/>
  <c r="O340" i="2"/>
  <c r="O341" i="2"/>
  <c r="O290" i="2"/>
  <c r="O291" i="2"/>
  <c r="O293" i="2"/>
  <c r="O292" i="2"/>
  <c r="O312" i="2"/>
  <c r="O313" i="2"/>
  <c r="O271" i="2"/>
  <c r="O294" i="2"/>
  <c r="O314" i="2"/>
  <c r="O315" i="2"/>
  <c r="O354" i="2"/>
  <c r="O355" i="2"/>
  <c r="O356" i="2"/>
  <c r="O357" i="2"/>
  <c r="O358" i="2"/>
  <c r="O367" i="2"/>
  <c r="O368" i="2"/>
  <c r="O213" i="2"/>
  <c r="O295" i="2"/>
  <c r="O298" i="2"/>
  <c r="O299" i="2"/>
  <c r="O304" i="2"/>
  <c r="O305" i="2"/>
  <c r="O306" i="2"/>
  <c r="O376" i="2"/>
  <c r="O327" i="2"/>
  <c r="O369" i="2"/>
  <c r="O370" i="2"/>
  <c r="O371" i="2"/>
  <c r="O372" i="2"/>
  <c r="O373" i="2"/>
  <c r="O374" i="2"/>
  <c r="O106" i="2"/>
  <c r="O157" i="2"/>
  <c r="O166" i="2"/>
  <c r="O310" i="2"/>
  <c r="O311" i="2"/>
  <c r="O377" i="2"/>
  <c r="O365" i="2"/>
  <c r="O378" i="2"/>
  <c r="O379" i="2"/>
  <c r="O412" i="2"/>
  <c r="O413" i="2"/>
  <c r="O269" i="2"/>
  <c r="O268" i="2"/>
  <c r="O23" i="2"/>
  <c r="O308" i="2"/>
  <c r="O359" i="2"/>
  <c r="O360" i="2"/>
  <c r="O361" i="2"/>
  <c r="O362" i="2"/>
  <c r="O363" i="2"/>
  <c r="O364" i="2"/>
  <c r="O161" i="2"/>
  <c r="O193" i="2"/>
  <c r="O326" i="2"/>
  <c r="O328" i="2"/>
  <c r="O168" i="2"/>
  <c r="O169" i="2"/>
  <c r="O164" i="2"/>
  <c r="O165" i="2"/>
  <c r="O170" i="2"/>
  <c r="O172" i="2"/>
  <c r="O324" i="2"/>
  <c r="O380" i="2"/>
  <c r="O383" i="2"/>
  <c r="O384" i="2"/>
  <c r="O381" i="2"/>
  <c r="O405" i="2"/>
  <c r="O410" i="2"/>
  <c r="O411" i="2"/>
  <c r="O382" i="2"/>
  <c r="O389" i="2"/>
  <c r="O393" i="2"/>
  <c r="O391" i="2"/>
  <c r="O392" i="2"/>
  <c r="O395" i="2"/>
  <c r="O397" i="2"/>
  <c r="O398" i="2"/>
  <c r="O399" i="2"/>
  <c r="O400" i="2"/>
  <c r="O406" i="2"/>
  <c r="O404" i="2"/>
  <c r="O409" i="2"/>
  <c r="O401" i="2"/>
  <c r="O402" i="2"/>
  <c r="O403" i="2"/>
  <c r="O407" i="2"/>
  <c r="O408" i="2"/>
  <c r="O385" i="2"/>
  <c r="O388" i="2"/>
  <c r="O386" i="2"/>
  <c r="O387" i="2"/>
  <c r="O390" i="2"/>
  <c r="O394" i="2"/>
  <c r="O396" i="2"/>
  <c r="R233" i="2"/>
  <c r="R251" i="2"/>
  <c r="R380" i="2"/>
  <c r="R383" i="2"/>
  <c r="R384" i="2"/>
  <c r="R405" i="2"/>
  <c r="B35" i="2"/>
  <c r="E35" i="2"/>
  <c r="F35" i="2"/>
  <c r="G35" i="2"/>
  <c r="K35" i="2"/>
  <c r="L35" i="2"/>
  <c r="M35" i="2"/>
  <c r="N35" i="2"/>
  <c r="O35" i="2"/>
  <c r="F320" i="2" l="1"/>
  <c r="F322" i="2"/>
  <c r="F67" i="2"/>
  <c r="K67" i="2" l="1"/>
  <c r="L67" i="2"/>
  <c r="M67" i="2"/>
  <c r="N67" i="2"/>
  <c r="O67" i="2"/>
  <c r="B67" i="2"/>
  <c r="E67" i="2"/>
  <c r="G67" i="2"/>
  <c r="B68" i="2"/>
  <c r="E68" i="2"/>
  <c r="F68" i="2"/>
  <c r="G68" i="2"/>
  <c r="B203" i="2"/>
  <c r="E203" i="2"/>
  <c r="F203" i="2"/>
  <c r="G203" i="2"/>
  <c r="B319" i="2"/>
  <c r="E319" i="2"/>
  <c r="F319" i="2"/>
  <c r="G319" i="2"/>
  <c r="B320" i="2"/>
  <c r="E320" i="2"/>
  <c r="G320" i="2"/>
  <c r="B321" i="2"/>
  <c r="E321" i="2"/>
  <c r="F321" i="2"/>
  <c r="G321" i="2"/>
  <c r="B322" i="2"/>
  <c r="E322" i="2"/>
  <c r="G322" i="2"/>
  <c r="B323" i="2"/>
  <c r="E323" i="2"/>
  <c r="F323" i="2"/>
  <c r="G323" i="2"/>
  <c r="B325" i="2"/>
  <c r="E325" i="2"/>
  <c r="F325" i="2"/>
  <c r="G325" i="2"/>
  <c r="B329" i="2"/>
  <c r="E329" i="2"/>
  <c r="F329" i="2"/>
  <c r="G329" i="2"/>
  <c r="B331" i="2"/>
  <c r="E331" i="2"/>
  <c r="F331" i="2"/>
  <c r="G331" i="2"/>
  <c r="B333" i="2"/>
  <c r="E333" i="2"/>
  <c r="F333" i="2"/>
  <c r="G333" i="2"/>
  <c r="B334" i="2"/>
  <c r="E334" i="2"/>
  <c r="F334" i="2"/>
  <c r="G334" i="2"/>
  <c r="B335" i="2"/>
  <c r="E335" i="2"/>
  <c r="F335" i="2"/>
  <c r="G335" i="2"/>
  <c r="B342" i="2"/>
  <c r="E342" i="2"/>
  <c r="F342" i="2"/>
  <c r="G342" i="2"/>
  <c r="B343" i="2"/>
  <c r="E343" i="2"/>
  <c r="F343" i="2"/>
  <c r="G343" i="2"/>
  <c r="B344" i="2"/>
  <c r="E344" i="2"/>
  <c r="F344" i="2"/>
  <c r="G344" i="2"/>
  <c r="B345" i="2"/>
  <c r="E345" i="2"/>
  <c r="F345" i="2"/>
  <c r="G345" i="2"/>
  <c r="B346" i="2"/>
  <c r="E346" i="2"/>
  <c r="F346" i="2"/>
  <c r="G346" i="2"/>
  <c r="B348" i="2"/>
  <c r="E348" i="2"/>
  <c r="F348" i="2"/>
  <c r="G348" i="2"/>
  <c r="O316" i="2"/>
  <c r="O317" i="2"/>
  <c r="O62" i="2"/>
  <c r="O208" i="2"/>
  <c r="O347" i="2"/>
  <c r="O349" i="2"/>
  <c r="O309" i="2"/>
  <c r="O296" i="2"/>
  <c r="O171" i="2"/>
  <c r="O332" i="2"/>
  <c r="O66" i="2"/>
  <c r="O76" i="2"/>
  <c r="O375" i="2"/>
  <c r="O91" i="2"/>
  <c r="O93" i="2"/>
  <c r="O366" i="2"/>
  <c r="O300" i="2"/>
  <c r="O301" i="2"/>
  <c r="O207" i="2"/>
  <c r="O302" i="2"/>
  <c r="O303" i="2"/>
  <c r="O350" i="2"/>
  <c r="O351" i="2"/>
  <c r="O297" i="2"/>
  <c r="O318" i="2"/>
  <c r="O175" i="2"/>
  <c r="O352" i="2"/>
  <c r="O353" i="2"/>
  <c r="O68" i="2"/>
  <c r="O203" i="2"/>
  <c r="O319" i="2"/>
  <c r="O320" i="2"/>
  <c r="O321" i="2"/>
  <c r="O322" i="2"/>
  <c r="O323" i="2"/>
  <c r="O325" i="2"/>
  <c r="O329" i="2"/>
  <c r="O331" i="2"/>
  <c r="O333" i="2"/>
  <c r="O334" i="2"/>
  <c r="O335" i="2"/>
  <c r="O342" i="2"/>
  <c r="O343" i="2"/>
  <c r="O344" i="2"/>
  <c r="O345" i="2"/>
  <c r="O346" i="2"/>
  <c r="O348" i="2"/>
  <c r="N316" i="2"/>
  <c r="N317" i="2"/>
  <c r="N62" i="2"/>
  <c r="N208" i="2"/>
  <c r="N347" i="2"/>
  <c r="N349" i="2"/>
  <c r="N309" i="2"/>
  <c r="N296" i="2"/>
  <c r="N171" i="2"/>
  <c r="N332" i="2"/>
  <c r="N66" i="2"/>
  <c r="N76" i="2"/>
  <c r="N375" i="2"/>
  <c r="N91" i="2"/>
  <c r="N93" i="2"/>
  <c r="N366" i="2"/>
  <c r="N300" i="2"/>
  <c r="N301" i="2"/>
  <c r="N207" i="2"/>
  <c r="N302" i="2"/>
  <c r="N303" i="2"/>
  <c r="N350" i="2"/>
  <c r="N351" i="2"/>
  <c r="N297" i="2"/>
  <c r="N318" i="2"/>
  <c r="N175" i="2"/>
  <c r="N352" i="2"/>
  <c r="N353" i="2"/>
  <c r="N68" i="2"/>
  <c r="N203" i="2"/>
  <c r="N319" i="2"/>
  <c r="N320" i="2"/>
  <c r="N321" i="2"/>
  <c r="N322" i="2"/>
  <c r="N323" i="2"/>
  <c r="N325" i="2"/>
  <c r="N329" i="2"/>
  <c r="N331" i="2"/>
  <c r="N333" i="2"/>
  <c r="N334" i="2"/>
  <c r="N335" i="2"/>
  <c r="N342" i="2"/>
  <c r="N343" i="2"/>
  <c r="N344" i="2"/>
  <c r="N345" i="2"/>
  <c r="N346" i="2"/>
  <c r="N348" i="2"/>
  <c r="M316" i="2"/>
  <c r="M317" i="2"/>
  <c r="M62" i="2"/>
  <c r="M208" i="2"/>
  <c r="M347" i="2"/>
  <c r="M349" i="2"/>
  <c r="M309" i="2"/>
  <c r="M296" i="2"/>
  <c r="M171" i="2"/>
  <c r="M332" i="2"/>
  <c r="M66" i="2"/>
  <c r="M76" i="2"/>
  <c r="M375" i="2"/>
  <c r="M91" i="2"/>
  <c r="M93" i="2"/>
  <c r="M366" i="2"/>
  <c r="M300" i="2"/>
  <c r="M301" i="2"/>
  <c r="M207" i="2"/>
  <c r="M302" i="2"/>
  <c r="M303" i="2"/>
  <c r="M350" i="2"/>
  <c r="M351" i="2"/>
  <c r="M297" i="2"/>
  <c r="M318" i="2"/>
  <c r="M175" i="2"/>
  <c r="M352" i="2"/>
  <c r="M353" i="2"/>
  <c r="M68" i="2"/>
  <c r="M203" i="2"/>
  <c r="M319" i="2"/>
  <c r="M320" i="2"/>
  <c r="M321" i="2"/>
  <c r="M322" i="2"/>
  <c r="M323" i="2"/>
  <c r="M325" i="2"/>
  <c r="M329" i="2"/>
  <c r="M331" i="2"/>
  <c r="M333" i="2"/>
  <c r="M334" i="2"/>
  <c r="M335" i="2"/>
  <c r="M342" i="2"/>
  <c r="M343" i="2"/>
  <c r="M344" i="2"/>
  <c r="M345" i="2"/>
  <c r="M346" i="2"/>
  <c r="M348" i="2"/>
  <c r="L316" i="2"/>
  <c r="L317" i="2"/>
  <c r="L62" i="2"/>
  <c r="L208" i="2"/>
  <c r="L347" i="2"/>
  <c r="L349" i="2"/>
  <c r="L309" i="2"/>
  <c r="L296" i="2"/>
  <c r="L171" i="2"/>
  <c r="L332" i="2"/>
  <c r="L66" i="2"/>
  <c r="L76" i="2"/>
  <c r="L375" i="2"/>
  <c r="L91" i="2"/>
  <c r="L93" i="2"/>
  <c r="L366" i="2"/>
  <c r="L300" i="2"/>
  <c r="L301" i="2"/>
  <c r="L207" i="2"/>
  <c r="L302" i="2"/>
  <c r="L303" i="2"/>
  <c r="L350" i="2"/>
  <c r="L351" i="2"/>
  <c r="L297" i="2"/>
  <c r="L318" i="2"/>
  <c r="L175" i="2"/>
  <c r="L352" i="2"/>
  <c r="L353" i="2"/>
  <c r="L68" i="2"/>
  <c r="L203" i="2"/>
  <c r="L319" i="2"/>
  <c r="L320" i="2"/>
  <c r="L321" i="2"/>
  <c r="L322" i="2"/>
  <c r="L323" i="2"/>
  <c r="L325" i="2"/>
  <c r="L329" i="2"/>
  <c r="L331" i="2"/>
  <c r="L333" i="2"/>
  <c r="L334" i="2"/>
  <c r="L335" i="2"/>
  <c r="L342" i="2"/>
  <c r="L343" i="2"/>
  <c r="L344" i="2"/>
  <c r="L345" i="2"/>
  <c r="L346" i="2"/>
  <c r="L348" i="2"/>
  <c r="K316" i="2"/>
  <c r="K317" i="2"/>
  <c r="K62" i="2"/>
  <c r="K208" i="2"/>
  <c r="K347" i="2"/>
  <c r="K349" i="2"/>
  <c r="K309" i="2"/>
  <c r="K296" i="2"/>
  <c r="K171" i="2"/>
  <c r="K332" i="2"/>
  <c r="K66" i="2"/>
  <c r="K76" i="2"/>
  <c r="K375" i="2"/>
  <c r="K91" i="2"/>
  <c r="K93" i="2"/>
  <c r="K366" i="2"/>
  <c r="K300" i="2"/>
  <c r="K301" i="2"/>
  <c r="K207" i="2"/>
  <c r="K302" i="2"/>
  <c r="K303" i="2"/>
  <c r="K350" i="2"/>
  <c r="K351" i="2"/>
  <c r="K297" i="2"/>
  <c r="K318" i="2"/>
  <c r="K175" i="2"/>
  <c r="K352" i="2"/>
  <c r="K353" i="2"/>
  <c r="K68" i="2"/>
  <c r="K203" i="2"/>
  <c r="K319" i="2"/>
  <c r="K320" i="2"/>
  <c r="K321" i="2"/>
  <c r="K322" i="2"/>
  <c r="K323" i="2"/>
  <c r="K325" i="2"/>
  <c r="K329" i="2"/>
  <c r="K331" i="2"/>
  <c r="K333" i="2"/>
  <c r="K334" i="2"/>
  <c r="K335" i="2"/>
  <c r="K342" i="2"/>
  <c r="K343" i="2"/>
  <c r="K344" i="2"/>
  <c r="K345" i="2"/>
  <c r="K346" i="2"/>
  <c r="K348" i="2"/>
  <c r="B317" i="2"/>
  <c r="E317" i="2"/>
  <c r="F317" i="2"/>
  <c r="G317" i="2"/>
  <c r="B62" i="2"/>
  <c r="E62" i="2"/>
  <c r="F62" i="2"/>
  <c r="G62" i="2"/>
  <c r="B208" i="2"/>
  <c r="E208" i="2"/>
  <c r="F208" i="2"/>
  <c r="G208" i="2"/>
  <c r="B347" i="2"/>
  <c r="E347" i="2"/>
  <c r="F347" i="2"/>
  <c r="G347" i="2"/>
  <c r="B349" i="2"/>
  <c r="E349" i="2"/>
  <c r="F349" i="2"/>
  <c r="G349" i="2"/>
  <c r="B309" i="2"/>
  <c r="E309" i="2"/>
  <c r="F309" i="2"/>
  <c r="G309" i="2"/>
  <c r="B296" i="2"/>
  <c r="E296" i="2"/>
  <c r="F296" i="2"/>
  <c r="G296" i="2"/>
  <c r="B171" i="2"/>
  <c r="E171" i="2"/>
  <c r="F171" i="2"/>
  <c r="G171" i="2"/>
  <c r="B332" i="2"/>
  <c r="E332" i="2"/>
  <c r="F332" i="2"/>
  <c r="G332" i="2"/>
  <c r="B66" i="2"/>
  <c r="E66" i="2"/>
  <c r="F66" i="2"/>
  <c r="G66" i="2"/>
  <c r="B76" i="2"/>
  <c r="E76" i="2"/>
  <c r="F76" i="2"/>
  <c r="G76" i="2"/>
  <c r="B375" i="2"/>
  <c r="E375" i="2"/>
  <c r="F375" i="2"/>
  <c r="G375" i="2"/>
  <c r="B91" i="2"/>
  <c r="E91" i="2"/>
  <c r="F91" i="2"/>
  <c r="G91" i="2"/>
  <c r="B93" i="2"/>
  <c r="E93" i="2"/>
  <c r="F93" i="2"/>
  <c r="G93" i="2"/>
  <c r="B366" i="2"/>
  <c r="E366" i="2"/>
  <c r="F366" i="2"/>
  <c r="G366" i="2"/>
  <c r="B300" i="2"/>
  <c r="E300" i="2"/>
  <c r="F300" i="2"/>
  <c r="G300" i="2"/>
  <c r="B301" i="2"/>
  <c r="E301" i="2"/>
  <c r="F301" i="2"/>
  <c r="G301" i="2"/>
  <c r="B207" i="2"/>
  <c r="E207" i="2"/>
  <c r="F207" i="2"/>
  <c r="G207" i="2"/>
  <c r="B302" i="2"/>
  <c r="E302" i="2"/>
  <c r="F302" i="2"/>
  <c r="G302" i="2"/>
  <c r="B303" i="2"/>
  <c r="E303" i="2"/>
  <c r="F303" i="2"/>
  <c r="G303" i="2"/>
  <c r="B350" i="2"/>
  <c r="E350" i="2"/>
  <c r="F350" i="2"/>
  <c r="G350" i="2"/>
  <c r="B351" i="2"/>
  <c r="E351" i="2"/>
  <c r="F351" i="2"/>
  <c r="G351" i="2"/>
  <c r="B297" i="2"/>
  <c r="E297" i="2"/>
  <c r="F297" i="2"/>
  <c r="G297" i="2"/>
  <c r="B318" i="2"/>
  <c r="E318" i="2"/>
  <c r="F318" i="2"/>
  <c r="G318" i="2"/>
  <c r="B175" i="2"/>
  <c r="E175" i="2"/>
  <c r="F175" i="2"/>
  <c r="G175" i="2"/>
  <c r="B352" i="2"/>
  <c r="E352" i="2"/>
  <c r="F352" i="2"/>
  <c r="G352" i="2"/>
  <c r="B353" i="2"/>
  <c r="E353" i="2"/>
  <c r="F353" i="2"/>
  <c r="G353" i="2"/>
  <c r="G316" i="2"/>
  <c r="F316" i="2"/>
  <c r="E316" i="2"/>
  <c r="B316" i="2"/>
  <c r="Z4" i="1" l="1"/>
  <c r="Y4" i="1"/>
  <c r="X4" i="1"/>
  <c r="W4" i="1"/>
  <c r="V4" i="1"/>
  <c r="U4" i="1"/>
  <c r="T4" i="1"/>
  <c r="R4" i="1"/>
  <c r="Q4" i="1"/>
  <c r="P4" i="1"/>
  <c r="O4" i="1"/>
  <c r="N4" i="1"/>
  <c r="J4" i="1"/>
  <c r="F4" i="1"/>
  <c r="D4" i="1"/>
  <c r="C4" i="1"/>
  <c r="Z3" i="1"/>
  <c r="Y3" i="1"/>
  <c r="X3" i="1"/>
  <c r="W3" i="1"/>
  <c r="V3" i="1"/>
  <c r="U3" i="1"/>
  <c r="T3" i="1"/>
  <c r="R3" i="1"/>
  <c r="Q3" i="1"/>
  <c r="P3" i="1"/>
  <c r="O3" i="1"/>
  <c r="N3" i="1"/>
  <c r="J3" i="1"/>
  <c r="F3" i="1"/>
  <c r="D3" i="1"/>
  <c r="C3" i="1"/>
  <c r="Z2" i="1"/>
  <c r="Y2" i="1"/>
  <c r="X2" i="1"/>
  <c r="W2" i="1"/>
  <c r="V2" i="1"/>
  <c r="U2" i="1"/>
  <c r="T2" i="1"/>
  <c r="R2" i="1"/>
  <c r="Q2" i="1"/>
  <c r="P2" i="1"/>
  <c r="O2" i="1"/>
  <c r="N2" i="1"/>
  <c r="J2" i="1"/>
  <c r="F2" i="1"/>
  <c r="D2" i="1"/>
  <c r="C2" i="1"/>
  <c r="B3" i="1"/>
  <c r="B4" i="1"/>
  <c r="B2" i="1"/>
  <c r="R402" i="2" l="1"/>
  <c r="R385" i="2"/>
  <c r="R388" i="2"/>
  <c r="R386" i="2"/>
  <c r="R387" i="2"/>
  <c r="R396" i="2"/>
  <c r="R397" i="2"/>
  <c r="R398" i="2"/>
  <c r="R399" i="2"/>
  <c r="R400" i="2"/>
  <c r="R390" i="2"/>
  <c r="R389" i="2"/>
  <c r="R393" i="2"/>
  <c r="R391" i="2"/>
  <c r="R392" i="2"/>
  <c r="R394" i="2"/>
  <c r="R395" i="2"/>
  <c r="R408" i="2" l="1"/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2" i="2"/>
  <c r="R381" i="2"/>
  <c r="R406" i="2"/>
  <c r="R404" i="2"/>
  <c r="R409" i="2"/>
  <c r="R410" i="2"/>
  <c r="R411" i="2"/>
  <c r="R401" i="2"/>
  <c r="R403" i="2"/>
  <c r="R407" i="2"/>
  <c r="R412" i="2"/>
  <c r="R413" i="2"/>
  <c r="R414" i="2"/>
  <c r="R415" i="2"/>
  <c r="R416" i="2"/>
  <c r="R417" i="2"/>
  <c r="R348" i="2" l="1"/>
  <c r="R347" i="2"/>
  <c r="R303" i="2"/>
  <c r="R302" i="2"/>
  <c r="R276" i="2"/>
  <c r="S4" i="1"/>
  <c r="R275" i="2"/>
  <c r="S3" i="1"/>
  <c r="R274" i="2"/>
  <c r="S2" i="1"/>
  <c r="R67" i="2"/>
  <c r="R68" i="2"/>
  <c r="K161" i="2" l="1"/>
  <c r="G4" i="4" l="1"/>
  <c r="J4" i="4" l="1"/>
  <c r="I4" i="4"/>
  <c r="B39" i="16" l="1"/>
  <c r="B38" i="16"/>
  <c r="B37" i="16"/>
  <c r="B40" i="16"/>
  <c r="B42" i="16" l="1"/>
  <c r="B35" i="16"/>
  <c r="B41" i="16"/>
  <c r="K7" i="16" s="1"/>
  <c r="L7" i="16" s="1"/>
  <c r="M7" i="16" s="1"/>
  <c r="B34" i="16"/>
  <c r="B43" i="16"/>
  <c r="B36" i="16"/>
  <c r="K24" i="16" l="1"/>
  <c r="L24" i="16" s="1"/>
  <c r="M24" i="16" s="1"/>
  <c r="K22" i="16"/>
  <c r="L22" i="16" s="1"/>
  <c r="M22" i="16" s="1"/>
  <c r="K20" i="16"/>
  <c r="L20" i="16" s="1"/>
  <c r="M20" i="16" s="1"/>
  <c r="K18" i="16"/>
  <c r="L18" i="16" s="1"/>
  <c r="M18" i="16" s="1"/>
  <c r="K16" i="16"/>
  <c r="L16" i="16" s="1"/>
  <c r="M16" i="16" s="1"/>
  <c r="K14" i="16"/>
  <c r="L14" i="16" s="1"/>
  <c r="M14" i="16" s="1"/>
  <c r="K12" i="16"/>
  <c r="L12" i="16" s="1"/>
  <c r="M12" i="16" s="1"/>
  <c r="K13" i="16"/>
  <c r="L13" i="16" s="1"/>
  <c r="M13" i="16" s="1"/>
  <c r="K17" i="16"/>
  <c r="L17" i="16" s="1"/>
  <c r="M17" i="16" s="1"/>
  <c r="K21" i="16"/>
  <c r="L21" i="16" s="1"/>
  <c r="M21" i="16" s="1"/>
  <c r="K25" i="16"/>
  <c r="L25" i="16" s="1"/>
  <c r="M25" i="16" s="1"/>
  <c r="K15" i="16"/>
  <c r="L15" i="16" s="1"/>
  <c r="M15" i="16" s="1"/>
  <c r="K19" i="16"/>
  <c r="L19" i="16" s="1"/>
  <c r="M19" i="16" s="1"/>
  <c r="K23" i="16"/>
  <c r="L23" i="16" s="1"/>
  <c r="M23" i="16" s="1"/>
  <c r="K6" i="16"/>
  <c r="L6" i="16" s="1"/>
  <c r="M6" i="16" s="1"/>
  <c r="K4" i="16"/>
  <c r="L4" i="16" s="1"/>
  <c r="M4" i="16" s="1"/>
  <c r="K5" i="16"/>
  <c r="L5" i="16" s="1"/>
  <c r="M5" i="16" s="1"/>
  <c r="K10" i="16"/>
  <c r="L10" i="16" s="1"/>
  <c r="M10" i="16" s="1"/>
  <c r="K8" i="16"/>
  <c r="L8" i="16" s="1"/>
  <c r="M8" i="16" s="1"/>
  <c r="K9" i="16"/>
  <c r="L9" i="16" s="1"/>
  <c r="M9" i="16" s="1"/>
  <c r="K11" i="16"/>
  <c r="L11" i="16" s="1"/>
  <c r="M11" i="16" s="1"/>
  <c r="I91" i="2" l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1" i="2"/>
  <c r="J382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347" i="2" l="1"/>
  <c r="J348" i="2"/>
  <c r="J67" i="2"/>
  <c r="J68" i="2"/>
  <c r="J303" i="2"/>
  <c r="J302" i="2"/>
  <c r="I402" i="2" l="1"/>
  <c r="I387" i="2" l="1"/>
  <c r="I385" i="2"/>
  <c r="I400" i="2"/>
  <c r="I396" i="2"/>
  <c r="I398" i="2"/>
  <c r="I397" i="2"/>
  <c r="I386" i="2"/>
  <c r="I388" i="2"/>
  <c r="I399" i="2"/>
  <c r="I390" i="2" l="1"/>
  <c r="I394" i="2" l="1"/>
  <c r="I392" i="2"/>
  <c r="I408" i="2"/>
  <c r="I403" i="2" l="1"/>
  <c r="I411" i="2"/>
  <c r="I401" i="2"/>
  <c r="I407" i="2"/>
  <c r="I410" i="2"/>
  <c r="I391" i="2" l="1"/>
  <c r="I381" i="2"/>
  <c r="I395" i="2" l="1"/>
  <c r="I406" i="2"/>
  <c r="I409" i="2"/>
  <c r="I404" i="2"/>
  <c r="I389" i="2" l="1"/>
  <c r="I393" i="2"/>
  <c r="I382" i="2"/>
  <c r="I416" i="2" l="1"/>
  <c r="I415" i="2"/>
  <c r="I417" i="2"/>
  <c r="I414" i="2"/>
  <c r="I347" i="2" l="1"/>
  <c r="I348" i="2"/>
  <c r="I151" i="2"/>
  <c r="I265" i="2"/>
  <c r="I46" i="2"/>
  <c r="I130" i="2"/>
  <c r="I144" i="2"/>
  <c r="I136" i="2"/>
  <c r="I115" i="2"/>
  <c r="I368" i="2"/>
  <c r="I178" i="2"/>
  <c r="I131" i="2"/>
  <c r="I19" i="2"/>
  <c r="I221" i="2"/>
  <c r="I107" i="2"/>
  <c r="I58" i="2"/>
  <c r="I99" i="2"/>
  <c r="I47" i="2"/>
  <c r="I164" i="2"/>
  <c r="I231" i="2"/>
  <c r="I142" i="2"/>
  <c r="I229" i="2"/>
  <c r="I321" i="2"/>
  <c r="I97" i="2"/>
  <c r="I182" i="2"/>
  <c r="I156" i="2"/>
  <c r="I9" i="2"/>
  <c r="I319" i="2"/>
  <c r="I54" i="2"/>
  <c r="I270" i="2"/>
  <c r="I293" i="2"/>
  <c r="I211" i="2"/>
  <c r="I145" i="2"/>
  <c r="I350" i="2"/>
  <c r="I258" i="2"/>
  <c r="I65" i="2"/>
  <c r="I351" i="2"/>
  <c r="I121" i="2"/>
  <c r="I203" i="2"/>
  <c r="I157" i="2"/>
  <c r="I134" i="2"/>
  <c r="I22" i="2"/>
  <c r="I357" i="2"/>
  <c r="I27" i="2"/>
  <c r="I228" i="2"/>
  <c r="I286" i="2"/>
  <c r="I280" i="2"/>
  <c r="I153" i="2"/>
  <c r="I98" i="2"/>
  <c r="I378" i="2"/>
  <c r="I287" i="2"/>
  <c r="I201" i="2"/>
  <c r="I52" i="2"/>
  <c r="I279" i="2"/>
  <c r="I119" i="2"/>
  <c r="I79" i="2"/>
  <c r="I272" i="2"/>
  <c r="I69" i="2"/>
  <c r="I44" i="2"/>
  <c r="I141" i="2"/>
  <c r="I3" i="2"/>
  <c r="I32" i="2"/>
  <c r="I30" i="2"/>
  <c r="I358" i="2"/>
  <c r="I206" i="2"/>
  <c r="I162" i="2"/>
  <c r="I85" i="2"/>
  <c r="I148" i="2"/>
  <c r="I320" i="2"/>
  <c r="I132" i="2"/>
  <c r="I366" i="2"/>
  <c r="I209" i="2"/>
  <c r="I150" i="2"/>
  <c r="I53" i="2"/>
  <c r="I296" i="2"/>
  <c r="I367" i="2"/>
  <c r="I285" i="2"/>
  <c r="I314" i="2"/>
  <c r="I248" i="2"/>
  <c r="I90" i="2"/>
  <c r="I291" i="2"/>
  <c r="I304" i="2"/>
  <c r="I76" i="2"/>
  <c r="I292" i="2"/>
  <c r="I137" i="2"/>
  <c r="I82" i="2"/>
  <c r="I8" i="2"/>
  <c r="I232" i="2"/>
  <c r="I118" i="2"/>
  <c r="I349" i="2"/>
  <c r="I333" i="2"/>
  <c r="I49" i="2"/>
  <c r="I24" i="2"/>
  <c r="I273" i="2"/>
  <c r="I77" i="2"/>
  <c r="I171" i="2"/>
  <c r="I362" i="2"/>
  <c r="I281" i="2"/>
  <c r="I102" i="2"/>
  <c r="I315" i="2"/>
  <c r="I169" i="2"/>
  <c r="I168" i="2"/>
  <c r="I34" i="2"/>
  <c r="I21" i="2"/>
  <c r="I48" i="2"/>
  <c r="I88" i="2"/>
  <c r="I14" i="2"/>
  <c r="I216" i="2"/>
  <c r="I135" i="2"/>
  <c r="I341" i="2"/>
  <c r="I340" i="2"/>
  <c r="I127" i="2"/>
  <c r="I255" i="2"/>
  <c r="I42" i="2"/>
  <c r="I165" i="2"/>
  <c r="I37" i="2"/>
  <c r="I75" i="2"/>
  <c r="I288" i="2"/>
  <c r="I240" i="2"/>
  <c r="I337" i="2"/>
  <c r="I167" i="2"/>
  <c r="I202" i="2"/>
  <c r="I70" i="2"/>
  <c r="I154" i="2"/>
  <c r="I187" i="2"/>
  <c r="I61" i="2"/>
  <c r="I235" i="2"/>
  <c r="I62" i="2"/>
  <c r="I96" i="2"/>
  <c r="I364" i="2"/>
  <c r="I224" i="2"/>
  <c r="I87" i="2"/>
  <c r="I106" i="2"/>
  <c r="I170" i="2"/>
  <c r="I25" i="2"/>
  <c r="I126" i="2"/>
  <c r="I149" i="2"/>
  <c r="I311" i="2"/>
  <c r="I160" i="2"/>
  <c r="I5" i="2"/>
  <c r="I361" i="2"/>
  <c r="I316" i="2"/>
  <c r="I6" i="2"/>
  <c r="I264" i="2"/>
  <c r="I125" i="2"/>
  <c r="I301" i="2"/>
  <c r="I339" i="2"/>
  <c r="I4" i="2"/>
  <c r="I174" i="2"/>
  <c r="I210" i="2"/>
  <c r="I220" i="2"/>
  <c r="I177" i="2"/>
  <c r="I152" i="2"/>
  <c r="I198" i="2"/>
  <c r="I310" i="2"/>
  <c r="I213" i="2"/>
  <c r="I307" i="2"/>
  <c r="I128" i="2"/>
  <c r="I268" i="2"/>
  <c r="I334" i="2"/>
  <c r="I237" i="2"/>
  <c r="I343" i="2"/>
  <c r="I308" i="2"/>
  <c r="I376" i="2"/>
  <c r="I225" i="2"/>
  <c r="I12" i="2"/>
  <c r="I244" i="2"/>
  <c r="I234" i="2"/>
  <c r="I253" i="2"/>
  <c r="I330" i="2"/>
  <c r="I353" i="2"/>
  <c r="I101" i="2"/>
  <c r="I166" i="2"/>
  <c r="I189" i="2"/>
  <c r="I219" i="2"/>
  <c r="I188" i="2"/>
  <c r="I41" i="2"/>
  <c r="I260" i="2"/>
  <c r="I312" i="2"/>
  <c r="I294" i="2"/>
  <c r="I222" i="2"/>
  <c r="I10" i="2"/>
  <c r="I50" i="2"/>
  <c r="I359" i="2"/>
  <c r="I360" i="2"/>
  <c r="I262" i="2"/>
  <c r="I35" i="2"/>
  <c r="I184" i="2"/>
  <c r="I247" i="2"/>
  <c r="I325" i="2"/>
  <c r="I104" i="2"/>
  <c r="I180" i="2"/>
  <c r="I284" i="2"/>
  <c r="I338" i="2"/>
  <c r="I370" i="2"/>
  <c r="I218" i="2"/>
  <c r="I20" i="2"/>
  <c r="I161" i="2"/>
  <c r="I181" i="2"/>
  <c r="I355" i="2"/>
  <c r="I323" i="2"/>
  <c r="I309" i="2"/>
  <c r="I176" i="2"/>
  <c r="I83" i="2"/>
  <c r="I64" i="2"/>
  <c r="I183" i="2"/>
  <c r="I116" i="2"/>
  <c r="I81" i="2"/>
  <c r="I93" i="2"/>
  <c r="I26" i="2"/>
  <c r="I13" i="2"/>
  <c r="I271" i="2"/>
  <c r="I146" i="2"/>
  <c r="I326" i="2"/>
  <c r="I243" i="2"/>
  <c r="I313" i="2"/>
  <c r="I252" i="2"/>
  <c r="I226" i="2"/>
  <c r="I31" i="2"/>
  <c r="I236" i="2"/>
  <c r="I331" i="2"/>
  <c r="I282" i="2"/>
  <c r="I95" i="2"/>
  <c r="I283" i="2"/>
  <c r="I196" i="2"/>
  <c r="I36" i="2"/>
  <c r="I66" i="2"/>
  <c r="I332" i="2"/>
  <c r="I250" i="2"/>
  <c r="I74" i="2"/>
  <c r="I329" i="2"/>
  <c r="I108" i="2"/>
  <c r="I217" i="2"/>
  <c r="I147" i="2"/>
  <c r="I267" i="2"/>
  <c r="I29" i="2"/>
  <c r="I379" i="2"/>
  <c r="I105" i="2"/>
  <c r="I114" i="2"/>
  <c r="I374" i="2"/>
  <c r="I139" i="2"/>
  <c r="I263" i="2"/>
  <c r="I317" i="2"/>
  <c r="I84" i="2"/>
  <c r="I57" i="2"/>
  <c r="I172" i="2"/>
  <c r="I43" i="2"/>
  <c r="I324" i="2"/>
  <c r="I239" i="2"/>
  <c r="I192" i="2"/>
  <c r="I28" i="2"/>
  <c r="I363" i="2"/>
  <c r="I191" i="2"/>
  <c r="I305" i="2"/>
  <c r="I133" i="2"/>
  <c r="I18" i="2"/>
  <c r="I11" i="2"/>
  <c r="I246" i="2"/>
  <c r="I186" i="2"/>
  <c r="I212" i="2"/>
  <c r="I163" i="2"/>
  <c r="I103" i="2"/>
  <c r="I194" i="2"/>
  <c r="I92" i="2"/>
  <c r="I371" i="2"/>
  <c r="I120" i="2"/>
  <c r="I33" i="2"/>
  <c r="I223" i="2"/>
  <c r="I249" i="2"/>
  <c r="I158" i="2"/>
  <c r="I373" i="2"/>
  <c r="I346" i="2"/>
  <c r="I298" i="2"/>
  <c r="I38" i="2"/>
  <c r="I413" i="2"/>
  <c r="I195" i="2"/>
  <c r="I51" i="2"/>
  <c r="I327" i="2"/>
  <c r="I15" i="2"/>
  <c r="I322" i="2"/>
  <c r="I215" i="2"/>
  <c r="I342" i="2"/>
  <c r="I377" i="2"/>
  <c r="I179" i="2"/>
  <c r="I352" i="2"/>
  <c r="I266" i="2"/>
  <c r="I63" i="2"/>
  <c r="I344" i="2"/>
  <c r="I100" i="2"/>
  <c r="I59" i="2"/>
  <c r="I257" i="2"/>
  <c r="I185" i="2"/>
  <c r="I269" i="2"/>
  <c r="I140" i="2"/>
  <c r="I328" i="2"/>
  <c r="I55" i="2"/>
  <c r="I159" i="2"/>
  <c r="I197" i="2"/>
  <c r="I254" i="2"/>
  <c r="I73" i="2"/>
  <c r="I245" i="2"/>
  <c r="I354" i="2"/>
  <c r="I109" i="2"/>
  <c r="I124" i="2"/>
  <c r="I214" i="2"/>
  <c r="I345" i="2"/>
  <c r="I295" i="2"/>
  <c r="I80" i="2"/>
  <c r="I227" i="2"/>
  <c r="I40" i="2"/>
  <c r="I256" i="2"/>
  <c r="I207" i="2"/>
  <c r="I238" i="2"/>
  <c r="I78" i="2"/>
  <c r="I290" i="2"/>
  <c r="I297" i="2"/>
  <c r="I111" i="2"/>
  <c r="I278" i="2"/>
  <c r="I259" i="2"/>
  <c r="I242" i="2"/>
  <c r="I45" i="2"/>
  <c r="I122" i="2"/>
  <c r="I7" i="2"/>
  <c r="I175" i="2"/>
  <c r="I71" i="2"/>
  <c r="I23" i="2"/>
  <c r="I241" i="2"/>
  <c r="I143" i="2"/>
  <c r="I261" i="2"/>
  <c r="I356" i="2"/>
  <c r="I230" i="2"/>
  <c r="I72" i="2"/>
  <c r="I205" i="2"/>
  <c r="I129" i="2"/>
  <c r="I39" i="2"/>
  <c r="I94" i="2"/>
  <c r="I277" i="2"/>
  <c r="I289" i="2"/>
  <c r="I138" i="2"/>
  <c r="I60" i="2"/>
  <c r="I199" i="2"/>
  <c r="I336" i="2"/>
  <c r="I56" i="2"/>
  <c r="I173" i="2"/>
  <c r="I89" i="2"/>
  <c r="I193" i="2"/>
  <c r="I369" i="2"/>
  <c r="I113" i="2"/>
  <c r="I112" i="2"/>
  <c r="I335" i="2"/>
  <c r="I208" i="2"/>
  <c r="I117" i="2"/>
  <c r="I16" i="2"/>
  <c r="I204" i="2"/>
  <c r="I155" i="2"/>
  <c r="I190" i="2"/>
  <c r="I300" i="2"/>
  <c r="I306" i="2"/>
  <c r="I17" i="2"/>
  <c r="I86" i="2"/>
  <c r="I375" i="2"/>
  <c r="I318" i="2"/>
  <c r="I123" i="2"/>
  <c r="I110" i="2"/>
  <c r="I365" i="2"/>
  <c r="I200" i="2"/>
  <c r="I412" i="2"/>
  <c r="I372" i="2"/>
  <c r="I299" i="2"/>
  <c r="I274" i="2" l="1"/>
  <c r="M2" i="1"/>
  <c r="I275" i="2"/>
  <c r="M3" i="1"/>
  <c r="I303" i="2"/>
  <c r="I302" i="2"/>
  <c r="I67" i="2"/>
  <c r="I68" i="2"/>
  <c r="I276" i="2"/>
  <c r="M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tc={CE3A488D-1E5D-4D22-B0D7-FD4582B45DF7}</author>
  </authors>
  <commentList>
    <comment ref="K44" authorId="0" shapeId="0" xr:uid="{CE3A488D-1E5D-4D22-B0D7-FD4582B45DF7}">
      <text>
        <t>[Threaded comment]
Your version of Excel allows you to read this threaded comment; however, any edits to it will get removed if the file is opened in a newer version of Excel. Learn more: https://go.microsoft.com/fwlink/?linkid=870924
Comment:
    First year FIT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tc={9AFE831C-78D7-4E71-B8F4-5647ED27C2AA}</author>
  </authors>
  <commentList>
    <comment ref="K46" authorId="0" shapeId="0" xr:uid="{9AFE831C-78D7-4E71-B8F4-5647ED27C2AA}">
      <text>
        <t>[Threaded comment]
Your version of Excel allows you to read this threaded comment; however, any edits to it will get removed if the file is opened in a newer version of Excel. Learn more: https://go.microsoft.com/fwlink/?linkid=870924
Comment:
    First year FIT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tc={CEDDCDBA-5BC2-425D-BC0D-0BDD3CA8CF54}</author>
    <author>tc={879DFF91-A11A-4C07-8078-215695AAA518}</author>
  </authors>
  <commentList>
    <comment ref="A1" authorId="0" shapeId="0" xr:uid="{CEDDCDBA-5BC2-425D-BC0D-0BDD3CA8CF54}">
      <text>
        <t>[Threaded comment]
Your version of Excel allows you to read this threaded comment; however, any edits to it will get removed if the file is opened in a newer version of Excel. Learn more: https://go.microsoft.com/fwlink/?linkid=870924
Comment:
    Orange: Assets done; Green: Uploaded; Blue: Full Product text</t>
      </text>
    </comment>
    <comment ref="B1" authorId="1" shapeId="0" xr:uid="{879DFF91-A11A-4C07-8078-215695AAA518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LISTS STORE PRODUCTS ONLY:
identical to Products.xlsx, except pulls data from Products., or holds new store specific data, eg shipping/specials/GTIN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tc={5AE89AA4-40E0-4EC2-BEED-948B1AA86839}</author>
  </authors>
  <commentList>
    <comment ref="AM1" authorId="0" shapeId="0" xr:uid="{5AE89AA4-40E0-4EC2-BEED-948B1AA86839}">
      <text>
        <t>[Threaded comment]
Your version of Excel allows you to read this threaded comment; however, any edits to it will get removed if the file is opened in a newer version of Excel. Learn more: https://go.microsoft.com/fwlink/?linkid=870924
Comment:
    post_content (per Woo cols)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J7" authorId="0" shapeId="0" xr:uid="{6FDF8E5A-AF5C-4520-9CDD-ED5EE3650F7D}">
      <text>
        <r>
          <rPr>
            <b/>
            <sz val="9"/>
            <color indexed="81"/>
            <rFont val="Tahoma"/>
            <family val="2"/>
          </rPr>
          <t xml:space="preserve">Includes: </t>
        </r>
        <r>
          <rPr>
            <sz val="9"/>
            <color indexed="81"/>
            <rFont val="Tahoma"/>
            <family val="2"/>
          </rPr>
          <t>battery constraints and efficiency losses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<sst xmlns="http://schemas.openxmlformats.org/spreadsheetml/2006/main" count="9172" uniqueCount="4276">
  <si>
    <t>SKU</t>
  </si>
  <si>
    <t>Product categories</t>
  </si>
  <si>
    <t>Brand</t>
  </si>
  <si>
    <t>Name</t>
  </si>
  <si>
    <t>attribute 1 name</t>
  </si>
  <si>
    <t>attribute 1 value(s)</t>
  </si>
  <si>
    <t>attribute 1 visible</t>
  </si>
  <si>
    <t>attribute 1 global</t>
  </si>
  <si>
    <t>attribute 2 name</t>
  </si>
  <si>
    <t>attribute 2 value(s)</t>
  </si>
  <si>
    <t>Attribute 2 visible</t>
  </si>
  <si>
    <t>Attribute 2 global</t>
  </si>
  <si>
    <t>Price</t>
  </si>
  <si>
    <t>Weight</t>
  </si>
  <si>
    <t>Length</t>
  </si>
  <si>
    <t>Width</t>
  </si>
  <si>
    <t>Height</t>
  </si>
  <si>
    <t>gpf:gtin</t>
  </si>
  <si>
    <t>Shipping Class</t>
  </si>
  <si>
    <t>Short Description</t>
  </si>
  <si>
    <t>meta: Datasheet</t>
  </si>
  <si>
    <t>Images</t>
  </si>
  <si>
    <t>Content</t>
  </si>
  <si>
    <t>Up-Sells</t>
  </si>
  <si>
    <t>Cross-Sells</t>
  </si>
  <si>
    <t>menu_order</t>
  </si>
  <si>
    <t>tax_status</t>
  </si>
  <si>
    <t>tax_class</t>
  </si>
  <si>
    <t>In stock?</t>
  </si>
  <si>
    <t>Published</t>
  </si>
  <si>
    <t>B0672</t>
  </si>
  <si>
    <t>MPN (Part #)</t>
  </si>
  <si>
    <t>taxable</t>
  </si>
  <si>
    <t>standard rate</t>
  </si>
  <si>
    <t>B0673</t>
  </si>
  <si>
    <t>B0674</t>
  </si>
  <si>
    <t>KEY</t>
  </si>
  <si>
    <t>Products</t>
  </si>
  <si>
    <t>Manuf.PartNo.</t>
  </si>
  <si>
    <t>Logistics</t>
  </si>
  <si>
    <t>Shipping Dims</t>
  </si>
  <si>
    <t>Shipping methods</t>
  </si>
  <si>
    <t>Product Dims</t>
  </si>
  <si>
    <t>From supplier sheet/wbook</t>
  </si>
  <si>
    <t>*SKU</t>
  </si>
  <si>
    <t>Category  ⌂</t>
  </si>
  <si>
    <t>Description    [ nomenclature…]</t>
  </si>
  <si>
    <t>MPN</t>
  </si>
  <si>
    <t>Special incl.</t>
  </si>
  <si>
    <t>Sell incl.</t>
  </si>
  <si>
    <t>Sell Ex GST</t>
  </si>
  <si>
    <t>StockQty</t>
  </si>
  <si>
    <t>Wt (kg)</t>
  </si>
  <si>
    <t>L (cm)</t>
  </si>
  <si>
    <t>W (cm)</t>
  </si>
  <si>
    <t>H (cm)</t>
  </si>
  <si>
    <t>Shipping1</t>
  </si>
  <si>
    <t>Shipping2</t>
  </si>
  <si>
    <t>Supplier1</t>
  </si>
  <si>
    <t>L (mm)</t>
  </si>
  <si>
    <t>W (mm)</t>
  </si>
  <si>
    <t>H (mm)</t>
  </si>
  <si>
    <t>Warranty</t>
  </si>
  <si>
    <t>Datasheet</t>
  </si>
  <si>
    <t>UPC-GTIN-EAN</t>
  </si>
  <si>
    <t>Supplier2</t>
  </si>
  <si>
    <t>Supplier3</t>
  </si>
  <si>
    <t>Buy Ex GST</t>
  </si>
  <si>
    <t>Margin %</t>
  </si>
  <si>
    <t>Markup.basis</t>
  </si>
  <si>
    <t>Product listing</t>
  </si>
  <si>
    <t>HTML</t>
  </si>
  <si>
    <t>.new</t>
  </si>
  <si>
    <t>B1316</t>
  </si>
  <si>
    <t>B0891</t>
  </si>
  <si>
    <t>B0892</t>
  </si>
  <si>
    <t>B0514</t>
  </si>
  <si>
    <t>B1077</t>
  </si>
  <si>
    <t>B0245</t>
  </si>
  <si>
    <t>B0519</t>
  </si>
  <si>
    <t>B1187</t>
  </si>
  <si>
    <t>B1188</t>
  </si>
  <si>
    <t>B1133</t>
  </si>
  <si>
    <t>B0253</t>
  </si>
  <si>
    <t>B0273</t>
  </si>
  <si>
    <t>B1337</t>
  </si>
  <si>
    <t>B0288</t>
  </si>
  <si>
    <t>B0290</t>
  </si>
  <si>
    <t>b0839</t>
  </si>
  <si>
    <t>B0422</t>
  </si>
  <si>
    <t>B0840</t>
  </si>
  <si>
    <t>B1078</t>
  </si>
  <si>
    <t>B1075</t>
  </si>
  <si>
    <t>B1021</t>
  </si>
  <si>
    <t>B0436</t>
  </si>
  <si>
    <t>B1189</t>
  </si>
  <si>
    <t>B1190</t>
  </si>
  <si>
    <t>B0914</t>
  </si>
  <si>
    <t>B1199</t>
  </si>
  <si>
    <t>B1200</t>
  </si>
  <si>
    <t>B0259</t>
  </si>
  <si>
    <t>B0508</t>
  </si>
  <si>
    <t>B1085</t>
  </si>
  <si>
    <t>B1086</t>
  </si>
  <si>
    <t>B1087</t>
  </si>
  <si>
    <t>B1088</t>
  </si>
  <si>
    <t>B1089</t>
  </si>
  <si>
    <t>B1114</t>
  </si>
  <si>
    <t>B1119</t>
  </si>
  <si>
    <t>B1121</t>
  </si>
  <si>
    <t>B1135</t>
  </si>
  <si>
    <t>B1144</t>
  </si>
  <si>
    <t>B1145</t>
  </si>
  <si>
    <t>B1182</t>
  </si>
  <si>
    <t>B1183</t>
  </si>
  <si>
    <t>B1184</t>
  </si>
  <si>
    <t>B1185</t>
  </si>
  <si>
    <t>B1186</t>
  </si>
  <si>
    <t>Edit image and place online assets into upload directory '/B/00_UPLOAD/new'</t>
  </si>
  <si>
    <t xml:space="preserve">Collate the main online assets: datasheet, images, possibly manual/drawings, place in part directory P:/Production/Products/Bxxxx </t>
  </si>
  <si>
    <t>Check Products page - establish part status: see top for colour coding</t>
  </si>
  <si>
    <t>Part data gathering and upload process:</t>
  </si>
  <si>
    <t>B1085.32AInlet-Datasheet.voltex.2024.pdf</t>
  </si>
  <si>
    <t>B1085.jpg</t>
  </si>
  <si>
    <t>Datasheet:</t>
  </si>
  <si>
    <t>Image:</t>
  </si>
  <si>
    <t>Create assets, check category/HTML.txt &amp; upload to store</t>
  </si>
  <si>
    <t>D</t>
  </si>
  <si>
    <t>Pull through into Store.xslx, to.upload</t>
  </si>
  <si>
    <t>C</t>
  </si>
  <si>
    <t>Register NP in Products.xslx</t>
  </si>
  <si>
    <t>B</t>
  </si>
  <si>
    <t>Create NP list in .new by category</t>
  </si>
  <si>
    <t>A</t>
  </si>
  <si>
    <t>Part Selection and upload process:</t>
  </si>
  <si>
    <t>E</t>
  </si>
  <si>
    <t>Update SKU colour, to show upload status (New/Pending/Live)</t>
  </si>
  <si>
    <t>B0458</t>
  </si>
  <si>
    <t>SKU Colour for Upload Status:</t>
  </si>
  <si>
    <t>New, gathering assets</t>
  </si>
  <si>
    <t>Assets gathered, upload pending</t>
  </si>
  <si>
    <t>Live</t>
  </si>
  <si>
    <t>Add any part information to main sheet line, &amp; update Suppliers.xlsx for pricing if needed</t>
  </si>
  <si>
    <t>!!!</t>
  </si>
  <si>
    <t>If necessary allocate a new part number from grey #s, add to main sheet, allocate store category</t>
  </si>
  <si>
    <t>Store categories!</t>
  </si>
  <si>
    <t>Where product assets: onedrive or P drive?</t>
  </si>
  <si>
    <t>Sub-Category</t>
  </si>
  <si>
    <t>Store-Category</t>
  </si>
  <si>
    <t>Batteries</t>
  </si>
  <si>
    <t>Systems</t>
  </si>
  <si>
    <t>Solar panels</t>
  </si>
  <si>
    <t>Offgrid-Equip</t>
  </si>
  <si>
    <t>Monitoring</t>
  </si>
  <si>
    <t>Electrical</t>
  </si>
  <si>
    <t>Subscriptions</t>
  </si>
  <si>
    <t>Brands</t>
  </si>
  <si>
    <t>Residential</t>
  </si>
  <si>
    <t>3phase</t>
  </si>
  <si>
    <t>75KW+</t>
  </si>
  <si>
    <t>UPS</t>
  </si>
  <si>
    <t>Lithium</t>
  </si>
  <si>
    <t>Gel</t>
  </si>
  <si>
    <t>AGM</t>
  </si>
  <si>
    <t>Battery-accessories</t>
  </si>
  <si>
    <t>PV Racking</t>
  </si>
  <si>
    <t>PV Install-extras</t>
  </si>
  <si>
    <t>Solar Controllers</t>
  </si>
  <si>
    <t>Grid-Inverters</t>
  </si>
  <si>
    <t>3ph-Inverters</t>
  </si>
  <si>
    <t>Large-Inverters</t>
  </si>
  <si>
    <t>Inverter-Chargers</t>
  </si>
  <si>
    <t>DC switchgear</t>
  </si>
  <si>
    <t>DC Cabling</t>
  </si>
  <si>
    <t>EV chargers</t>
  </si>
  <si>
    <t>Generators</t>
  </si>
  <si>
    <t>Fuelcells</t>
  </si>
  <si>
    <t>Control-centres</t>
  </si>
  <si>
    <t>Relays</t>
  </si>
  <si>
    <t>Displays</t>
  </si>
  <si>
    <t>Modems</t>
  </si>
  <si>
    <t>Meters</t>
  </si>
  <si>
    <t>Sensors</t>
  </si>
  <si>
    <t>Enclosures</t>
  </si>
  <si>
    <t>Lugs-Connectors</t>
  </si>
  <si>
    <t>Tools</t>
  </si>
  <si>
    <t>AC switchgear</t>
  </si>
  <si>
    <t>Lighting</t>
  </si>
  <si>
    <t>HeatPumps</t>
  </si>
  <si>
    <t>AirCon</t>
  </si>
  <si>
    <t>DC-DC</t>
  </si>
  <si>
    <t>AC-DC</t>
  </si>
  <si>
    <t>Miscellaneous</t>
  </si>
  <si>
    <t>Extended Warranty</t>
  </si>
  <si>
    <t>ecoCool Parts</t>
  </si>
  <si>
    <t>DC-Bus, K-series.parts, PVC strip/VHB, etc</t>
  </si>
  <si>
    <t>ecoCool</t>
  </si>
  <si>
    <t>Victron</t>
  </si>
  <si>
    <t>GenZ</t>
  </si>
  <si>
    <t>Vaulta</t>
  </si>
  <si>
    <t>Voltex</t>
  </si>
  <si>
    <t>Tindo</t>
  </si>
  <si>
    <t>Catchpower</t>
  </si>
  <si>
    <t>Wattwatchers</t>
  </si>
  <si>
    <t>Plasmatronics</t>
  </si>
  <si>
    <t>Trina</t>
  </si>
  <si>
    <t>Longi</t>
  </si>
  <si>
    <t>Clenergy</t>
  </si>
  <si>
    <t>Selectronic</t>
  </si>
  <si>
    <t>AERL</t>
  </si>
  <si>
    <t>Fronius</t>
  </si>
  <si>
    <t>Wwatchers</t>
  </si>
  <si>
    <t>SMA</t>
  </si>
  <si>
    <t>BYD</t>
  </si>
  <si>
    <t>ecoCool-Accessories</t>
  </si>
  <si>
    <t>Victron-Accessories</t>
  </si>
  <si>
    <t>Solar.Panels</t>
  </si>
  <si>
    <t>Offgrid.Equip</t>
  </si>
  <si>
    <t>AC.switchgear</t>
  </si>
  <si>
    <t>AC.Cabling</t>
  </si>
  <si>
    <t>DKSH.Noark</t>
  </si>
  <si>
    <t>Remote-Equipment</t>
  </si>
  <si>
    <t>Solar Modules</t>
  </si>
  <si>
    <t>4G.Data</t>
  </si>
  <si>
    <t>ID products from SKUs, lookup</t>
  </si>
  <si>
    <t>remove unwanted</t>
  </si>
  <si>
    <t>do any further data massage/parsing</t>
  </si>
  <si>
    <t>upload, with images</t>
  </si>
  <si>
    <t>Category</t>
  </si>
  <si>
    <t>shipping</t>
  </si>
  <si>
    <t>Control</t>
  </si>
  <si>
    <t>DC-Inverters</t>
  </si>
  <si>
    <t>Telemetry</t>
  </si>
  <si>
    <t>Data.cables</t>
  </si>
  <si>
    <t>Hybrid-Inverters</t>
  </si>
  <si>
    <t>K-Series</t>
  </si>
  <si>
    <t>B0221 duplic.</t>
  </si>
  <si>
    <t>1500x1500 pixels optimal, 500x500 OK if req.</t>
  </si>
  <si>
    <t>B0101</t>
  </si>
  <si>
    <t>B0118</t>
  </si>
  <si>
    <t>B0119</t>
  </si>
  <si>
    <t>B0120</t>
  </si>
  <si>
    <t>B0060</t>
  </si>
  <si>
    <t>B0057</t>
  </si>
  <si>
    <t>B0072</t>
  </si>
  <si>
    <t>B0217</t>
  </si>
  <si>
    <t>B0223</t>
  </si>
  <si>
    <t>B0039</t>
  </si>
  <si>
    <t>B0036</t>
  </si>
  <si>
    <t>B0110</t>
  </si>
  <si>
    <t>B0111</t>
  </si>
  <si>
    <t>B0043</t>
  </si>
  <si>
    <t>B0044</t>
  </si>
  <si>
    <t>B0045</t>
  </si>
  <si>
    <t>B0046</t>
  </si>
  <si>
    <t>B0199</t>
  </si>
  <si>
    <t>B0215</t>
  </si>
  <si>
    <t>B0216</t>
  </si>
  <si>
    <t>B0220</t>
  </si>
  <si>
    <t>B0047</t>
  </si>
  <si>
    <t>B0221</t>
  </si>
  <si>
    <t>B0071</t>
  </si>
  <si>
    <t>B0222</t>
  </si>
  <si>
    <t>B0246</t>
  </si>
  <si>
    <t>B0041</t>
  </si>
  <si>
    <t>B0042</t>
  </si>
  <si>
    <t>B0206</t>
  </si>
  <si>
    <t>B0207</t>
  </si>
  <si>
    <t>B0208</t>
  </si>
  <si>
    <t>B0212</t>
  </si>
  <si>
    <t>B0117</t>
  </si>
  <si>
    <t>B0135</t>
  </si>
  <si>
    <t>B0121</t>
  </si>
  <si>
    <t>B0122</t>
  </si>
  <si>
    <t>B0134</t>
  </si>
  <si>
    <t>B0241</t>
  </si>
  <si>
    <t>B0238</t>
  </si>
  <si>
    <t>B0054</t>
  </si>
  <si>
    <t>B0055</t>
  </si>
  <si>
    <t>B0056</t>
  </si>
  <si>
    <t>B0058</t>
  </si>
  <si>
    <t>B0234</t>
  </si>
  <si>
    <t>B0226</t>
  </si>
  <si>
    <t>B0227</t>
  </si>
  <si>
    <t>B0228</t>
  </si>
  <si>
    <t>W0010</t>
  </si>
  <si>
    <t>W0011</t>
  </si>
  <si>
    <t>W0012</t>
  </si>
  <si>
    <t>W0013</t>
  </si>
  <si>
    <t>B0224</t>
  </si>
  <si>
    <t>B0251</t>
  </si>
  <si>
    <t>B0252</t>
  </si>
  <si>
    <t>B0267</t>
  </si>
  <si>
    <t>B0268</t>
  </si>
  <si>
    <t>B0280</t>
  </si>
  <si>
    <t>B0281</t>
  </si>
  <si>
    <t>B0282</t>
  </si>
  <si>
    <t>B0283</t>
  </si>
  <si>
    <t>B0284</t>
  </si>
  <si>
    <t>B0285</t>
  </si>
  <si>
    <t>B0286</t>
  </si>
  <si>
    <t>B0287</t>
  </si>
  <si>
    <t>B0289</t>
  </si>
  <si>
    <t>B0401</t>
  </si>
  <si>
    <t>B0402</t>
  </si>
  <si>
    <t>B0396</t>
  </si>
  <si>
    <t>B0240</t>
  </si>
  <si>
    <t>B0242</t>
  </si>
  <si>
    <t>B0243</t>
  </si>
  <si>
    <t>B0456</t>
  </si>
  <si>
    <t>B0457</t>
  </si>
  <si>
    <t>B0459</t>
  </si>
  <si>
    <t>B0379</t>
  </si>
  <si>
    <t>B0380</t>
  </si>
  <si>
    <t>B0381</t>
  </si>
  <si>
    <t>B0382</t>
  </si>
  <si>
    <t>B0386</t>
  </si>
  <si>
    <t>B0387</t>
  </si>
  <si>
    <t>B0388</t>
  </si>
  <si>
    <t>B0389</t>
  </si>
  <si>
    <t>B0390</t>
  </si>
  <si>
    <t>B0460</t>
  </si>
  <si>
    <t>B0461</t>
  </si>
  <si>
    <t>B0462</t>
  </si>
  <si>
    <t>B0463</t>
  </si>
  <si>
    <t>B0473</t>
  </si>
  <si>
    <t>B0427</t>
  </si>
  <si>
    <t>B0355</t>
  </si>
  <si>
    <t>B0477</t>
  </si>
  <si>
    <t>B0434</t>
  </si>
  <si>
    <t>B0483</t>
  </si>
  <si>
    <t>B0312</t>
  </si>
  <si>
    <t>B0314</t>
  </si>
  <si>
    <t>B0316</t>
  </si>
  <si>
    <t>B0497</t>
  </si>
  <si>
    <t>B0468</t>
  </si>
  <si>
    <t>B0474</t>
  </si>
  <si>
    <t>B0485</t>
  </si>
  <si>
    <t>B0486</t>
  </si>
  <si>
    <t>B0361</t>
  </si>
  <si>
    <t>B0362</t>
  </si>
  <si>
    <t>B0363</t>
  </si>
  <si>
    <t>B0368</t>
  </si>
  <si>
    <t>B0239</t>
  </si>
  <si>
    <t>B0369</t>
  </si>
  <si>
    <t>B0367</t>
  </si>
  <si>
    <t>B0354</t>
  </si>
  <si>
    <t>B0356</t>
  </si>
  <si>
    <t>B0370</t>
  </si>
  <si>
    <t>B0372</t>
  </si>
  <si>
    <t>B0373</t>
  </si>
  <si>
    <t>B0374</t>
  </si>
  <si>
    <t>B0364</t>
  </si>
  <si>
    <t>B0365</t>
  </si>
  <si>
    <t>B0366</t>
  </si>
  <si>
    <t>B0269</t>
  </si>
  <si>
    <t>B0270</t>
  </si>
  <si>
    <t>B0271</t>
  </si>
  <si>
    <t>B0272</t>
  </si>
  <si>
    <t>B0274</t>
  </si>
  <si>
    <t>B0275</t>
  </si>
  <si>
    <t>B0276</t>
  </si>
  <si>
    <t>B0277</t>
  </si>
  <si>
    <t>B0278</t>
  </si>
  <si>
    <t>B0418</t>
  </si>
  <si>
    <t>B0279</t>
  </si>
  <si>
    <t>B0291</t>
  </si>
  <si>
    <t>B0292</t>
  </si>
  <si>
    <t>B0293</t>
  </si>
  <si>
    <t>B1120</t>
  </si>
  <si>
    <t>B0962</t>
  </si>
  <si>
    <t>B0343</t>
  </si>
  <si>
    <t>B0344</t>
  </si>
  <si>
    <t>B0345</t>
  </si>
  <si>
    <t>B0346</t>
  </si>
  <si>
    <t>B0347</t>
  </si>
  <si>
    <t>B0348</t>
  </si>
  <si>
    <t>B0349</t>
  </si>
  <si>
    <t>B0351</t>
  </si>
  <si>
    <t>B0352</t>
  </si>
  <si>
    <t>B0353</t>
  </si>
  <si>
    <t>B0332</t>
  </si>
  <si>
    <t>B0333</t>
  </si>
  <si>
    <t>B0334</t>
  </si>
  <si>
    <t>B0336</t>
  </si>
  <si>
    <t>B0337</t>
  </si>
  <si>
    <t>B0338</t>
  </si>
  <si>
    <t>B0339</t>
  </si>
  <si>
    <t>B0340</t>
  </si>
  <si>
    <t>B0341</t>
  </si>
  <si>
    <t>B0342</t>
  </si>
  <si>
    <t>B0335</t>
  </si>
  <si>
    <t>B0502</t>
  </si>
  <si>
    <t>B0503</t>
  </si>
  <si>
    <t>B0504</t>
  </si>
  <si>
    <t>B0505</t>
  </si>
  <si>
    <t>B0506</t>
  </si>
  <si>
    <t>B0310</t>
  </si>
  <si>
    <t>B0507</t>
  </si>
  <si>
    <t>B0509</t>
  </si>
  <si>
    <t>B0511</t>
  </si>
  <si>
    <t>B0329</t>
  </si>
  <si>
    <t>B0331</t>
  </si>
  <si>
    <t>B0300</t>
  </si>
  <si>
    <t>B0301</t>
  </si>
  <si>
    <t>B0302</t>
  </si>
  <si>
    <t>B0303</t>
  </si>
  <si>
    <t>B0330</t>
  </si>
  <si>
    <t>B0702</t>
  </si>
  <si>
    <t>B0534</t>
  </si>
  <si>
    <t>B0535</t>
  </si>
  <si>
    <t>B0537</t>
  </si>
  <si>
    <t>B0407</t>
  </si>
  <si>
    <t>B0406</t>
  </si>
  <si>
    <t>B0538</t>
  </si>
  <si>
    <t>B0601</t>
  </si>
  <si>
    <t>B0551</t>
  </si>
  <si>
    <t>B0552</t>
  </si>
  <si>
    <t>B0553</t>
  </si>
  <si>
    <t>B0554</t>
  </si>
  <si>
    <t>B0555</t>
  </si>
  <si>
    <t>B0556</t>
  </si>
  <si>
    <t>B0557</t>
  </si>
  <si>
    <t>B0558</t>
  </si>
  <si>
    <t>B0559</t>
  </si>
  <si>
    <t>B0560</t>
  </si>
  <si>
    <t>B0561</t>
  </si>
  <si>
    <t>B0562</t>
  </si>
  <si>
    <t>B0563</t>
  </si>
  <si>
    <t>B0564</t>
  </si>
  <si>
    <t>B0565</t>
  </si>
  <si>
    <t>B0566</t>
  </si>
  <si>
    <t>B0567</t>
  </si>
  <si>
    <t>B0545</t>
  </si>
  <si>
    <t>B0038</t>
  </si>
  <si>
    <t>B0568</t>
  </si>
  <si>
    <t>B0231</t>
  </si>
  <si>
    <t>B0569</t>
  </si>
  <si>
    <t>B0570</t>
  </si>
  <si>
    <t>B0571</t>
  </si>
  <si>
    <t>B0572</t>
  </si>
  <si>
    <t>B0546</t>
  </si>
  <si>
    <t>B0573</t>
  </si>
  <si>
    <t>B0574</t>
  </si>
  <si>
    <t>B0575</t>
  </si>
  <si>
    <t>B0576</t>
  </si>
  <si>
    <t>B0577</t>
  </si>
  <si>
    <t>B0578</t>
  </si>
  <si>
    <t>B0579</t>
  </si>
  <si>
    <t>B0547</t>
  </si>
  <si>
    <t>B0580</t>
  </si>
  <si>
    <t>B0549</t>
  </si>
  <si>
    <t>B0584</t>
  </si>
  <si>
    <t>B0585</t>
  </si>
  <si>
    <t>B0586</t>
  </si>
  <si>
    <t>B0587</t>
  </si>
  <si>
    <t>B0588</t>
  </si>
  <si>
    <t>B0589</t>
  </si>
  <si>
    <t>B0550</t>
  </si>
  <si>
    <t>B0590</t>
  </si>
  <si>
    <t>B0591</t>
  </si>
  <si>
    <t>B0592</t>
  </si>
  <si>
    <t>B0629</t>
  </si>
  <si>
    <t>B0593</t>
  </si>
  <si>
    <t>B0594</t>
  </si>
  <si>
    <t>B0595</t>
  </si>
  <si>
    <t>B0596</t>
  </si>
  <si>
    <t>B0597</t>
  </si>
  <si>
    <t>B0598</t>
  </si>
  <si>
    <t>B0599</t>
  </si>
  <si>
    <t>B0478</t>
  </si>
  <si>
    <t>B0260</t>
  </si>
  <si>
    <t>B0034</t>
  </si>
  <si>
    <t>B0035</t>
  </si>
  <si>
    <t>B0115</t>
  </si>
  <si>
    <t>B0116</t>
  </si>
  <si>
    <t>B0494</t>
  </si>
  <si>
    <t>B0495</t>
  </si>
  <si>
    <t>B0481</t>
  </si>
  <si>
    <t>B0298</t>
  </si>
  <si>
    <t>B0603</t>
  </si>
  <si>
    <t>B0376</t>
  </si>
  <si>
    <t>B0513</t>
  </si>
  <si>
    <t>B0544</t>
  </si>
  <si>
    <t>B0670</t>
  </si>
  <si>
    <t>B0671</t>
  </si>
  <si>
    <t>B0679</t>
  </si>
  <si>
    <t>B0675</t>
  </si>
  <si>
    <t>B0676</t>
  </si>
  <si>
    <t>B0677</t>
  </si>
  <si>
    <t>B0678</t>
  </si>
  <si>
    <t>B0680</t>
  </si>
  <si>
    <t>B0681</t>
  </si>
  <si>
    <t>B0682</t>
  </si>
  <si>
    <t>B0683</t>
  </si>
  <si>
    <t>B0684</t>
  </si>
  <si>
    <t>B0685</t>
  </si>
  <si>
    <t>B0686</t>
  </si>
  <si>
    <t>B1175</t>
  </si>
  <si>
    <t>B1176</t>
  </si>
  <si>
    <t>B1177</t>
  </si>
  <si>
    <t>B1178</t>
  </si>
  <si>
    <t>B1179</t>
  </si>
  <si>
    <t>B1180</t>
  </si>
  <si>
    <t>B0710</t>
  </si>
  <si>
    <t>B0711</t>
  </si>
  <si>
    <t>B0714</t>
  </si>
  <si>
    <t>B0712</t>
  </si>
  <si>
    <t>B1070</t>
  </si>
  <si>
    <t>B1071</t>
  </si>
  <si>
    <t>B0632</t>
  </si>
  <si>
    <t>B0790</t>
  </si>
  <si>
    <t>B1072</t>
  </si>
  <si>
    <t>B1073</t>
  </si>
  <si>
    <t>B1227</t>
  </si>
  <si>
    <t>B1245</t>
  </si>
  <si>
    <t>B1246</t>
  </si>
  <si>
    <t>B1247</t>
  </si>
  <si>
    <t>B1253</t>
  </si>
  <si>
    <t>B1318</t>
  </si>
  <si>
    <t>B1319</t>
  </si>
  <si>
    <t>B0539</t>
  </si>
  <si>
    <t>B0838</t>
  </si>
  <si>
    <t>B0844</t>
  </si>
  <si>
    <t>B0845</t>
  </si>
  <si>
    <t>B0958</t>
  </si>
  <si>
    <t>B0959</t>
  </si>
  <si>
    <t>B0960</t>
  </si>
  <si>
    <t>B1338</t>
  </si>
  <si>
    <t>B1117</t>
  </si>
  <si>
    <t>B1324</t>
  </si>
  <si>
    <t>B1330</t>
  </si>
  <si>
    <t>B1331</t>
  </si>
  <si>
    <t>B1332</t>
  </si>
  <si>
    <t>B1333</t>
  </si>
  <si>
    <t>B1334</t>
  </si>
  <si>
    <t>B0328</t>
  </si>
  <si>
    <t>B0395</t>
  </si>
  <si>
    <t>B0417</t>
  </si>
  <si>
    <t>B1059</t>
  </si>
  <si>
    <t>B1060</t>
  </si>
  <si>
    <t>B1344</t>
  </si>
  <si>
    <t>B1315</t>
  </si>
  <si>
    <t>B1346</t>
  </si>
  <si>
    <t>B1347</t>
  </si>
  <si>
    <t>PK18.A01</t>
  </si>
  <si>
    <t>PK18.A02</t>
  </si>
  <si>
    <t>B0627</t>
  </si>
  <si>
    <t>B0626</t>
  </si>
  <si>
    <t>B0095</t>
  </si>
  <si>
    <t>B1018</t>
  </si>
  <si>
    <t>B1306</t>
  </si>
  <si>
    <t>B1307</t>
  </si>
  <si>
    <t>B1308</t>
  </si>
  <si>
    <t>B1309</t>
  </si>
  <si>
    <t>B1310</t>
  </si>
  <si>
    <t>B1311</t>
  </si>
  <si>
    <t>B0403</t>
  </si>
  <si>
    <t>B0491</t>
  </si>
  <si>
    <t>B1115</t>
  </si>
  <si>
    <t>B1118</t>
  </si>
  <si>
    <t>B0419</t>
  </si>
  <si>
    <t>B0420</t>
  </si>
  <si>
    <t>B0415</t>
  </si>
  <si>
    <t>B0416</t>
  </si>
  <si>
    <t>B0421</t>
  </si>
  <si>
    <t>B0423</t>
  </si>
  <si>
    <t>B1108</t>
  </si>
  <si>
    <t>K32.3000.G.100</t>
  </si>
  <si>
    <t>K32.5000.G.100</t>
  </si>
  <si>
    <t>K32.5000.G.150</t>
  </si>
  <si>
    <t>K32.3000.G.150-45</t>
  </si>
  <si>
    <t>K33.3000.G.120</t>
  </si>
  <si>
    <t>K33.5000.G.150</t>
  </si>
  <si>
    <t>K33.8000.G.150</t>
  </si>
  <si>
    <t>K32.3000.G.50-45</t>
  </si>
  <si>
    <t>K32A.2000.100</t>
  </si>
  <si>
    <t>K32A.3000.50</t>
  </si>
  <si>
    <t>K32A.3000.100</t>
  </si>
  <si>
    <t>K32A.3000.150</t>
  </si>
  <si>
    <t>K32A.5000.150</t>
  </si>
  <si>
    <t>K32C.2000.58</t>
  </si>
  <si>
    <t>K32C.3000.58</t>
  </si>
  <si>
    <t>K32C.5000.82</t>
  </si>
  <si>
    <t>K32C.8000.82</t>
  </si>
  <si>
    <t>K33.3000.G.50</t>
  </si>
  <si>
    <t>K33.3000.G.100</t>
  </si>
  <si>
    <t>K33.5000.G.100</t>
  </si>
  <si>
    <t>K33.10000.G.200</t>
  </si>
  <si>
    <t>K33.15000.G.250</t>
  </si>
  <si>
    <t>K33.15000-3.G.250</t>
  </si>
  <si>
    <t>K33.30000-3.G.300</t>
  </si>
  <si>
    <t>K33.45000-3.G.500</t>
  </si>
  <si>
    <t>K32.EXP.00</t>
  </si>
  <si>
    <t>K32.EXP.50</t>
  </si>
  <si>
    <t>K32.EXP.100</t>
  </si>
  <si>
    <t>K32.EXP.150</t>
  </si>
  <si>
    <t>K32A.2000.50</t>
  </si>
  <si>
    <t>K32A.5000.100</t>
  </si>
  <si>
    <t>K32C.1200.29</t>
  </si>
  <si>
    <t>B0126</t>
  </si>
  <si>
    <t>Store.xlsx</t>
  </si>
  <si>
    <t>Products.xlsx</t>
  </si>
  <si>
    <t>Suppliers.xlsx</t>
  </si>
  <si>
    <t>Inventory.xlsx</t>
  </si>
  <si>
    <t>Telemetry:</t>
  </si>
  <si>
    <t>Specifications</t>
  </si>
  <si>
    <t>Comms</t>
  </si>
  <si>
    <t>i36.01.01</t>
  </si>
  <si>
    <t>4G Modem Basic 1-port, 48v Power embedded</t>
  </si>
  <si>
    <t>TRB140</t>
  </si>
  <si>
    <t>i36.01.02</t>
  </si>
  <si>
    <t>4G Modem Wifi-router 2-Port, 48v Power, embedded</t>
  </si>
  <si>
    <t>RUT200</t>
  </si>
  <si>
    <t>i36.02.01</t>
  </si>
  <si>
    <t>4G Modem Basic 1-port, 12-48v Power, IP Enclos.</t>
  </si>
  <si>
    <t>i36.02.02</t>
  </si>
  <si>
    <t>4G Modem Wifi-router, 2-port 12-48v Pwr, IP Enclos.</t>
  </si>
  <si>
    <t>i36.02.03</t>
  </si>
  <si>
    <t>4G Modem Basic 4-port, 12-48v Power, IP Enclos.</t>
  </si>
  <si>
    <t>RUT955</t>
  </si>
  <si>
    <t>Column1</t>
  </si>
  <si>
    <t>Àllocate part number</t>
  </si>
  <si>
    <t>Select an available new part#, eg Greyed numbers</t>
  </si>
  <si>
    <t>B1153</t>
  </si>
  <si>
    <t>Add any part info in the 'BLACK' text, (Blue is taken from Suppliers s/sheet)</t>
  </si>
  <si>
    <t>when complete, change part # to Gold</t>
  </si>
  <si>
    <t>wp-admin</t>
  </si>
  <si>
    <t>energy-offgrid.com.au/webshack</t>
  </si>
  <si>
    <t>Wordpress</t>
  </si>
  <si>
    <t>Woo Commerce</t>
  </si>
  <si>
    <t>SEO/Adwords</t>
  </si>
  <si>
    <t>SM</t>
  </si>
  <si>
    <t>files</t>
  </si>
  <si>
    <t>to do craig</t>
  </si>
  <si>
    <t>K33 System</t>
  </si>
  <si>
    <t>Solar Arrays</t>
  </si>
  <si>
    <t>Options</t>
  </si>
  <si>
    <t>Lithium Battery 5 KWh, 3000VA Output</t>
  </si>
  <si>
    <t>Lithium Battery 10 KWh, 3000VA Output</t>
  </si>
  <si>
    <t>Lithium Battery 10 KWh, 5000VA Output</t>
  </si>
  <si>
    <t>Lithium Battery 15 KWh, 5000VA Output</t>
  </si>
  <si>
    <t>Lithium Battery 15 KWh, 8000VA Output</t>
  </si>
  <si>
    <t>Lithium Battery 20 KWh, 10000VA Output</t>
  </si>
  <si>
    <t>Lithium Battery 25 KWh, 15000VA Output</t>
  </si>
  <si>
    <t>Postcode</t>
  </si>
  <si>
    <t>People</t>
  </si>
  <si>
    <t>Budget</t>
  </si>
  <si>
    <t>Battery #, Array size, Inverter size</t>
  </si>
  <si>
    <t>Give 3 options, say is more…either size, 'go to five'</t>
  </si>
  <si>
    <t>Then create full calc image, from system choice!</t>
  </si>
  <si>
    <t>Or create 'tweaking' buttons to increase/decrease eg solar/batts</t>
  </si>
  <si>
    <t>Rules on how big bank is min. or qty panels/str/MPPT etc</t>
  </si>
  <si>
    <t>3 options … 6-14% difference, whatever qty options, give them choice inside</t>
  </si>
  <si>
    <t>K33.5000.G.200</t>
  </si>
  <si>
    <t>K33.8000.G.200</t>
  </si>
  <si>
    <t>K33.8000.G.250</t>
  </si>
  <si>
    <t>K33.5000.G.250</t>
  </si>
  <si>
    <t>K33.5000.G.300</t>
  </si>
  <si>
    <t>K33.3000.G.150</t>
  </si>
  <si>
    <t>K33.10000.G.250</t>
  </si>
  <si>
    <t>K33.10000.G.300</t>
  </si>
  <si>
    <t>K33.10000.G.350</t>
  </si>
  <si>
    <t>K33.15000.G.300</t>
  </si>
  <si>
    <t>K33.15000.G.350</t>
  </si>
  <si>
    <t>K33.15000.G.400</t>
  </si>
  <si>
    <t>K33.15000.G.450</t>
  </si>
  <si>
    <t>All DC coupled, all 500W, all 450/100, mults; or 250/60.min</t>
  </si>
  <si>
    <t>Inverter KVA</t>
  </si>
  <si>
    <t>Battery KWh</t>
  </si>
  <si>
    <t>Design Month KWh</t>
  </si>
  <si>
    <t>Inverter min. size</t>
  </si>
  <si>
    <t>Battery min. size</t>
  </si>
  <si>
    <t>x1.4</t>
  </si>
  <si>
    <t>pv.Array size</t>
  </si>
  <si>
    <t>String 8</t>
  </si>
  <si>
    <t>BaseSolar</t>
  </si>
  <si>
    <t>Number of people</t>
  </si>
  <si>
    <t>Suburb</t>
  </si>
  <si>
    <t>State</t>
  </si>
  <si>
    <t>Latitude</t>
  </si>
  <si>
    <t>Group</t>
  </si>
  <si>
    <t>THURSDAY ISLAND</t>
  </si>
  <si>
    <t>QLD</t>
  </si>
  <si>
    <t>BAMAGA</t>
  </si>
  <si>
    <t>CHRISTMAS ISLAND</t>
  </si>
  <si>
    <t>WA</t>
  </si>
  <si>
    <t>DARWIN</t>
  </si>
  <si>
    <t>NT</t>
  </si>
  <si>
    <t>WANGURI</t>
  </si>
  <si>
    <t>WULAGI</t>
  </si>
  <si>
    <t>WOOLNER</t>
  </si>
  <si>
    <t>WADEYE</t>
  </si>
  <si>
    <t>BERRIMAH</t>
  </si>
  <si>
    <t>YARRAWONGA</t>
  </si>
  <si>
    <t>ROSEBERY</t>
  </si>
  <si>
    <t>HOWARD SPRINGS</t>
  </si>
  <si>
    <t>HUMPTY DOO</t>
  </si>
  <si>
    <t>NOONAMAH</t>
  </si>
  <si>
    <t>DUNDEE BEACH</t>
  </si>
  <si>
    <t>YIRRKALA</t>
  </si>
  <si>
    <t>JABIRU</t>
  </si>
  <si>
    <t>WEIPA</t>
  </si>
  <si>
    <t>WEST ISLAND COCOS (KEELING) ISLANDS</t>
  </si>
  <si>
    <t>BATCHELOR</t>
  </si>
  <si>
    <t>ADELAIDE RIVER</t>
  </si>
  <si>
    <t>ALYANGULA</t>
  </si>
  <si>
    <t>PINE CREEK</t>
  </si>
  <si>
    <t>KATHERINE</t>
  </si>
  <si>
    <t>VICTORIA RIVER DOWNS</t>
  </si>
  <si>
    <t>TINDAL RAAF</t>
  </si>
  <si>
    <t>WARMUN</t>
  </si>
  <si>
    <t>BORROLOOLA</t>
  </si>
  <si>
    <t>WARREGO</t>
  </si>
  <si>
    <t>WOREE</t>
  </si>
  <si>
    <t>WHITFIELD</t>
  </si>
  <si>
    <t>WONGA BEACH</t>
  </si>
  <si>
    <t>YORKEYS KNOB</t>
  </si>
  <si>
    <t>TRINITY PARK</t>
  </si>
  <si>
    <t>PORT HEDLAND</t>
  </si>
  <si>
    <t>KOOLAN ISLAND</t>
  </si>
  <si>
    <t>WYNDHAM</t>
  </si>
  <si>
    <t>DOOMADGEE</t>
  </si>
  <si>
    <t>TULLY</t>
  </si>
  <si>
    <t>EL ARISH</t>
  </si>
  <si>
    <t>SILKWOOD</t>
  </si>
  <si>
    <t>SILKWOOD EAST</t>
  </si>
  <si>
    <t>MOURILYAN</t>
  </si>
  <si>
    <t>SOUTH JOHNSTONE</t>
  </si>
  <si>
    <t>SUNDOWN</t>
  </si>
  <si>
    <t>BARTLE FRERE</t>
  </si>
  <si>
    <t>GORDONVALE</t>
  </si>
  <si>
    <t>EDMONTON</t>
  </si>
  <si>
    <t>MAREEBA</t>
  </si>
  <si>
    <t>TOLGA</t>
  </si>
  <si>
    <t>ATHERTON</t>
  </si>
  <si>
    <t>MALANDA</t>
  </si>
  <si>
    <t>MILLAA MILLAA</t>
  </si>
  <si>
    <t>NORMANTON</t>
  </si>
  <si>
    <t>KARUMBA</t>
  </si>
  <si>
    <t>WATERBANK</t>
  </si>
  <si>
    <t>MCBEATH</t>
  </si>
  <si>
    <t>WOODSTOCK</t>
  </si>
  <si>
    <t>VICTORIA ESTATE</t>
  </si>
  <si>
    <t>YUNGABURRA</t>
  </si>
  <si>
    <t>FITZROY CROSSING</t>
  </si>
  <si>
    <t>TENNANT CREEK</t>
  </si>
  <si>
    <t>QUEENS BEACH</t>
  </si>
  <si>
    <t>HOME HILL</t>
  </si>
  <si>
    <t>BRANDON</t>
  </si>
  <si>
    <t>GIRU</t>
  </si>
  <si>
    <t>TOWNSVILLE</t>
  </si>
  <si>
    <t>WULGURU</t>
  </si>
  <si>
    <t>ROSSLEA</t>
  </si>
  <si>
    <t>TOWNSVILLE MILPO</t>
  </si>
  <si>
    <t>VINCENT</t>
  </si>
  <si>
    <t>RASMUSSEN</t>
  </si>
  <si>
    <t>THURINGOWA CENTRAL</t>
  </si>
  <si>
    <t>YABULU</t>
  </si>
  <si>
    <t>PICNIC BAY</t>
  </si>
  <si>
    <t>WINSTON</t>
  </si>
  <si>
    <t>CAMOOWEAL</t>
  </si>
  <si>
    <t>YARRABAH</t>
  </si>
  <si>
    <t>GOLDSWORTHY</t>
  </si>
  <si>
    <t>WAGOORA</t>
  </si>
  <si>
    <t>BLOOMSBURY</t>
  </si>
  <si>
    <t>WILSON BEACH</t>
  </si>
  <si>
    <t>HAYMAN ISLAND</t>
  </si>
  <si>
    <t>WHITSUNDAY</t>
  </si>
  <si>
    <t>HAMILTON ISLAND</t>
  </si>
  <si>
    <t>SPRINGLANDS</t>
  </si>
  <si>
    <t>CLAREDALE</t>
  </si>
  <si>
    <t>STAMFORD</t>
  </si>
  <si>
    <t>OORINDI</t>
  </si>
  <si>
    <t>BARROW ISLAND</t>
  </si>
  <si>
    <t>DAMPIER</t>
  </si>
  <si>
    <t>WICKHAM</t>
  </si>
  <si>
    <t>SOUTH HEDLAND</t>
  </si>
  <si>
    <t>SHAY GAP</t>
  </si>
  <si>
    <t>SARINA RANGE</t>
  </si>
  <si>
    <t>KOUMALA</t>
  </si>
  <si>
    <t>CARMILA</t>
  </si>
  <si>
    <t>WEST MACKAY</t>
  </si>
  <si>
    <t>SOUTH MOLLE</t>
  </si>
  <si>
    <t>NEBO</t>
  </si>
  <si>
    <t>GLENDEN</t>
  </si>
  <si>
    <t>MORANBAH</t>
  </si>
  <si>
    <t>SHOAL POINT</t>
  </si>
  <si>
    <t>WALKERSTON</t>
  </si>
  <si>
    <t>MARIAN</t>
  </si>
  <si>
    <t>MIRANI</t>
  </si>
  <si>
    <t>NETHERDALE</t>
  </si>
  <si>
    <t>DALRYMPLE HEIGHTS</t>
  </si>
  <si>
    <t>RICHMOND HILL</t>
  </si>
  <si>
    <t>THEVENARD ISLAND</t>
  </si>
  <si>
    <t>STOVE HILL</t>
  </si>
  <si>
    <t>PANNAWONICA</t>
  </si>
  <si>
    <t>ROEBOURNE</t>
  </si>
  <si>
    <t>TOM PRICE</t>
  </si>
  <si>
    <t>MARBLE BAR</t>
  </si>
  <si>
    <t>TELFER</t>
  </si>
  <si>
    <t>YEPPOON</t>
  </si>
  <si>
    <t>MARLBOROUGH</t>
  </si>
  <si>
    <t>OGMORE</t>
  </si>
  <si>
    <t>ST LAWRENCE</t>
  </si>
  <si>
    <t>CLERMONT</t>
  </si>
  <si>
    <t>ARAMAC</t>
  </si>
  <si>
    <t>MUTTABURRA</t>
  </si>
  <si>
    <t>CORFIELD</t>
  </si>
  <si>
    <t>WINTON</t>
  </si>
  <si>
    <t>DYSART</t>
  </si>
  <si>
    <t>BOULIA</t>
  </si>
  <si>
    <t>NORTH WEST CAPE</t>
  </si>
  <si>
    <t>NULLAGINE</t>
  </si>
  <si>
    <t>ALICE SPRINGS</t>
  </si>
  <si>
    <t>YULARA</t>
  </si>
  <si>
    <t>WEST GLADSTONE</t>
  </si>
  <si>
    <t>YARWUN</t>
  </si>
  <si>
    <t>MOUNT LARCOM</t>
  </si>
  <si>
    <t>RAGLAN</t>
  </si>
  <si>
    <t>BAJOOL</t>
  </si>
  <si>
    <t>WANDAL</t>
  </si>
  <si>
    <t>PARK AVENUE</t>
  </si>
  <si>
    <t>YARAKA</t>
  </si>
  <si>
    <t>YAAMBA</t>
  </si>
  <si>
    <t>TIERI</t>
  </si>
  <si>
    <t>MOUNT MORGAN</t>
  </si>
  <si>
    <t>BLACKWATER</t>
  </si>
  <si>
    <t>EMERALD</t>
  </si>
  <si>
    <t>MIDDLEMOUNT</t>
  </si>
  <si>
    <t>NEWMAN</t>
  </si>
  <si>
    <t>WITTENOOM</t>
  </si>
  <si>
    <t>BLACKALL</t>
  </si>
  <si>
    <t>TAMBO</t>
  </si>
  <si>
    <t>WATALGAN</t>
  </si>
  <si>
    <t>TAUNTON</t>
  </si>
  <si>
    <t>LOWMEAD</t>
  </si>
  <si>
    <t>SEVENTEEN SEVENTY</t>
  </si>
  <si>
    <t>RODDS BAY</t>
  </si>
  <si>
    <t>BILOELA</t>
  </si>
  <si>
    <t>THANGOOL</t>
  </si>
  <si>
    <t>MOURA</t>
  </si>
  <si>
    <t>THEODORE</t>
  </si>
  <si>
    <t>SPRINGSURE</t>
  </si>
  <si>
    <t>ALPHA</t>
  </si>
  <si>
    <t>BARCALDINE</t>
  </si>
  <si>
    <t>ISISFORD</t>
  </si>
  <si>
    <t>YANNARIE</t>
  </si>
  <si>
    <t>HOPELAND</t>
  </si>
  <si>
    <t>TAROOM</t>
  </si>
  <si>
    <t>INJUNE</t>
  </si>
  <si>
    <t>MUNGALLALA</t>
  </si>
  <si>
    <t>ADAVALE</t>
  </si>
  <si>
    <t>AUGATHELLA</t>
  </si>
  <si>
    <t>WINDORAH</t>
  </si>
  <si>
    <t>BIRDSVILLE</t>
  </si>
  <si>
    <t>TIN CAN BAY</t>
  </si>
  <si>
    <t>RAINBOW BEACH</t>
  </si>
  <si>
    <t>GLENBAR</t>
  </si>
  <si>
    <t>BIGGENDEN</t>
  </si>
  <si>
    <t>GAYNDAH</t>
  </si>
  <si>
    <t>MUNDUBBERA</t>
  </si>
  <si>
    <t>EIDSVOLD</t>
  </si>
  <si>
    <t>MULGILDIE</t>
  </si>
  <si>
    <t>TUAN FOREST</t>
  </si>
  <si>
    <t>WONDUNNA</t>
  </si>
  <si>
    <t>HOWARD</t>
  </si>
  <si>
    <t>WOODGATE</t>
  </si>
  <si>
    <t>WALLAVILLE</t>
  </si>
  <si>
    <t>JUNDAH</t>
  </si>
  <si>
    <t>WEST LYONS RIVER</t>
  </si>
  <si>
    <t>COORANGA NORTH</t>
  </si>
  <si>
    <t>JANDOWAE</t>
  </si>
  <si>
    <t>WARRA</t>
  </si>
  <si>
    <t>BRIGALOW</t>
  </si>
  <si>
    <t>MILES</t>
  </si>
  <si>
    <t>CONDAMINE</t>
  </si>
  <si>
    <t>GULUGUBA</t>
  </si>
  <si>
    <t>WANDOAN</t>
  </si>
  <si>
    <t>DRILLHAM</t>
  </si>
  <si>
    <t>DULACCA</t>
  </si>
  <si>
    <t>JACKSON</t>
  </si>
  <si>
    <t>YULEBA</t>
  </si>
  <si>
    <t>WALLUMBILLA</t>
  </si>
  <si>
    <t>ROMA</t>
  </si>
  <si>
    <t>MUCKADILLA</t>
  </si>
  <si>
    <t>AMBY</t>
  </si>
  <si>
    <t>MITCHELL</t>
  </si>
  <si>
    <t>MORVEN</t>
  </si>
  <si>
    <t>CHARLEVILLE</t>
  </si>
  <si>
    <t>CHEEPIE</t>
  </si>
  <si>
    <t>COOLADDI</t>
  </si>
  <si>
    <t>QUILPIE</t>
  </si>
  <si>
    <t>WOORIM</t>
  </si>
  <si>
    <t>WOODFORD</t>
  </si>
  <si>
    <t>KILCOY</t>
  </si>
  <si>
    <t>BEERBURRUM</t>
  </si>
  <si>
    <t>GLASS HOUSE MOUNTAINS</t>
  </si>
  <si>
    <t>BEERWAH</t>
  </si>
  <si>
    <t>LANDSBOROUGH</t>
  </si>
  <si>
    <t>SHELLY BEACH</t>
  </si>
  <si>
    <t>MALENY</t>
  </si>
  <si>
    <t>PALMVIEW</t>
  </si>
  <si>
    <t>ILKLEY</t>
  </si>
  <si>
    <t>PALMWOODS</t>
  </si>
  <si>
    <t>TANAWHA</t>
  </si>
  <si>
    <t>MOUNTAIN CREEK</t>
  </si>
  <si>
    <t>SUNSHINE PLAZA</t>
  </si>
  <si>
    <t>WOOMBYE</t>
  </si>
  <si>
    <t>PERWILLOWEN</t>
  </si>
  <si>
    <t>YANDINA</t>
  </si>
  <si>
    <t>EUMUNDI</t>
  </si>
  <si>
    <t>TINBEERWAH</t>
  </si>
  <si>
    <t>PACIFIC PARADISE</t>
  </si>
  <si>
    <t>TEWANTIN</t>
  </si>
  <si>
    <t>NOOSAVILLE</t>
  </si>
  <si>
    <t>SUNSHINE BEACH</t>
  </si>
  <si>
    <t>POMONA</t>
  </si>
  <si>
    <t>WOOLOOGA</t>
  </si>
  <si>
    <t>ALEXANDRA HEADLAND</t>
  </si>
  <si>
    <t>YAROOMBA</t>
  </si>
  <si>
    <t>KENILWORTH</t>
  </si>
  <si>
    <t>WURTULLA</t>
  </si>
  <si>
    <t>KILKIVAN</t>
  </si>
  <si>
    <t>TANSEY</t>
  </si>
  <si>
    <t>MURGON</t>
  </si>
  <si>
    <t>WONDAI</t>
  </si>
  <si>
    <t>WOOROOLIN</t>
  </si>
  <si>
    <t>WATTLE GROVE</t>
  </si>
  <si>
    <t>HIVESVILLE</t>
  </si>
  <si>
    <t>PROSTON</t>
  </si>
  <si>
    <t>YARRAMAN</t>
  </si>
  <si>
    <t>TARONG</t>
  </si>
  <si>
    <t>DENHAM</t>
  </si>
  <si>
    <t>REEDY</t>
  </si>
  <si>
    <t>PEAK HILL</t>
  </si>
  <si>
    <t>YANDOO CREEK</t>
  </si>
  <si>
    <t>SPRING HILL</t>
  </si>
  <si>
    <t>TENERIFFE</t>
  </si>
  <si>
    <t>NEWSTEAD</t>
  </si>
  <si>
    <t>WHINSTANES</t>
  </si>
  <si>
    <t>PINKENBA</t>
  </si>
  <si>
    <t>EAGLE FARM</t>
  </si>
  <si>
    <t>BREAKFAST CREEK</t>
  </si>
  <si>
    <t>HENDRA</t>
  </si>
  <si>
    <t>WAVELL HEIGHTS NORTH</t>
  </si>
  <si>
    <t>NORTHGATE</t>
  </si>
  <si>
    <t>VIRGINIA</t>
  </si>
  <si>
    <t>SHORNCLIFFE</t>
  </si>
  <si>
    <t>WOODY POINT</t>
  </si>
  <si>
    <t>SCARBOROUGH</t>
  </si>
  <si>
    <t>KIPPA-RING</t>
  </si>
  <si>
    <t>ROTHWELL</t>
  </si>
  <si>
    <t>TANGALOOMA</t>
  </si>
  <si>
    <t>ROYAL BRISBANE HOSPITAL</t>
  </si>
  <si>
    <t>WOOLOOWIN</t>
  </si>
  <si>
    <t>KEDRON</t>
  </si>
  <si>
    <t>CRAIGSLEA</t>
  </si>
  <si>
    <t>ZILLMERE</t>
  </si>
  <si>
    <t>BRIDGEMAN DOWNS</t>
  </si>
  <si>
    <t>BALD HILLS</t>
  </si>
  <si>
    <t>EATONS HILL</t>
  </si>
  <si>
    <t>WILSTON</t>
  </si>
  <si>
    <t>STAFFORD HEIGHTS</t>
  </si>
  <si>
    <t>KEPERRA</t>
  </si>
  <si>
    <t>UPPER KEDRON</t>
  </si>
  <si>
    <t>RED HILL</t>
  </si>
  <si>
    <t>ST JOHNS WOOD</t>
  </si>
  <si>
    <t>THE GAP</t>
  </si>
  <si>
    <t>ROSALIE</t>
  </si>
  <si>
    <t>RAINWORTH</t>
  </si>
  <si>
    <t>TORWOOD</t>
  </si>
  <si>
    <t>ST LUCIA</t>
  </si>
  <si>
    <t>TARINGA</t>
  </si>
  <si>
    <t>UPPER BROOKFIELD</t>
  </si>
  <si>
    <t>MOGGILL</t>
  </si>
  <si>
    <t>SINNAMON PARK</t>
  </si>
  <si>
    <t>WESTLAKE</t>
  </si>
  <si>
    <t>SHERWOOD</t>
  </si>
  <si>
    <t>WACOL</t>
  </si>
  <si>
    <t>RICHLANDS</t>
  </si>
  <si>
    <t>SOUTH BRISBANE</t>
  </si>
  <si>
    <t>WOOLLOONGABBA</t>
  </si>
  <si>
    <t>FAIRFIELD</t>
  </si>
  <si>
    <t>YERONGA</t>
  </si>
  <si>
    <t>YEERONGPILLY</t>
  </si>
  <si>
    <t>ROCKLEA</t>
  </si>
  <si>
    <t>SALISBURY</t>
  </si>
  <si>
    <t>COOPERS PLAINS</t>
  </si>
  <si>
    <t>SUNNYBANK HILLS</t>
  </si>
  <si>
    <t>WILLAWONG</t>
  </si>
  <si>
    <t>NATHAN</t>
  </si>
  <si>
    <t>KURABY</t>
  </si>
  <si>
    <t>RUNCORN</t>
  </si>
  <si>
    <t>WOODRIDGE</t>
  </si>
  <si>
    <t>PARKINSON</t>
  </si>
  <si>
    <t>STRETTON</t>
  </si>
  <si>
    <t>KARAWATHA</t>
  </si>
  <si>
    <t>REGENTS PARK</t>
  </si>
  <si>
    <t>UNDERWOOD</t>
  </si>
  <si>
    <t>STONES CORNER</t>
  </si>
  <si>
    <t>WELLERS HILL</t>
  </si>
  <si>
    <t>WISHART</t>
  </si>
  <si>
    <t>ROCHEDALE SOUTH</t>
  </si>
  <si>
    <t>GREENBANK</t>
  </si>
  <si>
    <t>PARK RIDGE</t>
  </si>
  <si>
    <t>SPRINGWOOD</t>
  </si>
  <si>
    <t>TANAH MERAH</t>
  </si>
  <si>
    <t>LOGANHOLME</t>
  </si>
  <si>
    <t>CORNUBIA</t>
  </si>
  <si>
    <t>MEADOWBROOK</t>
  </si>
  <si>
    <t>MARSDEN</t>
  </si>
  <si>
    <t>WATERFORD WEST</t>
  </si>
  <si>
    <t>COORPAROO</t>
  </si>
  <si>
    <t>CARINDALE</t>
  </si>
  <si>
    <t>BELMONT</t>
  </si>
  <si>
    <t>WAKERLEY</t>
  </si>
  <si>
    <t>CHANDLER</t>
  </si>
  <si>
    <t>BURBANK</t>
  </si>
  <si>
    <t>SHELDON</t>
  </si>
  <si>
    <t>THORNESIDE</t>
  </si>
  <si>
    <t>BIRKDALE</t>
  </si>
  <si>
    <t>WELLINGTON POINT</t>
  </si>
  <si>
    <t>BURWOOD HEIGHTS</t>
  </si>
  <si>
    <t>RABY BAY</t>
  </si>
  <si>
    <t>THORNLANDS</t>
  </si>
  <si>
    <t>VICTORIA POINT</t>
  </si>
  <si>
    <t>KANGAROO POINT</t>
  </si>
  <si>
    <t>SEVEN HILLS</t>
  </si>
  <si>
    <t>HAWTHORNE</t>
  </si>
  <si>
    <t>MURARRIE</t>
  </si>
  <si>
    <t>TINGALPA DC</t>
  </si>
  <si>
    <t>HEMMANT</t>
  </si>
  <si>
    <t>WYNNUM WEST</t>
  </si>
  <si>
    <t>MANLY WEST</t>
  </si>
  <si>
    <t>POINT LOOKOUT</t>
  </si>
  <si>
    <t>RUSSELL ISLAND</t>
  </si>
  <si>
    <t>BETHANIA</t>
  </si>
  <si>
    <t>YATALA</t>
  </si>
  <si>
    <t>ORMEAU</t>
  </si>
  <si>
    <t>WILLOW VALE</t>
  </si>
  <si>
    <t>WONGAWALLAN</t>
  </si>
  <si>
    <t>PACIFIC PINES</t>
  </si>
  <si>
    <t>SANTA BARBARA</t>
  </si>
  <si>
    <t>PARKWOOD</t>
  </si>
  <si>
    <t>SOUTHPORT</t>
  </si>
  <si>
    <t>SOVEREIGN ISLANDS</t>
  </si>
  <si>
    <t>THE SPIT</t>
  </si>
  <si>
    <t>TAMBORINE VILLAGE</t>
  </si>
  <si>
    <t>EAGLE HEIGHTS</t>
  </si>
  <si>
    <t>NORTH TAMBORINE</t>
  </si>
  <si>
    <t>MACLEAN</t>
  </si>
  <si>
    <t>KOORALBYN</t>
  </si>
  <si>
    <t>SPRINGFIELD LAKES</t>
  </si>
  <si>
    <t>REDBANK PLAINS</t>
  </si>
  <si>
    <t>NEW CHUM</t>
  </si>
  <si>
    <t>SILKSTONE</t>
  </si>
  <si>
    <t>YAMANTO</t>
  </si>
  <si>
    <t>WILLOWBANK</t>
  </si>
  <si>
    <t>HARRISVILLE</t>
  </si>
  <si>
    <t>WASHPOOL</t>
  </si>
  <si>
    <t>ROADVALE</t>
  </si>
  <si>
    <t>WIVENHOE HILL</t>
  </si>
  <si>
    <t>SOMERSET DAM</t>
  </si>
  <si>
    <t>YIMBUN</t>
  </si>
  <si>
    <t>MOUNT WALKER WEST</t>
  </si>
  <si>
    <t>TOWNSON</t>
  </si>
  <si>
    <t>WOODLANDS</t>
  </si>
  <si>
    <t>UPPER FLAGSTONE</t>
  </si>
  <si>
    <t>MARBURG</t>
  </si>
  <si>
    <t>WINWILL</t>
  </si>
  <si>
    <t>GOOMBUNGEE</t>
  </si>
  <si>
    <t>PIERCE CREEK</t>
  </si>
  <si>
    <t>YARRANLEA</t>
  </si>
  <si>
    <t>CAMBOOYA</t>
  </si>
  <si>
    <t>WEST HALDON</t>
  </si>
  <si>
    <t>NOBBY</t>
  </si>
  <si>
    <t>CLIFTON</t>
  </si>
  <si>
    <t>OAKEY</t>
  </si>
  <si>
    <t>DALBY</t>
  </si>
  <si>
    <t>THE GUMS</t>
  </si>
  <si>
    <t>CECIL PLAINS</t>
  </si>
  <si>
    <t>SURAT</t>
  </si>
  <si>
    <t>TARA</t>
  </si>
  <si>
    <t>MEANDARRA</t>
  </si>
  <si>
    <t>GLENMORGAN</t>
  </si>
  <si>
    <t>CLAVERTON</t>
  </si>
  <si>
    <t>ST GEORGE</t>
  </si>
  <si>
    <t>BOLLON</t>
  </si>
  <si>
    <t>WYANDRA</t>
  </si>
  <si>
    <t>WARNER</t>
  </si>
  <si>
    <t>LAWNTON</t>
  </si>
  <si>
    <t>PETRIE</t>
  </si>
  <si>
    <t>WHITESIDE</t>
  </si>
  <si>
    <t>NARANGBA</t>
  </si>
  <si>
    <t>BURPENGARY</t>
  </si>
  <si>
    <t>MORAYFIELD</t>
  </si>
  <si>
    <t>DECEPTION BAY</t>
  </si>
  <si>
    <t>TOORBUL</t>
  </si>
  <si>
    <t>TOORBUL POINT</t>
  </si>
  <si>
    <t>WAMURAN</t>
  </si>
  <si>
    <t>ELIMBAH</t>
  </si>
  <si>
    <t>YUGAR</t>
  </si>
  <si>
    <t>OCEAN VIEW</t>
  </si>
  <si>
    <t>MINTABIE</t>
  </si>
  <si>
    <t>SA</t>
  </si>
  <si>
    <t>OODNADATTA</t>
  </si>
  <si>
    <t>LEINSTER</t>
  </si>
  <si>
    <t>YALLABATHARRA</t>
  </si>
  <si>
    <t>ZUYTDORP</t>
  </si>
  <si>
    <t>SANDSTONE</t>
  </si>
  <si>
    <t>WILUNA</t>
  </si>
  <si>
    <t>GARAH</t>
  </si>
  <si>
    <t>NSW</t>
  </si>
  <si>
    <t>BOGGABILLA</t>
  </si>
  <si>
    <t>YETMAN</t>
  </si>
  <si>
    <t>TATHAM</t>
  </si>
  <si>
    <t>WIANGAREE</t>
  </si>
  <si>
    <t>URBENVILLE</t>
  </si>
  <si>
    <t>WOODENBONG</t>
  </si>
  <si>
    <t>TINTENBAR</t>
  </si>
  <si>
    <t>NASHUA</t>
  </si>
  <si>
    <t>WYRALLAH</t>
  </si>
  <si>
    <t>TYAGARAH</t>
  </si>
  <si>
    <t>MULLUMBIMBY</t>
  </si>
  <si>
    <t>YELGUN</t>
  </si>
  <si>
    <t>UKI</t>
  </si>
  <si>
    <t>TWEED HEADS WEST</t>
  </si>
  <si>
    <t>TWEED HEADS SOUTH DC</t>
  </si>
  <si>
    <t>STOTTS CREEK</t>
  </si>
  <si>
    <t>CABARITA BEACH</t>
  </si>
  <si>
    <t>POTTSVILLE BEACH</t>
  </si>
  <si>
    <t>TUMBULGUM</t>
  </si>
  <si>
    <t>WORONGARY</t>
  </si>
  <si>
    <t>RIO VISTA</t>
  </si>
  <si>
    <t>WEST BURLEIGH</t>
  </si>
  <si>
    <t>MIAMI</t>
  </si>
  <si>
    <t>PALM BEACH</t>
  </si>
  <si>
    <t>CURRUMBIN WATERS</t>
  </si>
  <si>
    <t>TUGUN</t>
  </si>
  <si>
    <t>RAINBOW BAY</t>
  </si>
  <si>
    <t>ROBINA</t>
  </si>
  <si>
    <t>STEPHENS</t>
  </si>
  <si>
    <t>TALLEBUDGERA VALLEY</t>
  </si>
  <si>
    <t>BOND UNIVERSITY</t>
  </si>
  <si>
    <t>WONGLEPONG</t>
  </si>
  <si>
    <t>RATHDOWNEY</t>
  </si>
  <si>
    <t>MILLMERRAN</t>
  </si>
  <si>
    <t>GOOMBURRA</t>
  </si>
  <si>
    <t>WARWICK</t>
  </si>
  <si>
    <t>KILLARNEY</t>
  </si>
  <si>
    <t>DALVEEN</t>
  </si>
  <si>
    <t>COTTONVALE</t>
  </si>
  <si>
    <t>THE SUMMIT</t>
  </si>
  <si>
    <t>STANTHORPE</t>
  </si>
  <si>
    <t>GLEN APLIN</t>
  </si>
  <si>
    <t>BALLANDEAN</t>
  </si>
  <si>
    <t>WALLANGARRA</t>
  </si>
  <si>
    <t>INGLEWOOD</t>
  </si>
  <si>
    <t>YELARBON</t>
  </si>
  <si>
    <t>GOONDIWINDI</t>
  </si>
  <si>
    <t>HEBEL</t>
  </si>
  <si>
    <t>YOWAH</t>
  </si>
  <si>
    <t>EULO</t>
  </si>
  <si>
    <t>HUNGERFORD</t>
  </si>
  <si>
    <t>BUNGUNYA</t>
  </si>
  <si>
    <t>TALWOOD</t>
  </si>
  <si>
    <t>THALLON</t>
  </si>
  <si>
    <t>TOOBEAH</t>
  </si>
  <si>
    <t>LYNDHURST</t>
  </si>
  <si>
    <t>NEALE</t>
  </si>
  <si>
    <t>WOORREE</t>
  </si>
  <si>
    <t>YUNA</t>
  </si>
  <si>
    <t>MULLEWA</t>
  </si>
  <si>
    <t>YALGOO</t>
  </si>
  <si>
    <t>PAYNESVILLE</t>
  </si>
  <si>
    <t>MOORE PARK</t>
  </si>
  <si>
    <t>WALLANGRA</t>
  </si>
  <si>
    <t>BONSHAW</t>
  </si>
  <si>
    <t>SWAN VALE</t>
  </si>
  <si>
    <t>TORRINGTON</t>
  </si>
  <si>
    <t>WYLIE CREEK</t>
  </si>
  <si>
    <t>ROWENA</t>
  </si>
  <si>
    <t>BELLATA</t>
  </si>
  <si>
    <t>GURLEY</t>
  </si>
  <si>
    <t>PALLAMALLAWA</t>
  </si>
  <si>
    <t>TERRY HIE HIE</t>
  </si>
  <si>
    <t>GRAVESEND</t>
  </si>
  <si>
    <t>WARIALDA</t>
  </si>
  <si>
    <t>KOLOONA</t>
  </si>
  <si>
    <t>DINOGA</t>
  </si>
  <si>
    <t>MUNGINDI</t>
  </si>
  <si>
    <t>NORTH STAR</t>
  </si>
  <si>
    <t>CROPPA CREEK</t>
  </si>
  <si>
    <t>WINEGROVE</t>
  </si>
  <si>
    <t>WOOLI</t>
  </si>
  <si>
    <t>TULLYMORGAN</t>
  </si>
  <si>
    <t>YAMBA</t>
  </si>
  <si>
    <t>MUMMULGUM</t>
  </si>
  <si>
    <t>WOODVIEW</t>
  </si>
  <si>
    <t>WOODBURN</t>
  </si>
  <si>
    <t>EVANS HEAD</t>
  </si>
  <si>
    <t>WOLLONGBAR</t>
  </si>
  <si>
    <t>POKATAROO</t>
  </si>
  <si>
    <t>LIGHTNING RIDGE</t>
  </si>
  <si>
    <t>WEILMORINGLE</t>
  </si>
  <si>
    <t>YANTABULLA</t>
  </si>
  <si>
    <t>NORFOLK ISLAND</t>
  </si>
  <si>
    <t>TEXAS</t>
  </si>
  <si>
    <t>THARGOMINDAH</t>
  </si>
  <si>
    <t>TARCOOLA</t>
  </si>
  <si>
    <t>COOBER PEDY</t>
  </si>
  <si>
    <t>MARREE</t>
  </si>
  <si>
    <t>ULARRING</t>
  </si>
  <si>
    <t>TEUTONIC</t>
  </si>
  <si>
    <t>LEEMAN</t>
  </si>
  <si>
    <t>CARNAMAH</t>
  </si>
  <si>
    <t>WARRADARGE</t>
  </si>
  <si>
    <t>WOMARDEN</t>
  </si>
  <si>
    <t>YARRAGADEE</t>
  </si>
  <si>
    <t>DONGARA</t>
  </si>
  <si>
    <t>LATHAM</t>
  </si>
  <si>
    <t>PINTHARUKA</t>
  </si>
  <si>
    <t>GARTHOWEN</t>
  </si>
  <si>
    <t>MANILLA</t>
  </si>
  <si>
    <t>UPPER HORTON</t>
  </si>
  <si>
    <t>WOLLOMOMBI</t>
  </si>
  <si>
    <t>UNIVERSITY OF NEW ENGLAND</t>
  </si>
  <si>
    <t>LIMBRI</t>
  </si>
  <si>
    <t>MOONBI</t>
  </si>
  <si>
    <t>WOOLBROOK</t>
  </si>
  <si>
    <t>WATSONS CREEK</t>
  </si>
  <si>
    <t>URALLA</t>
  </si>
  <si>
    <t>BUNDARRA</t>
  </si>
  <si>
    <t>BURREN JUNCTION</t>
  </si>
  <si>
    <t>WEE WAA</t>
  </si>
  <si>
    <t>TURRAWAN</t>
  </si>
  <si>
    <t>SOUTH WEST ROCKS</t>
  </si>
  <si>
    <t>WARRELL CREEK</t>
  </si>
  <si>
    <t>VALLA BEACH</t>
  </si>
  <si>
    <t>MISSABOTTI</t>
  </si>
  <si>
    <t>UPPER ORARA</t>
  </si>
  <si>
    <t>TOORMINA</t>
  </si>
  <si>
    <t>TYRINGHAM</t>
  </si>
  <si>
    <t>THORA</t>
  </si>
  <si>
    <t>URUNGA</t>
  </si>
  <si>
    <t>WOOLGOOLGA</t>
  </si>
  <si>
    <t>WALGETT</t>
  </si>
  <si>
    <t>WILCANNIA</t>
  </si>
  <si>
    <t>ANDAMOOKA</t>
  </si>
  <si>
    <t>ROXBY DOWNS</t>
  </si>
  <si>
    <t>COPLEY</t>
  </si>
  <si>
    <t>YELLOWDINE</t>
  </si>
  <si>
    <t>KOOLYANOBBING</t>
  </si>
  <si>
    <t>WALLAROO</t>
  </si>
  <si>
    <t>YILKARI</t>
  </si>
  <si>
    <t>TRAFALGAR</t>
  </si>
  <si>
    <t>VICTORY HEIGHTS</t>
  </si>
  <si>
    <t>ZANTHUS</t>
  </si>
  <si>
    <t>MANMANNING</t>
  </si>
  <si>
    <t>CADOUX</t>
  </si>
  <si>
    <t>BURAKIN</t>
  </si>
  <si>
    <t>PETRUDOR</t>
  </si>
  <si>
    <t>REMLAP</t>
  </si>
  <si>
    <t>WIALKI</t>
  </si>
  <si>
    <t>NEWCARLBEON</t>
  </si>
  <si>
    <t>GABBIN</t>
  </si>
  <si>
    <t>BENCUBBIN</t>
  </si>
  <si>
    <t>LAKE DEBORAH</t>
  </si>
  <si>
    <t>DANDARAGAN</t>
  </si>
  <si>
    <t>YARAWINDAH</t>
  </si>
  <si>
    <t>ROUND HILL</t>
  </si>
  <si>
    <t>CERVANTES</t>
  </si>
  <si>
    <t>COOMBERDALE</t>
  </si>
  <si>
    <t>WATHEROO</t>
  </si>
  <si>
    <t>COOROW</t>
  </si>
  <si>
    <t>JURIEN BAY</t>
  </si>
  <si>
    <t>BADGINGARRA</t>
  </si>
  <si>
    <t>YERECOIN</t>
  </si>
  <si>
    <t>PIAWANING</t>
  </si>
  <si>
    <t>BINDI BINDI</t>
  </si>
  <si>
    <t>MILING</t>
  </si>
  <si>
    <t>WONGAN HILLS</t>
  </si>
  <si>
    <t>KONDUT</t>
  </si>
  <si>
    <t>BALLIDU</t>
  </si>
  <si>
    <t>PITHARA</t>
  </si>
  <si>
    <t>XANTIPPE</t>
  </si>
  <si>
    <t>WUBIN</t>
  </si>
  <si>
    <t>BUNTINE</t>
  </si>
  <si>
    <t>WOOLOOMA</t>
  </si>
  <si>
    <t>MURRURUNDI</t>
  </si>
  <si>
    <t>WILLOW TREE</t>
  </si>
  <si>
    <t>WOOLOMIN</t>
  </si>
  <si>
    <t>WERRIS CREEK</t>
  </si>
  <si>
    <t>CURRABUBULA</t>
  </si>
  <si>
    <t>WALLABADAH</t>
  </si>
  <si>
    <t>DURI</t>
  </si>
  <si>
    <t>ULAMAMBRI</t>
  </si>
  <si>
    <t>MULLALEY</t>
  </si>
  <si>
    <t>ORANGE GROVE</t>
  </si>
  <si>
    <t>WEETALIBA</t>
  </si>
  <si>
    <t>KENEBRI</t>
  </si>
  <si>
    <t>WALLAROBBA</t>
  </si>
  <si>
    <t>WARDS RIVER</t>
  </si>
  <si>
    <t>NUMBER ONE</t>
  </si>
  <si>
    <t>LANGLEY VALE</t>
  </si>
  <si>
    <t>HARRINGTON</t>
  </si>
  <si>
    <t>WINGHAM</t>
  </si>
  <si>
    <t>LORNE</t>
  </si>
  <si>
    <t>WILLAWARRIN</t>
  </si>
  <si>
    <t>WEST HAVEN</t>
  </si>
  <si>
    <t>PORT MACQUARIE</t>
  </si>
  <si>
    <t>LAKE CATHIE</t>
  </si>
  <si>
    <t>WAUCHOPE</t>
  </si>
  <si>
    <t>WARREN</t>
  </si>
  <si>
    <t>NYNGAN</t>
  </si>
  <si>
    <t>GILGANDRA</t>
  </si>
  <si>
    <t>WARRUMBUNGLE</t>
  </si>
  <si>
    <t>COONAMBLE</t>
  </si>
  <si>
    <t>COBAR</t>
  </si>
  <si>
    <t>NEW MOLLYAN</t>
  </si>
  <si>
    <t>COOLAH</t>
  </si>
  <si>
    <t>TIBOOBURRA</t>
  </si>
  <si>
    <t>LORD HOWE ISLAND</t>
  </si>
  <si>
    <t>HAWKER</t>
  </si>
  <si>
    <t>WOOMERA</t>
  </si>
  <si>
    <t>PARACHILNA</t>
  </si>
  <si>
    <t>PERTH</t>
  </si>
  <si>
    <t>EAST PERTH</t>
  </si>
  <si>
    <t>WEST PERTH</t>
  </si>
  <si>
    <t>NORTH PERTH</t>
  </si>
  <si>
    <t>WEST LEEDERVILLE</t>
  </si>
  <si>
    <t>SUBIACO</t>
  </si>
  <si>
    <t>NEDLANDS</t>
  </si>
  <si>
    <t>SWANBOURNE</t>
  </si>
  <si>
    <t>WEMBLEY</t>
  </si>
  <si>
    <t>CITY BEACH</t>
  </si>
  <si>
    <t>MOUNT HAWTHORN</t>
  </si>
  <si>
    <t>OSBORNE PARK</t>
  </si>
  <si>
    <t>WEMBLEY DOWNS</t>
  </si>
  <si>
    <t>WATERMAN</t>
  </si>
  <si>
    <t>STIRLING</t>
  </si>
  <si>
    <t>HAMERSLEY</t>
  </si>
  <si>
    <t>DUNCRAIG</t>
  </si>
  <si>
    <t>PADBURY</t>
  </si>
  <si>
    <t>WOODVALE</t>
  </si>
  <si>
    <t>OCEAN REEF</t>
  </si>
  <si>
    <t>KINROSS</t>
  </si>
  <si>
    <t>TRIGG</t>
  </si>
  <si>
    <t>TAMALA PARK</t>
  </si>
  <si>
    <t>NEERABUP</t>
  </si>
  <si>
    <t>NOWERGUP</t>
  </si>
  <si>
    <t>CARABOODA</t>
  </si>
  <si>
    <t>YANCHEP</t>
  </si>
  <si>
    <t>TWO ROCKS</t>
  </si>
  <si>
    <t>SEABIRD</t>
  </si>
  <si>
    <t>LEDGE POINT</t>
  </si>
  <si>
    <t>NILGEN</t>
  </si>
  <si>
    <t>MOUNT LAWLEY</t>
  </si>
  <si>
    <t>MAYLANDS</t>
  </si>
  <si>
    <t>BAYSWATER</t>
  </si>
  <si>
    <t>LOCKRIDGE</t>
  </si>
  <si>
    <t>WEST SWAN</t>
  </si>
  <si>
    <t>WOODBRIDGE</t>
  </si>
  <si>
    <t>MAIDA VALE</t>
  </si>
  <si>
    <t>FORRESTFIELD</t>
  </si>
  <si>
    <t>YOKINE</t>
  </si>
  <si>
    <t>WESTMINSTER</t>
  </si>
  <si>
    <t>NORANDA</t>
  </si>
  <si>
    <t>BEECHBORO</t>
  </si>
  <si>
    <t>MARANGAROO</t>
  </si>
  <si>
    <t>WANNEROO</t>
  </si>
  <si>
    <t>CULLACABARDEE</t>
  </si>
  <si>
    <t>WHITEMAN</t>
  </si>
  <si>
    <t>DARLINGTON</t>
  </si>
  <si>
    <t>HOVEA</t>
  </si>
  <si>
    <t>MUNDARING</t>
  </si>
  <si>
    <t>SAWYERS VALLEY</t>
  </si>
  <si>
    <t>WALLISTON</t>
  </si>
  <si>
    <t>LOWER CHITTERING</t>
  </si>
  <si>
    <t>VICTORIA PARK</t>
  </si>
  <si>
    <t>EAST VICTORIA PARK</t>
  </si>
  <si>
    <t>RIVERVALE</t>
  </si>
  <si>
    <t>REDCLIFFE</t>
  </si>
  <si>
    <t>PERTH AIRPORT</t>
  </si>
  <si>
    <t>WELSHPOOL</t>
  </si>
  <si>
    <t>SOUTH PERTH</t>
  </si>
  <si>
    <t>WATERFORD</t>
  </si>
  <si>
    <t>YORK</t>
  </si>
  <si>
    <t>WONGAMINE</t>
  </si>
  <si>
    <t>GRASS VALLEY</t>
  </si>
  <si>
    <t>WARDING EAST</t>
  </si>
  <si>
    <t>YOUNDEGIN</t>
  </si>
  <si>
    <t>YORKRAKINE</t>
  </si>
  <si>
    <t>NORTH KELLERBERRIN</t>
  </si>
  <si>
    <t>SOUTH DOODLAKINE</t>
  </si>
  <si>
    <t>NORTH BAANDEE</t>
  </si>
  <si>
    <t>HINES HILL</t>
  </si>
  <si>
    <t>NANGEENAN</t>
  </si>
  <si>
    <t>TANDEGIN</t>
  </si>
  <si>
    <t>YARDING</t>
  </si>
  <si>
    <t>MUNTADGIN</t>
  </si>
  <si>
    <t>SOUTH BURRACOPPIN</t>
  </si>
  <si>
    <t>WALGOOLAN</t>
  </si>
  <si>
    <t>WESTONIA</t>
  </si>
  <si>
    <t>SOUTH BODALLIN</t>
  </si>
  <si>
    <t>MOORINE ROCK</t>
  </si>
  <si>
    <t>KAMBALDA</t>
  </si>
  <si>
    <t>WIDGIEMOOLTHA</t>
  </si>
  <si>
    <t>WALYORMOURING</t>
  </si>
  <si>
    <t>KOOMBERKINE</t>
  </si>
  <si>
    <t>WILGOYNE</t>
  </si>
  <si>
    <t>WYALKATCHEM</t>
  </si>
  <si>
    <t>TRAYNING</t>
  </si>
  <si>
    <t>KUNUNOPPIN</t>
  </si>
  <si>
    <t>NUNGARIN</t>
  </si>
  <si>
    <t>MUCHEA</t>
  </si>
  <si>
    <t>BINDOON</t>
  </si>
  <si>
    <t>GINGIN</t>
  </si>
  <si>
    <t>WANNAMAL</t>
  </si>
  <si>
    <t>MOGUMBER</t>
  </si>
  <si>
    <t>CHIDLOW</t>
  </si>
  <si>
    <t>WOOROLOO</t>
  </si>
  <si>
    <t>WUNDOWIE</t>
  </si>
  <si>
    <t>WOOTTATING</t>
  </si>
  <si>
    <t>CLACKLINE</t>
  </si>
  <si>
    <t>TOODYAY</t>
  </si>
  <si>
    <t>BOLGART</t>
  </si>
  <si>
    <t>OLD PLAINS</t>
  </si>
  <si>
    <t>WOODRISING</t>
  </si>
  <si>
    <t>GLENDALE</t>
  </si>
  <si>
    <t>WEST WALLSEND</t>
  </si>
  <si>
    <t>WALLSEND</t>
  </si>
  <si>
    <t>KOTARA</t>
  </si>
  <si>
    <t>WHITEBRIDGE</t>
  </si>
  <si>
    <t>THE JUNCTION</t>
  </si>
  <si>
    <t>BROADMEADOW</t>
  </si>
  <si>
    <t>CARRINGTON</t>
  </si>
  <si>
    <t>STOCKTON DC</t>
  </si>
  <si>
    <t>ISLINGTON</t>
  </si>
  <si>
    <t>TIGHES HILL</t>
  </si>
  <si>
    <t>WARATAH WEST</t>
  </si>
  <si>
    <t>NORTH LAMBTON</t>
  </si>
  <si>
    <t>THE HILL</t>
  </si>
  <si>
    <t>NEWCASTLE WEST</t>
  </si>
  <si>
    <t>HAMILTON SOUTH</t>
  </si>
  <si>
    <t>WARABROOK</t>
  </si>
  <si>
    <t>NEW LAMBTON HEIGHTS</t>
  </si>
  <si>
    <t>WINDALE</t>
  </si>
  <si>
    <t>SHORTLAND</t>
  </si>
  <si>
    <t>NEWCASTLE UNIVERSITY</t>
  </si>
  <si>
    <t>LOSTOCK</t>
  </si>
  <si>
    <t>NABIAC</t>
  </si>
  <si>
    <t>WILLIAMTOWN RAAF</t>
  </si>
  <si>
    <t>SHOAL BAY</t>
  </si>
  <si>
    <t>TELARAH</t>
  </si>
  <si>
    <t>WOODVILLE</t>
  </si>
  <si>
    <t>WOODBERRY</t>
  </si>
  <si>
    <t>TENAMBIT</t>
  </si>
  <si>
    <t>TEA GARDENS</t>
  </si>
  <si>
    <t>WESTON</t>
  </si>
  <si>
    <t>STANFORD MERTHYR</t>
  </si>
  <si>
    <t>KERRABEE</t>
  </si>
  <si>
    <t>UARBRY</t>
  </si>
  <si>
    <t>WARKWORTH</t>
  </si>
  <si>
    <t>WYBONG</t>
  </si>
  <si>
    <t>GRETA</t>
  </si>
  <si>
    <t>STANHOPE</t>
  </si>
  <si>
    <t>UPPER ROUCHEL</t>
  </si>
  <si>
    <t>STROUD ROAD</t>
  </si>
  <si>
    <t>VACY</t>
  </si>
  <si>
    <t>WOOTTON</t>
  </si>
  <si>
    <t>STROUD</t>
  </si>
  <si>
    <t>TUNCURRY</t>
  </si>
  <si>
    <t>UPPER LANSDOWNE</t>
  </si>
  <si>
    <t>WENTWORTH</t>
  </si>
  <si>
    <t>WELLINGTON</t>
  </si>
  <si>
    <t>NARROMINE</t>
  </si>
  <si>
    <t>TRANGIE</t>
  </si>
  <si>
    <t>MURONBUNG</t>
  </si>
  <si>
    <t>WONGARBON</t>
  </si>
  <si>
    <t>TUCKLAN</t>
  </si>
  <si>
    <t>KANDOS</t>
  </si>
  <si>
    <t>RYLSTONE</t>
  </si>
  <si>
    <t>TWO MILE FLAT</t>
  </si>
  <si>
    <t>MOLONG</t>
  </si>
  <si>
    <t>CUMNOCK</t>
  </si>
  <si>
    <t>YEOVAL</t>
  </si>
  <si>
    <t>TREWILGA</t>
  </si>
  <si>
    <t>TICHBORNE</t>
  </si>
  <si>
    <t>TOTTENHAM</t>
  </si>
  <si>
    <t>TULLAMORE</t>
  </si>
  <si>
    <t>TRIDA</t>
  </si>
  <si>
    <t>MENINDEE</t>
  </si>
  <si>
    <t>TARCOWIE</t>
  </si>
  <si>
    <t>CRADOCK</t>
  </si>
  <si>
    <t>QUORN</t>
  </si>
  <si>
    <t>YUNTA</t>
  </si>
  <si>
    <t>WIRRABARA</t>
  </si>
  <si>
    <t>BOOLEROO CENTRE</t>
  </si>
  <si>
    <t>MELROSE</t>
  </si>
  <si>
    <t>WILMINGTON</t>
  </si>
  <si>
    <t>IRON KNOB</t>
  </si>
  <si>
    <t>YANINEE</t>
  </si>
  <si>
    <t>MINNIPA</t>
  </si>
  <si>
    <t>POOCHERA</t>
  </si>
  <si>
    <t>WIRRULLA</t>
  </si>
  <si>
    <t>STREAKY BAY</t>
  </si>
  <si>
    <t>YALATA</t>
  </si>
  <si>
    <t>PORT AUGUSTA WEST</t>
  </si>
  <si>
    <t>PEPPERMINT GROVE</t>
  </si>
  <si>
    <t>MOSMAN PARK</t>
  </si>
  <si>
    <t>ST JAMES</t>
  </si>
  <si>
    <t>WILSON</t>
  </si>
  <si>
    <t>THORNLIE</t>
  </si>
  <si>
    <t>SOUTHERN RIVER</t>
  </si>
  <si>
    <t>WESTFIELD</t>
  </si>
  <si>
    <t>WUNGONG</t>
  </si>
  <si>
    <t>WINTHROP</t>
  </si>
  <si>
    <t>MOUNT PLEASANT</t>
  </si>
  <si>
    <t>MYAREE</t>
  </si>
  <si>
    <t>WILLETTON</t>
  </si>
  <si>
    <t>MELVILLE</t>
  </si>
  <si>
    <t>PALMYRA</t>
  </si>
  <si>
    <t>EAST FREMANTLE</t>
  </si>
  <si>
    <t>NORTH FREMANTLE</t>
  </si>
  <si>
    <t>FREMANTLE</t>
  </si>
  <si>
    <t>ROTTNEST ISLAND</t>
  </si>
  <si>
    <t>WHITE GUM VALLEY</t>
  </si>
  <si>
    <t>SPEARWOOD</t>
  </si>
  <si>
    <t>YANGEBUP</t>
  </si>
  <si>
    <t>NAVAL BASE</t>
  </si>
  <si>
    <t>WATTLEUP</t>
  </si>
  <si>
    <t>WANDI</t>
  </si>
  <si>
    <t>ROCKINGHAM</t>
  </si>
  <si>
    <t>WARNBRO</t>
  </si>
  <si>
    <t>WELLARD</t>
  </si>
  <si>
    <t>BALDIVIS</t>
  </si>
  <si>
    <t>SECRET HARBOUR</t>
  </si>
  <si>
    <t>GOLDEN BAY</t>
  </si>
  <si>
    <t>SINGLETON</t>
  </si>
  <si>
    <t>WHITTAKER</t>
  </si>
  <si>
    <t>WEST PINJARRA</t>
  </si>
  <si>
    <t>WANNANUP</t>
  </si>
  <si>
    <t>WURAMING</t>
  </si>
  <si>
    <t>KOOLJERRENUP</t>
  </si>
  <si>
    <t>WAROONA</t>
  </si>
  <si>
    <t>YARLOOP</t>
  </si>
  <si>
    <t>WARAWARRUP</t>
  </si>
  <si>
    <t>WESTDALE</t>
  </si>
  <si>
    <t>KWEDA</t>
  </si>
  <si>
    <t>WANDERING</t>
  </si>
  <si>
    <t>WEST POPANYINNING</t>
  </si>
  <si>
    <t>YORNANING</t>
  </si>
  <si>
    <t>YILLIMINNING</t>
  </si>
  <si>
    <t>MOUNT MADDEN</t>
  </si>
  <si>
    <t>PINGARING</t>
  </si>
  <si>
    <t>KARLGARIN</t>
  </si>
  <si>
    <t>HYDEN</t>
  </si>
  <si>
    <t>KULIN</t>
  </si>
  <si>
    <t>KONDININ</t>
  </si>
  <si>
    <t>NAREMBEEN</t>
  </si>
  <si>
    <t>BULLARING</t>
  </si>
  <si>
    <t>KURRENKUTTEN</t>
  </si>
  <si>
    <t>RANFORD</t>
  </si>
  <si>
    <t>WILLIAMS</t>
  </si>
  <si>
    <t>FRENCHS FOREST</t>
  </si>
  <si>
    <t>THE ROCKS</t>
  </si>
  <si>
    <t>THE UNIVERSITY OF SYDNEY</t>
  </si>
  <si>
    <t>ULTIMO</t>
  </si>
  <si>
    <t>PYRMONT</t>
  </si>
  <si>
    <t>SURRY HILLS</t>
  </si>
  <si>
    <t>WOOLLOOMOOLOO</t>
  </si>
  <si>
    <t>EVELEIGH</t>
  </si>
  <si>
    <t>REDFERN</t>
  </si>
  <si>
    <t>ZETLAND</t>
  </si>
  <si>
    <t>BOTANY</t>
  </si>
  <si>
    <t>SYDNEY INTERNATIONAL AIRPORT</t>
  </si>
  <si>
    <t>PADDINGTON</t>
  </si>
  <si>
    <t>QUEENS PARK</t>
  </si>
  <si>
    <t>BELLEVUE HILL</t>
  </si>
  <si>
    <t>WAVERLEY</t>
  </si>
  <si>
    <t>WOOLLAHRA</t>
  </si>
  <si>
    <t>TAMARAMA</t>
  </si>
  <si>
    <t>POINT PIPER</t>
  </si>
  <si>
    <t>DOUBLE BAY</t>
  </si>
  <si>
    <t>ROSE BAY</t>
  </si>
  <si>
    <t>WATSONS BAY</t>
  </si>
  <si>
    <t>ST PAULS</t>
  </si>
  <si>
    <t>KINGSFORD</t>
  </si>
  <si>
    <t>KENSINGTON</t>
  </si>
  <si>
    <t>COOGEE</t>
  </si>
  <si>
    <t>PAGEWOOD</t>
  </si>
  <si>
    <t>PORT BOTANY</t>
  </si>
  <si>
    <t>GLEBE</t>
  </si>
  <si>
    <t>ANNANDALE</t>
  </si>
  <si>
    <t>ROZELLE</t>
  </si>
  <si>
    <t>LILYFIELD</t>
  </si>
  <si>
    <t>BIRCHGROVE</t>
  </si>
  <si>
    <t>NEWTOWN</t>
  </si>
  <si>
    <t>ERSKINEVILLE</t>
  </si>
  <si>
    <t>TEMPE</t>
  </si>
  <si>
    <t>HABERFIELD</t>
  </si>
  <si>
    <t>WAREEMBA</t>
  </si>
  <si>
    <t>DRUMMOYNE</t>
  </si>
  <si>
    <t>WESTGATE</t>
  </si>
  <si>
    <t>PETERSHAM</t>
  </si>
  <si>
    <t>CAMPERDOWN</t>
  </si>
  <si>
    <t>UNSW SYDNEY</t>
  </si>
  <si>
    <t>NORTH SYDNEY</t>
  </si>
  <si>
    <t>WAVERTON</t>
  </si>
  <si>
    <t>MILSONS POINT</t>
  </si>
  <si>
    <t>CAMMERAY</t>
  </si>
  <si>
    <t>NORTHBRIDGE</t>
  </si>
  <si>
    <t>ARTARMON</t>
  </si>
  <si>
    <t>WOLLSTONECRAFT</t>
  </si>
  <si>
    <t>RIVERVIEW</t>
  </si>
  <si>
    <t>CHATSWOOD WEST</t>
  </si>
  <si>
    <t>WILLOUGHBY</t>
  </si>
  <si>
    <t>ROSEVILLE</t>
  </si>
  <si>
    <t>LINDFIELD</t>
  </si>
  <si>
    <t>KILLARA</t>
  </si>
  <si>
    <t>GORDON</t>
  </si>
  <si>
    <t>WEST PYMBLE</t>
  </si>
  <si>
    <t>WARRAWEE</t>
  </si>
  <si>
    <t>ST IVES</t>
  </si>
  <si>
    <t>WAHROONGA</t>
  </si>
  <si>
    <t>WAITARA</t>
  </si>
  <si>
    <t>MOUNT COLAH</t>
  </si>
  <si>
    <t>MOUNT KURING-GAI</t>
  </si>
  <si>
    <t>COWAN</t>
  </si>
  <si>
    <t>BEROWRA WATERS</t>
  </si>
  <si>
    <t>MOONEY MOONEY</t>
  </si>
  <si>
    <t>TERREY HILLS</t>
  </si>
  <si>
    <t>DAVIDSON</t>
  </si>
  <si>
    <t>KILLARNEY HEIGHTS</t>
  </si>
  <si>
    <t>NEUTRAL BAY JUNCTION</t>
  </si>
  <si>
    <t>CREMORNE</t>
  </si>
  <si>
    <t>SEAFORTH</t>
  </si>
  <si>
    <t>MANLY VALE</t>
  </si>
  <si>
    <t>FAIRLIGHT</t>
  </si>
  <si>
    <t>MANLY</t>
  </si>
  <si>
    <t>QUEENSCLIFF</t>
  </si>
  <si>
    <t>WHEELER HEIGHTS</t>
  </si>
  <si>
    <t>WINGALA</t>
  </si>
  <si>
    <t>WARRINGAH MALL</t>
  </si>
  <si>
    <t>NARRABEEN</t>
  </si>
  <si>
    <t>WARRIEWOOD</t>
  </si>
  <si>
    <t>MONA VALE</t>
  </si>
  <si>
    <t>BAYVIEW</t>
  </si>
  <si>
    <t>SCOTLAND ISLAND</t>
  </si>
  <si>
    <t>NEWPORT BEACH</t>
  </si>
  <si>
    <t>WHALE BEACH</t>
  </si>
  <si>
    <t>THE BASIN</t>
  </si>
  <si>
    <t>MACQUARIE UNIVERSITY</t>
  </si>
  <si>
    <t>WOOLWICH</t>
  </si>
  <si>
    <t>TENNYSON POINT</t>
  </si>
  <si>
    <t>RYDE</t>
  </si>
  <si>
    <t>NORTH RYDE</t>
  </si>
  <si>
    <t>WEST RYDE</t>
  </si>
  <si>
    <t>ERMINGTON</t>
  </si>
  <si>
    <t>RYDALMERE</t>
  </si>
  <si>
    <t>TELOPEA</t>
  </si>
  <si>
    <t>KINGSDENE</t>
  </si>
  <si>
    <t>CHELTENHAM</t>
  </si>
  <si>
    <t>WESTLEIGH</t>
  </si>
  <si>
    <t>EPPING</t>
  </si>
  <si>
    <t>MARSFIELD</t>
  </si>
  <si>
    <t>PARRAMATTA</t>
  </si>
  <si>
    <t>WEST PENNANT HILLS</t>
  </si>
  <si>
    <t>CHERRYBROOK</t>
  </si>
  <si>
    <t>NEWINGTON</t>
  </si>
  <si>
    <t>SILVERWATER</t>
  </si>
  <si>
    <t>SUMMER HILL</t>
  </si>
  <si>
    <t>ASHFIELD</t>
  </si>
  <si>
    <t>CROYDON</t>
  </si>
  <si>
    <t>ENFIELD SOUTH</t>
  </si>
  <si>
    <t>BURWOOD</t>
  </si>
  <si>
    <t>STRATHFIELD</t>
  </si>
  <si>
    <t>STRATHFIELD SOUTH</t>
  </si>
  <si>
    <t>NORTH STRATHFIELD</t>
  </si>
  <si>
    <t>RHODES</t>
  </si>
  <si>
    <t>CONCORD REPATRIATION HOSPITAL</t>
  </si>
  <si>
    <t>STRATHFIELD WEST</t>
  </si>
  <si>
    <t>LIDCOMBE</t>
  </si>
  <si>
    <t>ROSEHILL</t>
  </si>
  <si>
    <t>AUBURN</t>
  </si>
  <si>
    <t>WESTMEAD</t>
  </si>
  <si>
    <t>TOONGABBIE EAST</t>
  </si>
  <si>
    <t>SEVEN HILLS WEST</t>
  </si>
  <si>
    <t>PROSPECT</t>
  </si>
  <si>
    <t>NORTH ROCKS</t>
  </si>
  <si>
    <t>NORTHMEAD</t>
  </si>
  <si>
    <t>WINSTON HILLS</t>
  </si>
  <si>
    <t>CASTLE HILL</t>
  </si>
  <si>
    <t>ROUSE HILL</t>
  </si>
  <si>
    <t>KENTHURST</t>
  </si>
  <si>
    <t>GLENORIE</t>
  </si>
  <si>
    <t>ROUND CORNER</t>
  </si>
  <si>
    <t>GALSTON</t>
  </si>
  <si>
    <t>MERRYLANDS WEST</t>
  </si>
  <si>
    <t>YENNORA</t>
  </si>
  <si>
    <t>SEFTON</t>
  </si>
  <si>
    <t>VILLAWOOD</t>
  </si>
  <si>
    <t>WETHERILL PARK</t>
  </si>
  <si>
    <t>FAIRFIELD WEST</t>
  </si>
  <si>
    <t>LANSVALE</t>
  </si>
  <si>
    <t>GLENFIELD</t>
  </si>
  <si>
    <t>SADLEIR</t>
  </si>
  <si>
    <t>WARWICK FARM</t>
  </si>
  <si>
    <t>WEST HOXTON</t>
  </si>
  <si>
    <t>WAKELEY</t>
  </si>
  <si>
    <t>BONNYRIGG HEIGHTS</t>
  </si>
  <si>
    <t>MOUNT LEWIS</t>
  </si>
  <si>
    <t>BELFIELD</t>
  </si>
  <si>
    <t>BELMORE</t>
  </si>
  <si>
    <t>HURLSTONE PARK</t>
  </si>
  <si>
    <t>CAMPSIE</t>
  </si>
  <si>
    <t>WILEY PARK</t>
  </si>
  <si>
    <t>ROSELANDS</t>
  </si>
  <si>
    <t>BASS HILL</t>
  </si>
  <si>
    <t>GEORGES HALL</t>
  </si>
  <si>
    <t>YAGOONA</t>
  </si>
  <si>
    <t>MANAHAN</t>
  </si>
  <si>
    <t>DULWICH HILL</t>
  </si>
  <si>
    <t>MARRICKVILLE SOUTH</t>
  </si>
  <si>
    <t>TURRELLA</t>
  </si>
  <si>
    <t>UNDERCLIFFE</t>
  </si>
  <si>
    <t>BEXLEY SOUTH</t>
  </si>
  <si>
    <t>KINGSGROVE</t>
  </si>
  <si>
    <t>NARWEE</t>
  </si>
  <si>
    <t>RIVERWOOD</t>
  </si>
  <si>
    <t>PADSTOW</t>
  </si>
  <si>
    <t>REVESBY NORTH</t>
  </si>
  <si>
    <t>PICNIC POINT</t>
  </si>
  <si>
    <t>MILPERRA</t>
  </si>
  <si>
    <t>ROCKDALE</t>
  </si>
  <si>
    <t>RAMSGATE BEACH</t>
  </si>
  <si>
    <t>CARLTON</t>
  </si>
  <si>
    <t>SANS SOUCI</t>
  </si>
  <si>
    <t>HURSTVILLE</t>
  </si>
  <si>
    <t>SOUTH HURSTVILLE</t>
  </si>
  <si>
    <t>PENSHURST</t>
  </si>
  <si>
    <t>OATLEY</t>
  </si>
  <si>
    <t>WENDOREE PARK</t>
  </si>
  <si>
    <t>YATTALUNGA</t>
  </si>
  <si>
    <t>WOY WOY</t>
  </si>
  <si>
    <t>UMINA BEACH</t>
  </si>
  <si>
    <t>OURIMBAH</t>
  </si>
  <si>
    <t>YARRAMALONG</t>
  </si>
  <si>
    <t>WAMBERAL</t>
  </si>
  <si>
    <t>TUMBI UMBI</t>
  </si>
  <si>
    <t>SAN REMO</t>
  </si>
  <si>
    <t>TOUKLEY</t>
  </si>
  <si>
    <t>SUNSHINE</t>
  </si>
  <si>
    <t>MARTINSVILLE</t>
  </si>
  <si>
    <t>WANGI WANGI</t>
  </si>
  <si>
    <t>VALENTINE</t>
  </si>
  <si>
    <t>SWANSEA</t>
  </si>
  <si>
    <t>TORONTO</t>
  </si>
  <si>
    <t>WOLLOMBI</t>
  </si>
  <si>
    <t>MACQUARIE FIELDS</t>
  </si>
  <si>
    <t>MACQUARIE LINKS</t>
  </si>
  <si>
    <t>WEETHALLE</t>
  </si>
  <si>
    <t>WYALONG</t>
  </si>
  <si>
    <t>LAKE CARGELLIGO</t>
  </si>
  <si>
    <t>ROTO</t>
  </si>
  <si>
    <t>WALLACIA</t>
  </si>
  <si>
    <t>WERRINGTON DOWNS</t>
  </si>
  <si>
    <t>ORCHARD HILLS</t>
  </si>
  <si>
    <t>CRANEBROOK</t>
  </si>
  <si>
    <t>PENRITH BC</t>
  </si>
  <si>
    <t>WARRAGAMBA</t>
  </si>
  <si>
    <t>YARRAMUNDI</t>
  </si>
  <si>
    <t>NORTH RICHMOND</t>
  </si>
  <si>
    <t>RICHMOND</t>
  </si>
  <si>
    <t>WINDSOR</t>
  </si>
  <si>
    <t>KURMOND</t>
  </si>
  <si>
    <t>KURRAJONG</t>
  </si>
  <si>
    <t>MOUNT VERNON</t>
  </si>
  <si>
    <t>ST MARYS</t>
  </si>
  <si>
    <t>PLUMPTON</t>
  </si>
  <si>
    <t>QUAKERS HILL</t>
  </si>
  <si>
    <t>VINEYARD</t>
  </si>
  <si>
    <t>ROOTY HILL</t>
  </si>
  <si>
    <t>WOODCROFT</t>
  </si>
  <si>
    <t>WILLMOT</t>
  </si>
  <si>
    <t>LAPSTONE</t>
  </si>
  <si>
    <t>WARRIMOO</t>
  </si>
  <si>
    <t>WISEMANS FERRY</t>
  </si>
  <si>
    <t>FAULCONBRIDGE</t>
  </si>
  <si>
    <t>WINMALEE</t>
  </si>
  <si>
    <t>LINDEN</t>
  </si>
  <si>
    <t>HAZELBROOK</t>
  </si>
  <si>
    <t>MEDLOW BATH</t>
  </si>
  <si>
    <t>WENTWORTH FALLS</t>
  </si>
  <si>
    <t>LAWSON</t>
  </si>
  <si>
    <t>MEGALONG</t>
  </si>
  <si>
    <t>MOUNT WILSON</t>
  </si>
  <si>
    <t>SODWALLS</t>
  </si>
  <si>
    <t>CARCOAR</t>
  </si>
  <si>
    <t>MANDURAMA</t>
  </si>
  <si>
    <t>WESTVILLE</t>
  </si>
  <si>
    <t>YETHOLME</t>
  </si>
  <si>
    <t>TALLWOOD</t>
  </si>
  <si>
    <t>VITTORIA</t>
  </si>
  <si>
    <t>CANOWINDRA</t>
  </si>
  <si>
    <t>GOOLOOGONG</t>
  </si>
  <si>
    <t>EUGOWRA</t>
  </si>
  <si>
    <t>WYANGALA DAM</t>
  </si>
  <si>
    <t>GREENETHORPE</t>
  </si>
  <si>
    <t>WALLERAWANG</t>
  </si>
  <si>
    <t>GLEN DAVIS</t>
  </si>
  <si>
    <t>PORTLAND</t>
  </si>
  <si>
    <t>TOOGONG</t>
  </si>
  <si>
    <t>MANILDRA</t>
  </si>
  <si>
    <t>WIRRINYA</t>
  </si>
  <si>
    <t>YARRABANDI</t>
  </si>
  <si>
    <t>GUNNINGBLAND</t>
  </si>
  <si>
    <t>MOUNT HOPE</t>
  </si>
  <si>
    <t>PARINGI</t>
  </si>
  <si>
    <t>ROBERTSTOWN</t>
  </si>
  <si>
    <t>MINTARO</t>
  </si>
  <si>
    <t>BURRA</t>
  </si>
  <si>
    <t>MOUNT BRYAN</t>
  </si>
  <si>
    <t>HALLETT</t>
  </si>
  <si>
    <t>WHYTE YARCOWIE</t>
  </si>
  <si>
    <t>TEROWIE</t>
  </si>
  <si>
    <t>PETERBOROUGH</t>
  </si>
  <si>
    <t>WATERVALE</t>
  </si>
  <si>
    <t>HOYLETON</t>
  </si>
  <si>
    <t>SPALDING</t>
  </si>
  <si>
    <t>BLYTH</t>
  </si>
  <si>
    <t>YACKA</t>
  </si>
  <si>
    <t>GULNARE</t>
  </si>
  <si>
    <t>GEORGETOWN</t>
  </si>
  <si>
    <t>GLADSTONE</t>
  </si>
  <si>
    <t>LAURA</t>
  </si>
  <si>
    <t>CALTOWIE</t>
  </si>
  <si>
    <t>JAMESTOWN</t>
  </si>
  <si>
    <t>YONGALA</t>
  </si>
  <si>
    <t>PORT GERMEIN</t>
  </si>
  <si>
    <t>LOCHIEL</t>
  </si>
  <si>
    <t>SNOWTOWN</t>
  </si>
  <si>
    <t>MERRITON</t>
  </si>
  <si>
    <t>SOLOMONTOWN</t>
  </si>
  <si>
    <t>KADINA</t>
  </si>
  <si>
    <t>MUNDOORA</t>
  </si>
  <si>
    <t>BUTE</t>
  </si>
  <si>
    <t>WHYALLA PLAYFORD</t>
  </si>
  <si>
    <t>COWELL</t>
  </si>
  <si>
    <t>WHARMINDA</t>
  </si>
  <si>
    <t>PORT NEILL</t>
  </si>
  <si>
    <t>WHYALLA STUART</t>
  </si>
  <si>
    <t>LOCK</t>
  </si>
  <si>
    <t>CLEVE</t>
  </si>
  <si>
    <t>KIMBA</t>
  </si>
  <si>
    <t>RUDALL</t>
  </si>
  <si>
    <t>WARRAMBOO</t>
  </si>
  <si>
    <t>KYANCUTTA</t>
  </si>
  <si>
    <t>WUDINNA</t>
  </si>
  <si>
    <t>ELLISTON</t>
  </si>
  <si>
    <t>PORT KENNY</t>
  </si>
  <si>
    <t>WOKALUP</t>
  </si>
  <si>
    <t>BENGER</t>
  </si>
  <si>
    <t>BRUNSWICK</t>
  </si>
  <si>
    <t>WORSLEY</t>
  </si>
  <si>
    <t>ROELANDS</t>
  </si>
  <si>
    <t>BUREKUP</t>
  </si>
  <si>
    <t>WATERLOO</t>
  </si>
  <si>
    <t>PICTON EAST</t>
  </si>
  <si>
    <t>WITHERS</t>
  </si>
  <si>
    <t>WELLINGTON MILL</t>
  </si>
  <si>
    <t>THE PLAINS</t>
  </si>
  <si>
    <t>YABBERUP</t>
  </si>
  <si>
    <t>TONEBRIDGE</t>
  </si>
  <si>
    <t>NEWLANDS</t>
  </si>
  <si>
    <t>SOUTHAMPTON</t>
  </si>
  <si>
    <t>NORTH GREENBUSHES</t>
  </si>
  <si>
    <t>WINNEJUP</t>
  </si>
  <si>
    <t>STIRLING ESTATE</t>
  </si>
  <si>
    <t>YOGANUP</t>
  </si>
  <si>
    <t>YOONGARILLUP</t>
  </si>
  <si>
    <t>YALLINGUP SIDING</t>
  </si>
  <si>
    <t>YALLINGUP</t>
  </si>
  <si>
    <t>TREETON</t>
  </si>
  <si>
    <t>SCHROEDER</t>
  </si>
  <si>
    <t>WEDGECARRUP</t>
  </si>
  <si>
    <t>WOODANILLING</t>
  </si>
  <si>
    <t>KATANNING</t>
  </si>
  <si>
    <t>BROOMEHILL WEST</t>
  </si>
  <si>
    <t>PALINUP</t>
  </si>
  <si>
    <t>JERRAMUNGUP</t>
  </si>
  <si>
    <t>NYABING</t>
  </si>
  <si>
    <t>PINGRUP</t>
  </si>
  <si>
    <t>RAVENSTHORPE</t>
  </si>
  <si>
    <t>HOPETOUN</t>
  </si>
  <si>
    <t>DUMBLEYUNG</t>
  </si>
  <si>
    <t>KUKERIN</t>
  </si>
  <si>
    <t>TARIN ROCK</t>
  </si>
  <si>
    <t>VARLEY</t>
  </si>
  <si>
    <t>TINCURRIN</t>
  </si>
  <si>
    <t>DUDININ</t>
  </si>
  <si>
    <t>DARKAN</t>
  </si>
  <si>
    <t>TRIGWELL</t>
  </si>
  <si>
    <t>GRASS PATCH</t>
  </si>
  <si>
    <t>GIBSON</t>
  </si>
  <si>
    <t>SINCLAIR</t>
  </si>
  <si>
    <t>SYLVANIA WATERS</t>
  </si>
  <si>
    <t>JANNALI</t>
  </si>
  <si>
    <t>GYMEA</t>
  </si>
  <si>
    <t>YOWIE BAY</t>
  </si>
  <si>
    <t>TAREN POINT</t>
  </si>
  <si>
    <t>WOOLOOWARE</t>
  </si>
  <si>
    <t>KURNELL</t>
  </si>
  <si>
    <t>WORONORA</t>
  </si>
  <si>
    <t>YARRAWARRAH</t>
  </si>
  <si>
    <t>MENAI CENTRAL</t>
  </si>
  <si>
    <t>WOLLONGONG</t>
  </si>
  <si>
    <t>WARRAWONG</t>
  </si>
  <si>
    <t>PORT KEMBLA</t>
  </si>
  <si>
    <t>BERKELEY</t>
  </si>
  <si>
    <t>STANWELL TOPS</t>
  </si>
  <si>
    <t>WOMBARRA</t>
  </si>
  <si>
    <t>BULLI</t>
  </si>
  <si>
    <t>WOONONA</t>
  </si>
  <si>
    <t>TOWRADGI</t>
  </si>
  <si>
    <t>MOUNT OUSLEY</t>
  </si>
  <si>
    <t>FIGTREE</t>
  </si>
  <si>
    <t>ALBION PARK RAIL</t>
  </si>
  <si>
    <t>WINDANG</t>
  </si>
  <si>
    <t>SHELLHARBOUR SQUARE</t>
  </si>
  <si>
    <t>WERRI BEACH</t>
  </si>
  <si>
    <t>WOODHILL</t>
  </si>
  <si>
    <t>YALWAL</t>
  </si>
  <si>
    <t>KEARNS</t>
  </si>
  <si>
    <t>CLAYMORE</t>
  </si>
  <si>
    <t>WOODBINE</t>
  </si>
  <si>
    <t>MENANGLE PARK</t>
  </si>
  <si>
    <t>VARROVILLE</t>
  </si>
  <si>
    <t>NARELLAN VALE</t>
  </si>
  <si>
    <t>MENANGLE</t>
  </si>
  <si>
    <t>DOUGLAS PARK</t>
  </si>
  <si>
    <t>WEROMBI</t>
  </si>
  <si>
    <t>WILTON</t>
  </si>
  <si>
    <t>TAHMOOR</t>
  </si>
  <si>
    <t>YANDERRA</t>
  </si>
  <si>
    <t>YERRINBOOL</t>
  </si>
  <si>
    <t>KANGALOON</t>
  </si>
  <si>
    <t>WILDES MEADOW</t>
  </si>
  <si>
    <t>BUNDANOON</t>
  </si>
  <si>
    <t>WINGELLO</t>
  </si>
  <si>
    <t>YARRA</t>
  </si>
  <si>
    <t>GUNNING</t>
  </si>
  <si>
    <t>YASS</t>
  </si>
  <si>
    <t>TUENA</t>
  </si>
  <si>
    <t>BINALONG</t>
  </si>
  <si>
    <t>GALONG</t>
  </si>
  <si>
    <t>RYE PARK</t>
  </si>
  <si>
    <t>WOMBAT</t>
  </si>
  <si>
    <t>WALLENDBEEN</t>
  </si>
  <si>
    <t>ILLABO</t>
  </si>
  <si>
    <t>YOUNG</t>
  </si>
  <si>
    <t>JUNEE</t>
  </si>
  <si>
    <t>MOOMBOOLDOOL</t>
  </si>
  <si>
    <t>TRUNGLEY HALL</t>
  </si>
  <si>
    <t>BARMEDMAN</t>
  </si>
  <si>
    <t>YOOGALI</t>
  </si>
  <si>
    <t>YENDA</t>
  </si>
  <si>
    <t>NARRANDERA</t>
  </si>
  <si>
    <t>COOLAMON</t>
  </si>
  <si>
    <t>GANMAIN</t>
  </si>
  <si>
    <t>YANCO</t>
  </si>
  <si>
    <t>WHITTON</t>
  </si>
  <si>
    <t>DARLINGTON POINT</t>
  </si>
  <si>
    <t>COLEAMBALLY</t>
  </si>
  <si>
    <t>OXLEY</t>
  </si>
  <si>
    <t>HATFIELD</t>
  </si>
  <si>
    <t>DARETON</t>
  </si>
  <si>
    <t>QUANDIALLA</t>
  </si>
  <si>
    <t>NANGUS</t>
  </si>
  <si>
    <t>JUGIONG</t>
  </si>
  <si>
    <t>COOLAC</t>
  </si>
  <si>
    <t>KYALITE</t>
  </si>
  <si>
    <t>EUSTON</t>
  </si>
  <si>
    <t>MONAK</t>
  </si>
  <si>
    <t>TARANA</t>
  </si>
  <si>
    <t>WIRRIMAH</t>
  </si>
  <si>
    <t>KOORAWATHA</t>
  </si>
  <si>
    <t>PULLABOOKA</t>
  </si>
  <si>
    <t>OUYEN</t>
  </si>
  <si>
    <t>VIC</t>
  </si>
  <si>
    <t>NANGILOC</t>
  </si>
  <si>
    <t>WERRIMULL</t>
  </si>
  <si>
    <t>IRYMPLE</t>
  </si>
  <si>
    <t>ROBINVALE</t>
  </si>
  <si>
    <t>PIANGIL</t>
  </si>
  <si>
    <t>BOUNDARY BEND</t>
  </si>
  <si>
    <t>STATION ARCADE</t>
  </si>
  <si>
    <t>NORTH ADELAIDE</t>
  </si>
  <si>
    <t>WELLAND</t>
  </si>
  <si>
    <t>RIDLEYTON</t>
  </si>
  <si>
    <t>KILKENNY</t>
  </si>
  <si>
    <t>REGENCY PARK BC</t>
  </si>
  <si>
    <t>WOODVILLE NORTH</t>
  </si>
  <si>
    <t>WINGFIELD</t>
  </si>
  <si>
    <t>ROYAL PARK</t>
  </si>
  <si>
    <t>PORT ADELAIDE</t>
  </si>
  <si>
    <t>PETERHEAD</t>
  </si>
  <si>
    <t>TAPEROO</t>
  </si>
  <si>
    <t>OUTER HARBOR</t>
  </si>
  <si>
    <t>SEMAPHORE</t>
  </si>
  <si>
    <t>WEST LAKES SHORE</t>
  </si>
  <si>
    <t>WEST LAKES</t>
  </si>
  <si>
    <t>TENNYSON</t>
  </si>
  <si>
    <t>SEATON</t>
  </si>
  <si>
    <t>WEST RICHMOND</t>
  </si>
  <si>
    <t>WAYVILLE</t>
  </si>
  <si>
    <t>KESWICK</t>
  </si>
  <si>
    <t>NORTH PLYMPTON</t>
  </si>
  <si>
    <t>SOUTH PLYMPTON</t>
  </si>
  <si>
    <t>MELROSE PARK</t>
  </si>
  <si>
    <t>WESTBOURNE PARK</t>
  </si>
  <si>
    <t>PARK HOLME</t>
  </si>
  <si>
    <t>SOMERTON PARK</t>
  </si>
  <si>
    <t>GLENELG SOUTH</t>
  </si>
  <si>
    <t>GLENALTA</t>
  </si>
  <si>
    <t>UNLEY</t>
  </si>
  <si>
    <t>TORRENS PARK</t>
  </si>
  <si>
    <t>PARKSIDE</t>
  </si>
  <si>
    <t>URRBRAE</t>
  </si>
  <si>
    <t>TUSMORE</t>
  </si>
  <si>
    <t>WATTLE PARK</t>
  </si>
  <si>
    <t>ROSE PARK</t>
  </si>
  <si>
    <t>TRINITY GARDENS</t>
  </si>
  <si>
    <t>STEPNEY</t>
  </si>
  <si>
    <t>ROYSTON PARK</t>
  </si>
  <si>
    <t>WOODFORDE</t>
  </si>
  <si>
    <t>NEWTON</t>
  </si>
  <si>
    <t>PARADISE</t>
  </si>
  <si>
    <t>CASTAMBUL</t>
  </si>
  <si>
    <t>WALKERVILLE</t>
  </si>
  <si>
    <t>THORNGATE</t>
  </si>
  <si>
    <t>SEFTON PARK</t>
  </si>
  <si>
    <t>KILBURN NORTH</t>
  </si>
  <si>
    <t>OAKDEN</t>
  </si>
  <si>
    <t>WINDSOR GARDENS</t>
  </si>
  <si>
    <t>HOLDEN HILL</t>
  </si>
  <si>
    <t>HIGHBURY</t>
  </si>
  <si>
    <t>HOPE VALLEY</t>
  </si>
  <si>
    <t>VISTA</t>
  </si>
  <si>
    <t>MODBURY NORTH</t>
  </si>
  <si>
    <t>GEPPS CROSS</t>
  </si>
  <si>
    <t>THE LEVELS</t>
  </si>
  <si>
    <t>PARA HILLS</t>
  </si>
  <si>
    <t>ST AGNES</t>
  </si>
  <si>
    <t>WALKLEY HEIGHTS</t>
  </si>
  <si>
    <t>SALISBURY SOUTH</t>
  </si>
  <si>
    <t>PARAFIELD GARDENS</t>
  </si>
  <si>
    <t>SALISBURY NORTH</t>
  </si>
  <si>
    <t>SALISBURY PLAIN</t>
  </si>
  <si>
    <t>WATERLOO CORNER</t>
  </si>
  <si>
    <t>EDINBURGH</t>
  </si>
  <si>
    <t>HILLBANK</t>
  </si>
  <si>
    <t>ELIZABETH WEST</t>
  </si>
  <si>
    <t>ULEYBURY</t>
  </si>
  <si>
    <t>HILLIER</t>
  </si>
  <si>
    <t>ANGLE VALE</t>
  </si>
  <si>
    <t>WILLASTON</t>
  </si>
  <si>
    <t>PENFIELD</t>
  </si>
  <si>
    <t>GREENWITH</t>
  </si>
  <si>
    <t>YATALA VALE</t>
  </si>
  <si>
    <t>WYNN VALE</t>
  </si>
  <si>
    <t>UPPER HERMITAGE</t>
  </si>
  <si>
    <t>PARACOMBE</t>
  </si>
  <si>
    <t>MONTACUTE</t>
  </si>
  <si>
    <t>NORTON SUMMIT</t>
  </si>
  <si>
    <t>GREENHILL</t>
  </si>
  <si>
    <t>SUMMERTOWN</t>
  </si>
  <si>
    <t>URAIDLA</t>
  </si>
  <si>
    <t>CAREY GULLY</t>
  </si>
  <si>
    <t>KERSBROOK</t>
  </si>
  <si>
    <t>CUDLEE CREEK</t>
  </si>
  <si>
    <t>GUMERACHA</t>
  </si>
  <si>
    <t>BIRDWOOD</t>
  </si>
  <si>
    <t>SPRINGTON</t>
  </si>
  <si>
    <t>SANDERSTON</t>
  </si>
  <si>
    <t>NILDOTTIE</t>
  </si>
  <si>
    <t>LENSWOOD</t>
  </si>
  <si>
    <t>LOBETHAL</t>
  </si>
  <si>
    <t>BALHANNAH</t>
  </si>
  <si>
    <t>OAKBANK</t>
  </si>
  <si>
    <t>WOODSIDE</t>
  </si>
  <si>
    <t>PERPONDA</t>
  </si>
  <si>
    <t>WANBI</t>
  </si>
  <si>
    <t>TALDRA</t>
  </si>
  <si>
    <t>VEITCH</t>
  </si>
  <si>
    <t>MORGAN</t>
  </si>
  <si>
    <t>CADELL</t>
  </si>
  <si>
    <t>RAMCO</t>
  </si>
  <si>
    <t>WAIKERIE</t>
  </si>
  <si>
    <t>KINGSTON-ON-MURRAY</t>
  </si>
  <si>
    <t>MOOROOK</t>
  </si>
  <si>
    <t>TAPLAN</t>
  </si>
  <si>
    <t>PARINGA</t>
  </si>
  <si>
    <t>RENMARK SOUTH</t>
  </si>
  <si>
    <t>MONASH</t>
  </si>
  <si>
    <t>WINKIE</t>
  </si>
  <si>
    <t>GLOSSOP</t>
  </si>
  <si>
    <t>LOVEDAY</t>
  </si>
  <si>
    <t>COBDOGLA</t>
  </si>
  <si>
    <t>SANDY CREEK</t>
  </si>
  <si>
    <t>WILLIAMSTOWN</t>
  </si>
  <si>
    <t>TANUNDA</t>
  </si>
  <si>
    <t>SEDAN</t>
  </si>
  <si>
    <t>SWAN REACH</t>
  </si>
  <si>
    <t>STOCKWELL</t>
  </si>
  <si>
    <t>TRURO</t>
  </si>
  <si>
    <t>NEW WELL</t>
  </si>
  <si>
    <t>NAIN</t>
  </si>
  <si>
    <t>TEMPLERS</t>
  </si>
  <si>
    <t>FREELING</t>
  </si>
  <si>
    <t>KAPUNDA</t>
  </si>
  <si>
    <t>SUTHERLANDS</t>
  </si>
  <si>
    <t>HAMLEY BRIDGE</t>
  </si>
  <si>
    <t>STOCKPORT</t>
  </si>
  <si>
    <t>TARLEE</t>
  </si>
  <si>
    <t>RIVERTON</t>
  </si>
  <si>
    <t>SADDLEWORTH</t>
  </si>
  <si>
    <t>MANOORA</t>
  </si>
  <si>
    <t>OWEN</t>
  </si>
  <si>
    <t>BALAKLAVA</t>
  </si>
  <si>
    <t>REEVES PLAINS</t>
  </si>
  <si>
    <t>PORT WAKEFIELD</t>
  </si>
  <si>
    <t>PASKEVILLE</t>
  </si>
  <si>
    <t>PORT HUGHES</t>
  </si>
  <si>
    <t>PRICE</t>
  </si>
  <si>
    <t>PINE POINT</t>
  </si>
  <si>
    <t>ARTHURTON</t>
  </si>
  <si>
    <t>WEETULTA</t>
  </si>
  <si>
    <t>WOOL BAY</t>
  </si>
  <si>
    <t>CURRAMULKA</t>
  </si>
  <si>
    <t>PORT VINCENT</t>
  </si>
  <si>
    <t>TUMBY BAY</t>
  </si>
  <si>
    <t>PORT LINCOLN</t>
  </si>
  <si>
    <t>WARROW</t>
  </si>
  <si>
    <t>EDILLILIE</t>
  </si>
  <si>
    <t>CUMMINS</t>
  </si>
  <si>
    <t>YEELANNA</t>
  </si>
  <si>
    <t>YORNUP</t>
  </si>
  <si>
    <t>WHEATLEY</t>
  </si>
  <si>
    <t>PEMBERTON</t>
  </si>
  <si>
    <t>NORTHCLIFFE</t>
  </si>
  <si>
    <t>WITCHCLIFFE</t>
  </si>
  <si>
    <t>WARNER GLEN</t>
  </si>
  <si>
    <t>MOLLOY ISLAND</t>
  </si>
  <si>
    <t>WANSBROUGH</t>
  </si>
  <si>
    <t>CRANBROOK</t>
  </si>
  <si>
    <t>TENTERDEN</t>
  </si>
  <si>
    <t>KENDENUP</t>
  </si>
  <si>
    <t>WOOGENILUP</t>
  </si>
  <si>
    <t>YELLANUP</t>
  </si>
  <si>
    <t>WELLSTEAD</t>
  </si>
  <si>
    <t>TINGLEDALE</t>
  </si>
  <si>
    <t>TOOMPUP</t>
  </si>
  <si>
    <t>STIRLING RANGE NATIONAL PARK</t>
  </si>
  <si>
    <t>RYANSBROOK</t>
  </si>
  <si>
    <t>FRANKLAND</t>
  </si>
  <si>
    <t>WALPOLE</t>
  </si>
  <si>
    <t>TUROSS HEAD</t>
  </si>
  <si>
    <t>MILTON</t>
  </si>
  <si>
    <t>NOWRA</t>
  </si>
  <si>
    <t>YARRALUMLA</t>
  </si>
  <si>
    <t>ACT</t>
  </si>
  <si>
    <t>WATSON</t>
  </si>
  <si>
    <t>NARRABUNDAH</t>
  </si>
  <si>
    <t>HUGHES</t>
  </si>
  <si>
    <t>WODEN</t>
  </si>
  <si>
    <t>TORRENS</t>
  </si>
  <si>
    <t>SYMONSTON</t>
  </si>
  <si>
    <t>WESTON CREEK</t>
  </si>
  <si>
    <t>WEETANGERA</t>
  </si>
  <si>
    <t>SPENCE</t>
  </si>
  <si>
    <t>MCKELLAR</t>
  </si>
  <si>
    <t>HALL</t>
  </si>
  <si>
    <t>JERRABOMBERRA</t>
  </si>
  <si>
    <t>WILLIAMSDALE</t>
  </si>
  <si>
    <t>BUNGENDORE</t>
  </si>
  <si>
    <t>REIDSDALE</t>
  </si>
  <si>
    <t>BREDBO</t>
  </si>
  <si>
    <t>YAOUK</t>
  </si>
  <si>
    <t>HOWLONG</t>
  </si>
  <si>
    <t>WOOMARGAMA</t>
  </si>
  <si>
    <t>URANA</t>
  </si>
  <si>
    <t>SAVERNAKE</t>
  </si>
  <si>
    <t>MULWALA</t>
  </si>
  <si>
    <t>WAGGA WAGGA SOUTH</t>
  </si>
  <si>
    <t>FOREST HILL</t>
  </si>
  <si>
    <t>URANQUINTY</t>
  </si>
  <si>
    <t>TUMBARUMBA</t>
  </si>
  <si>
    <t>THE ROCK</t>
  </si>
  <si>
    <t>URANGELINE EAST</t>
  </si>
  <si>
    <t>RYAN</t>
  </si>
  <si>
    <t>WALLA WALLA</t>
  </si>
  <si>
    <t>KAPOOKA</t>
  </si>
  <si>
    <t>WANGANELLA</t>
  </si>
  <si>
    <t>BERRIGAN</t>
  </si>
  <si>
    <t>FINLEY</t>
  </si>
  <si>
    <t>TOCUMWAL</t>
  </si>
  <si>
    <t>MABINS WELL</t>
  </si>
  <si>
    <t>TUMUT</t>
  </si>
  <si>
    <t>WONDALGA</t>
  </si>
  <si>
    <t>BATLOW</t>
  </si>
  <si>
    <t>MOULAMEIN</t>
  </si>
  <si>
    <t>TOOLEYBUC</t>
  </si>
  <si>
    <t>TUGGERANONG</t>
  </si>
  <si>
    <t>KAMBAH</t>
  </si>
  <si>
    <t>WANNIASSA</t>
  </si>
  <si>
    <t>BEULAH</t>
  </si>
  <si>
    <t>YAAPEET</t>
  </si>
  <si>
    <t>BIRCHIP</t>
  </si>
  <si>
    <t>WOOMELANG</t>
  </si>
  <si>
    <t>LASCELLES</t>
  </si>
  <si>
    <t>SPEED</t>
  </si>
  <si>
    <t>TEMPY</t>
  </si>
  <si>
    <t>PATCHEWOLLOCK</t>
  </si>
  <si>
    <t>UNDERBOOL</t>
  </si>
  <si>
    <t>MURRAYVILLE</t>
  </si>
  <si>
    <t>NULLAWIL</t>
  </si>
  <si>
    <t>CULGOA</t>
  </si>
  <si>
    <t>BERRIWILLOCK</t>
  </si>
  <si>
    <t>SEA LAKE</t>
  </si>
  <si>
    <t>GREDGWIN</t>
  </si>
  <si>
    <t>QUAMBATOOK</t>
  </si>
  <si>
    <t>LALBERT</t>
  </si>
  <si>
    <t>WAITCHIE</t>
  </si>
  <si>
    <t>MANANGATANG</t>
  </si>
  <si>
    <t>GUNBOWER</t>
  </si>
  <si>
    <t>MINCHA WEST</t>
  </si>
  <si>
    <t>COHUNA</t>
  </si>
  <si>
    <t>YARRAWALLA</t>
  </si>
  <si>
    <t>MURRABIT</t>
  </si>
  <si>
    <t>KOONDROOK</t>
  </si>
  <si>
    <t>LAKE BOGA</t>
  </si>
  <si>
    <t>SWAN HILL</t>
  </si>
  <si>
    <t>WOORINEN SOUTH</t>
  </si>
  <si>
    <t>VINIFERA</t>
  </si>
  <si>
    <t>NYAH</t>
  </si>
  <si>
    <t>NYAH WEST</t>
  </si>
  <si>
    <t>NATHALIA</t>
  </si>
  <si>
    <t>PICOLA</t>
  </si>
  <si>
    <t>KATUNGA</t>
  </si>
  <si>
    <t>STRATHMERTON</t>
  </si>
  <si>
    <t>YARROWEYAH</t>
  </si>
  <si>
    <t>WALWA</t>
  </si>
  <si>
    <t>WARRADALE NORTH</t>
  </si>
  <si>
    <t>STURT</t>
  </si>
  <si>
    <t>SOUTH BRIGHTON</t>
  </si>
  <si>
    <t>SEAVIEW DOWNS</t>
  </si>
  <si>
    <t>EDEN HILLS</t>
  </si>
  <si>
    <t>HAWTHORNDENE</t>
  </si>
  <si>
    <t>LEAWOOD GARDENS</t>
  </si>
  <si>
    <t>SCOTT CREEK</t>
  </si>
  <si>
    <t>ALDGATE</t>
  </si>
  <si>
    <t>MOUNT GEORGE</t>
  </si>
  <si>
    <t>UPPER STURT</t>
  </si>
  <si>
    <t>KANGARILLA</t>
  </si>
  <si>
    <t>TROTT PARK</t>
  </si>
  <si>
    <t>HAPPY VALLEY</t>
  </si>
  <si>
    <t>LONSDALE</t>
  </si>
  <si>
    <t>REYNELLA</t>
  </si>
  <si>
    <t>ONKAPARINGA HILLS</t>
  </si>
  <si>
    <t>CHRISTIE DOWNS</t>
  </si>
  <si>
    <t>CHRISTIES BEACH NORTH</t>
  </si>
  <si>
    <t>O'SULLIVAN BEACH</t>
  </si>
  <si>
    <t>PORT NOARLUNGA</t>
  </si>
  <si>
    <t>OLD NOARLUNGA</t>
  </si>
  <si>
    <t>SEAFORD MEADOWS</t>
  </si>
  <si>
    <t>PEDLER CREEK</t>
  </si>
  <si>
    <t>WILLUNGA</t>
  </si>
  <si>
    <t>PORT WILLUNGA</t>
  </si>
  <si>
    <t>MEADOWS</t>
  </si>
  <si>
    <t>MYPONGA</t>
  </si>
  <si>
    <t>YANKALILLA</t>
  </si>
  <si>
    <t>SECOND VALLEY</t>
  </si>
  <si>
    <t>MOUNT COMPASS</t>
  </si>
  <si>
    <t>VICTOR HARBOR</t>
  </si>
  <si>
    <t>PORT ELLIOT</t>
  </si>
  <si>
    <t>GOOLWA</t>
  </si>
  <si>
    <t>PARNDANA</t>
  </si>
  <si>
    <t>AMERICAN RIVER</t>
  </si>
  <si>
    <t>PENNESHAW</t>
  </si>
  <si>
    <t>KINGSCOTE</t>
  </si>
  <si>
    <t>VERDUN</t>
  </si>
  <si>
    <t>LITTLEHAMPTON</t>
  </si>
  <si>
    <t>WISTOW</t>
  </si>
  <si>
    <t>NAIRNE</t>
  </si>
  <si>
    <t>MURRAY BRIDGE SOUTH</t>
  </si>
  <si>
    <t>MYPOLONGA</t>
  </si>
  <si>
    <t>TAILEM BEND</t>
  </si>
  <si>
    <t>YUMALI</t>
  </si>
  <si>
    <t>MENINGIE</t>
  </si>
  <si>
    <t>COONALPYN</t>
  </si>
  <si>
    <t>TINTINARA</t>
  </si>
  <si>
    <t>SHERLOCK</t>
  </si>
  <si>
    <t>LAMEROO</t>
  </si>
  <si>
    <t>PARILLA</t>
  </si>
  <si>
    <t>PINNAROO</t>
  </si>
  <si>
    <t>WYNARKA</t>
  </si>
  <si>
    <t>MARAMA</t>
  </si>
  <si>
    <t>SANDALWOOD</t>
  </si>
  <si>
    <t>YORKETOWN</t>
  </si>
  <si>
    <t>WAROOKA</t>
  </si>
  <si>
    <t>STANSBURY</t>
  </si>
  <si>
    <t>EDITHBURGH</t>
  </si>
  <si>
    <t>YOUNGS SIDING</t>
  </si>
  <si>
    <t>NERRIGUNDAH</t>
  </si>
  <si>
    <t>WALLAGA LAKE HEIGHTS</t>
  </si>
  <si>
    <t>TURA BEACH</t>
  </si>
  <si>
    <t>SOUTH PAMBULA</t>
  </si>
  <si>
    <t>JINDABYNE</t>
  </si>
  <si>
    <t>NUMBLA VALE</t>
  </si>
  <si>
    <t>NIMMITABEL</t>
  </si>
  <si>
    <t>MILA</t>
  </si>
  <si>
    <t>DELEGATE</t>
  </si>
  <si>
    <t>THURGOONA</t>
  </si>
  <si>
    <t>LAVINGTON</t>
  </si>
  <si>
    <t>YERONG CREEK</t>
  </si>
  <si>
    <t>BENAYEO</t>
  </si>
  <si>
    <t>MARNOO</t>
  </si>
  <si>
    <t>RUPANYUP</t>
  </si>
  <si>
    <t>MURTOA</t>
  </si>
  <si>
    <t>BRIM</t>
  </si>
  <si>
    <t>SHEEP HILLS</t>
  </si>
  <si>
    <t>WARRACKNABEAL</t>
  </si>
  <si>
    <t>HORSHAM</t>
  </si>
  <si>
    <t>WOMBELANO</t>
  </si>
  <si>
    <t>NATIMUK</t>
  </si>
  <si>
    <t>GOROKE</t>
  </si>
  <si>
    <t>PERONNE</t>
  </si>
  <si>
    <t>DIMBOOLA</t>
  </si>
  <si>
    <t>YANAC</t>
  </si>
  <si>
    <t>KANIVA</t>
  </si>
  <si>
    <t>SERVICETON</t>
  </si>
  <si>
    <t>JEPARIT</t>
  </si>
  <si>
    <t>RAVENSWOOD</t>
  </si>
  <si>
    <t>WOODSTOCK WEST</t>
  </si>
  <si>
    <t>MOLIAGUL</t>
  </si>
  <si>
    <t>LOGAN</t>
  </si>
  <si>
    <t>STUART MILL</t>
  </si>
  <si>
    <t>LITCHFIELD</t>
  </si>
  <si>
    <t>WATCHEM</t>
  </si>
  <si>
    <t>MARONG</t>
  </si>
  <si>
    <t>LEICHARDT</t>
  </si>
  <si>
    <t>SERPENTINE</t>
  </si>
  <si>
    <t>WEDDERBURN</t>
  </si>
  <si>
    <t>KORONG VALE</t>
  </si>
  <si>
    <t>KNOWSLEY</t>
  </si>
  <si>
    <t>WYCHITELLA</t>
  </si>
  <si>
    <t>WYCHEPROOF</t>
  </si>
  <si>
    <t>WHITE HILLS</t>
  </si>
  <si>
    <t>TOOLLEEN</t>
  </si>
  <si>
    <t>KANGAROO FLAT</t>
  </si>
  <si>
    <t>SEBASTIAN</t>
  </si>
  <si>
    <t>GOORNONG</t>
  </si>
  <si>
    <t>HUNTER</t>
  </si>
  <si>
    <t>COROP</t>
  </si>
  <si>
    <t>ROCHESTER</t>
  </si>
  <si>
    <t>TORRUMBARRY</t>
  </si>
  <si>
    <t>LOCKINGTON</t>
  </si>
  <si>
    <t>SIMMIE</t>
  </si>
  <si>
    <t>RAYWOOD</t>
  </si>
  <si>
    <t>TANDARRA</t>
  </si>
  <si>
    <t>MITIAMO</t>
  </si>
  <si>
    <t>DURHAM OX</t>
  </si>
  <si>
    <t>WAHRING</t>
  </si>
  <si>
    <t>MURCHISON</t>
  </si>
  <si>
    <t>WANALTA</t>
  </si>
  <si>
    <t>TOOLAMBA</t>
  </si>
  <si>
    <t>TOOLAMBA EAST</t>
  </si>
  <si>
    <t>WYUNA</t>
  </si>
  <si>
    <t>YAMBUNA</t>
  </si>
  <si>
    <t>STRATHALLAN</t>
  </si>
  <si>
    <t>UNDERA</t>
  </si>
  <si>
    <t>SHEPPARTON</t>
  </si>
  <si>
    <t>TAMLEUGH WEST</t>
  </si>
  <si>
    <t>CONGUPNA</t>
  </si>
  <si>
    <t>TALLYGAROOPNA</t>
  </si>
  <si>
    <t>WUNGHNU</t>
  </si>
  <si>
    <t>NUMURKAH</t>
  </si>
  <si>
    <t>DOOKIE COLLEGE</t>
  </si>
  <si>
    <t>PUCKAPUNYAL MILPO</t>
  </si>
  <si>
    <t>MANGALORE</t>
  </si>
  <si>
    <t>AVENEL</t>
  </si>
  <si>
    <t>LONGWOOD</t>
  </si>
  <si>
    <t>STRATHBOGIE</t>
  </si>
  <si>
    <t>VIOLET TOWN</t>
  </si>
  <si>
    <t>WARRENBAYNE</t>
  </si>
  <si>
    <t>BENALLA</t>
  </si>
  <si>
    <t>HANSONVILLE</t>
  </si>
  <si>
    <t>WANGARATTA</t>
  </si>
  <si>
    <t>SPRINGHURST</t>
  </si>
  <si>
    <t>CHILTERN</t>
  </si>
  <si>
    <t>RUTHERGLEN</t>
  </si>
  <si>
    <t>WAHGUNYAH</t>
  </si>
  <si>
    <t>WOORAGEE NORTH</t>
  </si>
  <si>
    <t>WODONGA</t>
  </si>
  <si>
    <t>TANGAMBALANGA</t>
  </si>
  <si>
    <t>TAWONGA</t>
  </si>
  <si>
    <t>MOUNT BEAUTY</t>
  </si>
  <si>
    <t>TALLANGATTA</t>
  </si>
  <si>
    <t>SHELLEY</t>
  </si>
  <si>
    <t>KOETONG</t>
  </si>
  <si>
    <t>CUDGEWA</t>
  </si>
  <si>
    <t>TOWONG</t>
  </si>
  <si>
    <t>WOODFIELD</t>
  </si>
  <si>
    <t>GOORAMBAT</t>
  </si>
  <si>
    <t>THOONA</t>
  </si>
  <si>
    <t>YUNDOOL</t>
  </si>
  <si>
    <t>WILBY</t>
  </si>
  <si>
    <t>MOYHU</t>
  </si>
  <si>
    <t>WHITLANDS</t>
  </si>
  <si>
    <t>WHOROULY</t>
  </si>
  <si>
    <t>MYRTLEFORD</t>
  </si>
  <si>
    <t>EUROBIN</t>
  </si>
  <si>
    <t>POREPUNKAH</t>
  </si>
  <si>
    <t>MOUNT HOTHAM</t>
  </si>
  <si>
    <t>WANDILIGONG</t>
  </si>
  <si>
    <t>WOORAGEE</t>
  </si>
  <si>
    <t>YACKANDANDAH</t>
  </si>
  <si>
    <t>BENAMBRA</t>
  </si>
  <si>
    <t>KYBYBOLITE</t>
  </si>
  <si>
    <t>KEITH</t>
  </si>
  <si>
    <t>BORDERTOWN</t>
  </si>
  <si>
    <t>WOLSELEY</t>
  </si>
  <si>
    <t>MUNDULLA</t>
  </si>
  <si>
    <t>PADTHAWAY</t>
  </si>
  <si>
    <t>LUCINDALE</t>
  </si>
  <si>
    <t>KINGSTON SE</t>
  </si>
  <si>
    <t>YOWRIE</t>
  </si>
  <si>
    <t>WONBOYN LAKE</t>
  </si>
  <si>
    <t>MELBOURNE</t>
  </si>
  <si>
    <t>EAST MELBOURNE</t>
  </si>
  <si>
    <t>WEST MELBOURNE</t>
  </si>
  <si>
    <t>ST KILDA ROAD MELBOURNE</t>
  </si>
  <si>
    <t>WORLD TRADE CENTRE</t>
  </si>
  <si>
    <t>SEDDON</t>
  </si>
  <si>
    <t>WEST FOOTSCRAY</t>
  </si>
  <si>
    <t>YARRAVILLE</t>
  </si>
  <si>
    <t>SPOTSWOOD</t>
  </si>
  <si>
    <t>SEAHOLME</t>
  </si>
  <si>
    <t>BRAYBROOK</t>
  </si>
  <si>
    <t>ST ALBANS</t>
  </si>
  <si>
    <t>ARDEER</t>
  </si>
  <si>
    <t>DEER PARK</t>
  </si>
  <si>
    <t>ALTONA NORTH</t>
  </si>
  <si>
    <t>LAVERTON NORTH</t>
  </si>
  <si>
    <t>LAVERTON</t>
  </si>
  <si>
    <t>TRUGANINA</t>
  </si>
  <si>
    <t>WERRIBEE</t>
  </si>
  <si>
    <t>TRAVANCORE</t>
  </si>
  <si>
    <t>KEILOR EAST</t>
  </si>
  <si>
    <t>AVONDALE HEIGHTS</t>
  </si>
  <si>
    <t>KEILOR</t>
  </si>
  <si>
    <t>TAYLORS LAKES</t>
  </si>
  <si>
    <t>MOONEE PONDS</t>
  </si>
  <si>
    <t>ESSENDON WEST</t>
  </si>
  <si>
    <t>STRATHMORE HEIGHTS</t>
  </si>
  <si>
    <t>NIDDRIE</t>
  </si>
  <si>
    <t>TULLAMARINE</t>
  </si>
  <si>
    <t>WESTBREEN</t>
  </si>
  <si>
    <t>MELBOURNE AIRPORT</t>
  </si>
  <si>
    <t>OAK PARK</t>
  </si>
  <si>
    <t>JACANA</t>
  </si>
  <si>
    <t>MEADOW HEIGHTS</t>
  </si>
  <si>
    <t>WESTMEADOWS</t>
  </si>
  <si>
    <t>ROYAL MELBOURNE HOSPITAL</t>
  </si>
  <si>
    <t>NORTH MELBOURNE</t>
  </si>
  <si>
    <t>PARKVILLE</t>
  </si>
  <si>
    <t>CARLTON NORTH</t>
  </si>
  <si>
    <t>BRUNSWICK WEST</t>
  </si>
  <si>
    <t>BRUNSWICK EAST</t>
  </si>
  <si>
    <t>MORELAND</t>
  </si>
  <si>
    <t>GREENVALE</t>
  </si>
  <si>
    <t>FAWKNER</t>
  </si>
  <si>
    <t>CAMPBELLFIELD</t>
  </si>
  <si>
    <t>SOMERTON</t>
  </si>
  <si>
    <t>YUROKE</t>
  </si>
  <si>
    <t>ROXBURGH PARK</t>
  </si>
  <si>
    <t>FITZROY</t>
  </si>
  <si>
    <t>COLLINGWOOD</t>
  </si>
  <si>
    <t>ABBOTSFORD</t>
  </si>
  <si>
    <t>FITZROY NORTH</t>
  </si>
  <si>
    <t>NORTHCOTE</t>
  </si>
  <si>
    <t>THORNBURY</t>
  </si>
  <si>
    <t>PRESTON</t>
  </si>
  <si>
    <t>RESERVOIR</t>
  </si>
  <si>
    <t>THOMASTOWN</t>
  </si>
  <si>
    <t>LALOR</t>
  </si>
  <si>
    <t>EPPING DC</t>
  </si>
  <si>
    <t>IVANHOE EAST</t>
  </si>
  <si>
    <t>HEIDELBERG WEST</t>
  </si>
  <si>
    <t>MILL PARK</t>
  </si>
  <si>
    <t>KINGSBURY</t>
  </si>
  <si>
    <t>VIEWBANK</t>
  </si>
  <si>
    <t>YALLAMBIE</t>
  </si>
  <si>
    <t>WATSONIA</t>
  </si>
  <si>
    <t>SAINT HELENA</t>
  </si>
  <si>
    <t>DIAMOND CREEK</t>
  </si>
  <si>
    <t>PLENTY</t>
  </si>
  <si>
    <t>YARRAMBAT</t>
  </si>
  <si>
    <t>LOWER PLENTY</t>
  </si>
  <si>
    <t>WATTLE GLEN</t>
  </si>
  <si>
    <t>KANGAROO GROUND</t>
  </si>
  <si>
    <t>STRATHEWEN</t>
  </si>
  <si>
    <t>KEW</t>
  </si>
  <si>
    <t>KEW EAST</t>
  </si>
  <si>
    <t>BALWYN</t>
  </si>
  <si>
    <t>BALWYN NORTH</t>
  </si>
  <si>
    <t>BULLEEN</t>
  </si>
  <si>
    <t>TEMPLESTOWE</t>
  </si>
  <si>
    <t>TEMPLESTOWE LOWER</t>
  </si>
  <si>
    <t>DONCASTER</t>
  </si>
  <si>
    <t>DONCASTER EAST</t>
  </si>
  <si>
    <t>DONVALE</t>
  </si>
  <si>
    <t>WARRANDYTE</t>
  </si>
  <si>
    <t>WONGA PARK</t>
  </si>
  <si>
    <t>CHIRNSIDE PARK</t>
  </si>
  <si>
    <t>HAWTHORN</t>
  </si>
  <si>
    <t>HAWTHORN EAST</t>
  </si>
  <si>
    <t>CAMBERWELL</t>
  </si>
  <si>
    <t>CANTERBURY</t>
  </si>
  <si>
    <t>SURREY HILLS</t>
  </si>
  <si>
    <t>BOX HILL SOUTH</t>
  </si>
  <si>
    <t>MONT ALBERT NORTH</t>
  </si>
  <si>
    <t>BLACKBURN SOUTH</t>
  </si>
  <si>
    <t>NUNAWADING</t>
  </si>
  <si>
    <t>MITCHAM</t>
  </si>
  <si>
    <t>VERMONT SOUTH</t>
  </si>
  <si>
    <t>WARRANWOOD</t>
  </si>
  <si>
    <t>RINGWOOD EAST</t>
  </si>
  <si>
    <t>CROYDON SOUTH</t>
  </si>
  <si>
    <t>KILSYTH SOUTH</t>
  </si>
  <si>
    <t>MOOROOLBARK</t>
  </si>
  <si>
    <t>YELLINGBO</t>
  </si>
  <si>
    <t>LILYDALE</t>
  </si>
  <si>
    <t>SOUTH YARRA</t>
  </si>
  <si>
    <t>TOORAK</t>
  </si>
  <si>
    <t>ARMADALE</t>
  </si>
  <si>
    <t>MALVERN</t>
  </si>
  <si>
    <t>MALVERN EAST</t>
  </si>
  <si>
    <t>GLEN IRIS</t>
  </si>
  <si>
    <t>ASHWOOD</t>
  </si>
  <si>
    <t>CHADSTONE</t>
  </si>
  <si>
    <t>MOUNT WAVERLEY</t>
  </si>
  <si>
    <t>WHEELERS HILL</t>
  </si>
  <si>
    <t>BURWOOD EAST</t>
  </si>
  <si>
    <t>WANTIRNA SOUTH</t>
  </si>
  <si>
    <t>BAYSWATER NORTH</t>
  </si>
  <si>
    <t>BORONIA</t>
  </si>
  <si>
    <t>UPPER FERNTREE GULLY</t>
  </si>
  <si>
    <t>UPWEY</t>
  </si>
  <si>
    <t>SELBY</t>
  </si>
  <si>
    <t>TECOMA</t>
  </si>
  <si>
    <t>CAULFIELD NORTH</t>
  </si>
  <si>
    <t>CAULFIELD SOUTH</t>
  </si>
  <si>
    <t>MURRUMBEENA</t>
  </si>
  <si>
    <t>BENTLEIGH EAST</t>
  </si>
  <si>
    <t>OAKLEIGH EAST</t>
  </si>
  <si>
    <t>OAKLEIGH SOUTH</t>
  </si>
  <si>
    <t>NOTTING HILL</t>
  </si>
  <si>
    <t>CLAYTON SOUTH</t>
  </si>
  <si>
    <t>MULGRAVE</t>
  </si>
  <si>
    <t>SPRINGVALE</t>
  </si>
  <si>
    <t>SPRINGVALE SOUTH</t>
  </si>
  <si>
    <t>NOBLE PARK NORTH</t>
  </si>
  <si>
    <t>DANDENONG SOUTH</t>
  </si>
  <si>
    <t>ROWVILLE</t>
  </si>
  <si>
    <t>SCORESBY</t>
  </si>
  <si>
    <t>KNOXFIELD</t>
  </si>
  <si>
    <t>ST KILDA WEST</t>
  </si>
  <si>
    <t>ST KILDA EAST</t>
  </si>
  <si>
    <t>ELWOOD</t>
  </si>
  <si>
    <t>RIPPONLEA</t>
  </si>
  <si>
    <t>BRIGHTON</t>
  </si>
  <si>
    <t>BRIGHTON EAST</t>
  </si>
  <si>
    <t>HAMPTON EAST</t>
  </si>
  <si>
    <t>MOORABBIN EAST</t>
  </si>
  <si>
    <t>HIGHETT</t>
  </si>
  <si>
    <t>SANDRINGHAM</t>
  </si>
  <si>
    <t>SOUTHLAND CENTRE</t>
  </si>
  <si>
    <t>BLACK ROCK</t>
  </si>
  <si>
    <t>MOORABBIN AIRPORT</t>
  </si>
  <si>
    <t>HEATHERTON</t>
  </si>
  <si>
    <t>ORMOND</t>
  </si>
  <si>
    <t>SOUTH MELBOURNE DC</t>
  </si>
  <si>
    <t>MIDDLE PARK</t>
  </si>
  <si>
    <t>PORT MELBOURNE</t>
  </si>
  <si>
    <t>PURA PURA</t>
  </si>
  <si>
    <t>CARAMUT</t>
  </si>
  <si>
    <t>GLENTHOMPSON</t>
  </si>
  <si>
    <t>VICTORIA VALLEY</t>
  </si>
  <si>
    <t>HAMILTON</t>
  </si>
  <si>
    <t>BRANXHOLME</t>
  </si>
  <si>
    <t>CONDAH</t>
  </si>
  <si>
    <t>WINNAP</t>
  </si>
  <si>
    <t>MERINO</t>
  </si>
  <si>
    <t>CASTERTON</t>
  </si>
  <si>
    <t>NAREEN</t>
  </si>
  <si>
    <t>HARROW</t>
  </si>
  <si>
    <t>LANGKOOP</t>
  </si>
  <si>
    <t>DUVERNEY</t>
  </si>
  <si>
    <t>LISMORE</t>
  </si>
  <si>
    <t>DERRINALLUM</t>
  </si>
  <si>
    <t>ROKEWOOD</t>
  </si>
  <si>
    <t>SUTHERLANDS CREEK</t>
  </si>
  <si>
    <t>LETHBRIDGE</t>
  </si>
  <si>
    <t>MEREDITH</t>
  </si>
  <si>
    <t>MORRISONS</t>
  </si>
  <si>
    <t>ROCKBANK</t>
  </si>
  <si>
    <t>TOOLERN VALE</t>
  </si>
  <si>
    <t>MELTON SOUTH</t>
  </si>
  <si>
    <t>ROWSLEY</t>
  </si>
  <si>
    <t>MYRNIONG</t>
  </si>
  <si>
    <t>MOUNT WALLACE</t>
  </si>
  <si>
    <t>SOVEREIGN HILL</t>
  </si>
  <si>
    <t>WESTMERE</t>
  </si>
  <si>
    <t>YENDON</t>
  </si>
  <si>
    <t>WENDOUREE</t>
  </si>
  <si>
    <t>SEBASTOPOL</t>
  </si>
  <si>
    <t>BUNINYONG</t>
  </si>
  <si>
    <t>LINTON</t>
  </si>
  <si>
    <t>SKIPTON</t>
  </si>
  <si>
    <t>CRESWICK</t>
  </si>
  <si>
    <t>ULLINA</t>
  </si>
  <si>
    <t>CLUNES</t>
  </si>
  <si>
    <t>TALBOT</t>
  </si>
  <si>
    <t>TRAWALLA</t>
  </si>
  <si>
    <t>BUANGOR</t>
  </si>
  <si>
    <t>WARRAK</t>
  </si>
  <si>
    <t>TATYOON</t>
  </si>
  <si>
    <t>STAWELL</t>
  </si>
  <si>
    <t>POMONAL</t>
  </si>
  <si>
    <t>NAVARRE</t>
  </si>
  <si>
    <t>VASEY</t>
  </si>
  <si>
    <t>DIGGERS REST</t>
  </si>
  <si>
    <t>BULLA</t>
  </si>
  <si>
    <t>SUNBURY</t>
  </si>
  <si>
    <t>CLARKEFIELD</t>
  </si>
  <si>
    <t>RIDDELLS CREEK</t>
  </si>
  <si>
    <t>ROMSEY</t>
  </si>
  <si>
    <t>LANCEFIELD</t>
  </si>
  <si>
    <t>GISBORNE</t>
  </si>
  <si>
    <t>NEW GISBORNE</t>
  </si>
  <si>
    <t>MACEDON</t>
  </si>
  <si>
    <t>MOUNT MACEDON</t>
  </si>
  <si>
    <t>WOODEND</t>
  </si>
  <si>
    <t>TYLDEN</t>
  </si>
  <si>
    <t>MALMSBURY</t>
  </si>
  <si>
    <t>TARADALE</t>
  </si>
  <si>
    <t>SUTTON GRANGE</t>
  </si>
  <si>
    <t>CASTLEMAINE</t>
  </si>
  <si>
    <t>MUCKLEFORD</t>
  </si>
  <si>
    <t>TRENTHAM</t>
  </si>
  <si>
    <t>DAYLESFORD</t>
  </si>
  <si>
    <t>YANDOIT</t>
  </si>
  <si>
    <t>CARISBROOK</t>
  </si>
  <si>
    <t>WAREEK</t>
  </si>
  <si>
    <t>AVOCA</t>
  </si>
  <si>
    <t>MOUNT LONARCH</t>
  </si>
  <si>
    <t>ELMHURST</t>
  </si>
  <si>
    <t>NICHOLS POINT</t>
  </si>
  <si>
    <t>PYALONG</t>
  </si>
  <si>
    <t>TOOBORAC</t>
  </si>
  <si>
    <t>STRATH CREEK</t>
  </si>
  <si>
    <t>TALLAROOK</t>
  </si>
  <si>
    <t>TRAWOOL</t>
  </si>
  <si>
    <t>THORNTON</t>
  </si>
  <si>
    <t>EILDON</t>
  </si>
  <si>
    <t>TAGGERTY</t>
  </si>
  <si>
    <t>YEA</t>
  </si>
  <si>
    <t>MOLESWORTH</t>
  </si>
  <si>
    <t>YARCK</t>
  </si>
  <si>
    <t>BONNIE DOON</t>
  </si>
  <si>
    <t>MIRIMBAH</t>
  </si>
  <si>
    <t>WOLLERT</t>
  </si>
  <si>
    <t>SOUTH MORANG</t>
  </si>
  <si>
    <t>BEVERIDGE</t>
  </si>
  <si>
    <t>YAN YEAN SOUTH</t>
  </si>
  <si>
    <t>YAN YEAN</t>
  </si>
  <si>
    <t>WALLAN</t>
  </si>
  <si>
    <t>WHITTLESEA</t>
  </si>
  <si>
    <t>WANDONG</t>
  </si>
  <si>
    <t>PANTON HILL</t>
  </si>
  <si>
    <t>ST ANDREWS</t>
  </si>
  <si>
    <t>KINGLAKE</t>
  </si>
  <si>
    <t>KILMORE</t>
  </si>
  <si>
    <t>MONTROSE</t>
  </si>
  <si>
    <t>KALORAMA</t>
  </si>
  <si>
    <t>MOUNT DANDENONG</t>
  </si>
  <si>
    <t>GRUYERE</t>
  </si>
  <si>
    <t>YARRA GLEN</t>
  </si>
  <si>
    <t>TOOLANGI</t>
  </si>
  <si>
    <t>NARBETHONG</t>
  </si>
  <si>
    <t>MARYSVILLE</t>
  </si>
  <si>
    <t>COCKATOO</t>
  </si>
  <si>
    <t>MACCLESFIELD</t>
  </si>
  <si>
    <t>GEMBROOK</t>
  </si>
  <si>
    <t>FERNY CREEK</t>
  </si>
  <si>
    <t>OLINDA</t>
  </si>
  <si>
    <t>SHERBROOKE</t>
  </si>
  <si>
    <t>KALLISTA</t>
  </si>
  <si>
    <t>MONBULK</t>
  </si>
  <si>
    <t>SILVAN</t>
  </si>
  <si>
    <t>MOUNT EVELYN</t>
  </si>
  <si>
    <t>YARRA JUNCTION</t>
  </si>
  <si>
    <t>WESBURN</t>
  </si>
  <si>
    <t>ENDEAVOUR HILLS</t>
  </si>
  <si>
    <t>BEACONSFIELD UPPER</t>
  </si>
  <si>
    <t>ROKEBY</t>
  </si>
  <si>
    <t>NOOJEE</t>
  </si>
  <si>
    <t>VALENCIA CREEK</t>
  </si>
  <si>
    <t>STRATFORD</t>
  </si>
  <si>
    <t>LINDENOW</t>
  </si>
  <si>
    <t>WY YUNG</t>
  </si>
  <si>
    <t>RAYMOND ISLAND</t>
  </si>
  <si>
    <t>NICHOLSON</t>
  </si>
  <si>
    <t>WULGULMERANG</t>
  </si>
  <si>
    <t>NEWMERELLA</t>
  </si>
  <si>
    <t>WAIREWA</t>
  </si>
  <si>
    <t>TUBBUT</t>
  </si>
  <si>
    <t>SYDENHAM INLET</t>
  </si>
  <si>
    <t>NOORINBEE</t>
  </si>
  <si>
    <t>GIPSY POINT</t>
  </si>
  <si>
    <t>MALLACOOTA</t>
  </si>
  <si>
    <t>TAMBO CROSSING</t>
  </si>
  <si>
    <t>ENSAY</t>
  </si>
  <si>
    <t>SWIFTS CREEK</t>
  </si>
  <si>
    <t>OMEO</t>
  </si>
  <si>
    <t>JOHNSONVILLE</t>
  </si>
  <si>
    <t>METUNG</t>
  </si>
  <si>
    <t>LAKES ENTRANCE</t>
  </si>
  <si>
    <t>COONAWARRA</t>
  </si>
  <si>
    <t>ROBE</t>
  </si>
  <si>
    <t>TARPEENA</t>
  </si>
  <si>
    <t>KALANGADOO</t>
  </si>
  <si>
    <t>TRIHI</t>
  </si>
  <si>
    <t>TANTANOOLA</t>
  </si>
  <si>
    <t>MOUNT GAMBIER</t>
  </si>
  <si>
    <t>YAHL</t>
  </si>
  <si>
    <t>KEYSBOROUGH</t>
  </si>
  <si>
    <t>DOVETON</t>
  </si>
  <si>
    <t>PARKDALE</t>
  </si>
  <si>
    <t>EDITHVALE</t>
  </si>
  <si>
    <t>PATTERSON LAKES</t>
  </si>
  <si>
    <t>SEAFORD</t>
  </si>
  <si>
    <t>FRANKSTON</t>
  </si>
  <si>
    <t>FRANKSTON NORTH</t>
  </si>
  <si>
    <t>CARRUM DOWNS</t>
  </si>
  <si>
    <t>NORTH SHORE</t>
  </si>
  <si>
    <t>NORTH GEELONG</t>
  </si>
  <si>
    <t>WAURN PONDS</t>
  </si>
  <si>
    <t>DEAKIN UNIVERSITY</t>
  </si>
  <si>
    <t>MANIFOLD HEIGHTS</t>
  </si>
  <si>
    <t>WHITTINGTON</t>
  </si>
  <si>
    <t>GEELONG</t>
  </si>
  <si>
    <t>WYE RIVER</t>
  </si>
  <si>
    <t>MARCUS HILL</t>
  </si>
  <si>
    <t>ST LEONARDS</t>
  </si>
  <si>
    <t>LEOPOLD</t>
  </si>
  <si>
    <t>OCEAN GROVE</t>
  </si>
  <si>
    <t>CONNEWARRE</t>
  </si>
  <si>
    <t>TORQUAY</t>
  </si>
  <si>
    <t>ANGLESEA</t>
  </si>
  <si>
    <t>SKENES CREEK</t>
  </si>
  <si>
    <t>DEANS MARSH</t>
  </si>
  <si>
    <t>FORREST</t>
  </si>
  <si>
    <t>GELLIBRAND LOWER</t>
  </si>
  <si>
    <t>KENNEDYS CREEK</t>
  </si>
  <si>
    <t>MOUNT MORIAC</t>
  </si>
  <si>
    <t>WURDIBOLUC</t>
  </si>
  <si>
    <t>BIRREGURRA</t>
  </si>
  <si>
    <t>WARNCOORT</t>
  </si>
  <si>
    <t>YEODENE</t>
  </si>
  <si>
    <t>ELLIMINYT</t>
  </si>
  <si>
    <t>WEERING</t>
  </si>
  <si>
    <t>COROROOKE</t>
  </si>
  <si>
    <t>STONYFORD</t>
  </si>
  <si>
    <t>TERANG</t>
  </si>
  <si>
    <t>THE SISTERS</t>
  </si>
  <si>
    <t>TIMBOON</t>
  </si>
  <si>
    <t>PRINCETOWN</t>
  </si>
  <si>
    <t>WOORNDOO</t>
  </si>
  <si>
    <t>HEXHAM</t>
  </si>
  <si>
    <t>NARINGAL</t>
  </si>
  <si>
    <t>WARRNAMBOOL</t>
  </si>
  <si>
    <t>MALONES</t>
  </si>
  <si>
    <t>PORT FAIRY</t>
  </si>
  <si>
    <t>YAMBUK</t>
  </si>
  <si>
    <t>MACARTHUR</t>
  </si>
  <si>
    <t>MINHAMITE</t>
  </si>
  <si>
    <t>NELSON</t>
  </si>
  <si>
    <t>INVERLEIGH</t>
  </si>
  <si>
    <t>CRESSY</t>
  </si>
  <si>
    <t>TEESDALE</t>
  </si>
  <si>
    <t>HALLAM</t>
  </si>
  <si>
    <t>NARRE WARREN NORTH</t>
  </si>
  <si>
    <t>NARRE WARREN</t>
  </si>
  <si>
    <t>HARKAWAY</t>
  </si>
  <si>
    <t>GUYS HILL</t>
  </si>
  <si>
    <t>OFFICER</t>
  </si>
  <si>
    <t>PAKENHAM UPPER</t>
  </si>
  <si>
    <t>NAR NAR GOON</t>
  </si>
  <si>
    <t>TYNONG</t>
  </si>
  <si>
    <t>VERVALE</t>
  </si>
  <si>
    <t>TONIMBUK</t>
  </si>
  <si>
    <t>MODELLA</t>
  </si>
  <si>
    <t>RIPPLEBROOK</t>
  </si>
  <si>
    <t>WARRAGUL</t>
  </si>
  <si>
    <t>DARNUM</t>
  </si>
  <si>
    <t>YARRAGON</t>
  </si>
  <si>
    <t>YULUNGAH</t>
  </si>
  <si>
    <t>YALLOURN NORTH</t>
  </si>
  <si>
    <t>NEERIM SOUTH</t>
  </si>
  <si>
    <t>THORPDALE</t>
  </si>
  <si>
    <t>MORWELL</t>
  </si>
  <si>
    <t>CHURCHILL</t>
  </si>
  <si>
    <t>WILLUNG SOUTH</t>
  </si>
  <si>
    <t>WILLUNG</t>
  </si>
  <si>
    <t>WURRUK</t>
  </si>
  <si>
    <t>GLENGARRY</t>
  </si>
  <si>
    <t>YINNAR</t>
  </si>
  <si>
    <t>MORWELL RIVER PRISON</t>
  </si>
  <si>
    <t>MIRBOO NORTH</t>
  </si>
  <si>
    <t>LANGWARRIN</t>
  </si>
  <si>
    <t>BAXTER</t>
  </si>
  <si>
    <t>SOMERVILLE</t>
  </si>
  <si>
    <t>TYABB</t>
  </si>
  <si>
    <t>TUERONG</t>
  </si>
  <si>
    <t>SHOREHAM</t>
  </si>
  <si>
    <t>BITTERN</t>
  </si>
  <si>
    <t>CRIB POINT</t>
  </si>
  <si>
    <t>HMAS CERBERUS</t>
  </si>
  <si>
    <t>TANKERTON</t>
  </si>
  <si>
    <t>COWES</t>
  </si>
  <si>
    <t>RHYLL</t>
  </si>
  <si>
    <t>MERRICKS NORTH</t>
  </si>
  <si>
    <t>SOMERS</t>
  </si>
  <si>
    <t>MAIN RIDGE</t>
  </si>
  <si>
    <t>FLINDERS</t>
  </si>
  <si>
    <t>MOUNT ELIZA</t>
  </si>
  <si>
    <t>MORNINGTON</t>
  </si>
  <si>
    <t>MOOROODUC</t>
  </si>
  <si>
    <t>MOUNT MARTHA</t>
  </si>
  <si>
    <t>SAFETY BEACH</t>
  </si>
  <si>
    <t>RED HILL SOUTH</t>
  </si>
  <si>
    <t>MCCRAE</t>
  </si>
  <si>
    <t>ROSEBUD</t>
  </si>
  <si>
    <t>ROSEBUD WEST</t>
  </si>
  <si>
    <t>TOOTGAROOK</t>
  </si>
  <si>
    <t>BLAIRGOWRIE</t>
  </si>
  <si>
    <t>SORRENTO</t>
  </si>
  <si>
    <t>PORTSEA</t>
  </si>
  <si>
    <t>WOODLEIGH</t>
  </si>
  <si>
    <t>KORUMBURRA</t>
  </si>
  <si>
    <t>OUTTRIM</t>
  </si>
  <si>
    <t>NERRENA</t>
  </si>
  <si>
    <t>WALKERVILLE SOUTH</t>
  </si>
  <si>
    <t>STONY CREEK</t>
  </si>
  <si>
    <t>WARATAH BAY</t>
  </si>
  <si>
    <t>YANAKIE</t>
  </si>
  <si>
    <t>TOORA</t>
  </si>
  <si>
    <t>PORT WELSHPOOL</t>
  </si>
  <si>
    <t>YARRAM</t>
  </si>
  <si>
    <t>HAMPTON PARK</t>
  </si>
  <si>
    <t>TOORADIN NORTH</t>
  </si>
  <si>
    <t>CLYDE</t>
  </si>
  <si>
    <t>KERNOT</t>
  </si>
  <si>
    <t>WARNEET</t>
  </si>
  <si>
    <t>YANNATHAN</t>
  </si>
  <si>
    <t>THE GURDIES</t>
  </si>
  <si>
    <t>NYORA</t>
  </si>
  <si>
    <t>POOWONG</t>
  </si>
  <si>
    <t>BASS</t>
  </si>
  <si>
    <t>DALYSTON</t>
  </si>
  <si>
    <t>WOOLAMAI</t>
  </si>
  <si>
    <t>INVERLOCH</t>
  </si>
  <si>
    <t>WHITEMARK</t>
  </si>
  <si>
    <t>TAS</t>
  </si>
  <si>
    <t>RADIOACTIVE HILLS TAS</t>
  </si>
  <si>
    <t>KING ISLAND</t>
  </si>
  <si>
    <t>CAPE BARREN ISLAND</t>
  </si>
  <si>
    <t>WATERHOUSE</t>
  </si>
  <si>
    <t>WELDBOROUGH</t>
  </si>
  <si>
    <t>YOLLA</t>
  </si>
  <si>
    <t>WOOLNORTH</t>
  </si>
  <si>
    <t>STANLEY</t>
  </si>
  <si>
    <t>LAKE LEAKE</t>
  </si>
  <si>
    <t>EPPING FOREST</t>
  </si>
  <si>
    <t>WESTERN JUNCTION</t>
  </si>
  <si>
    <t>STORYS CREEK</t>
  </si>
  <si>
    <t>UPPER ESK</t>
  </si>
  <si>
    <t>STIEGLITZ</t>
  </si>
  <si>
    <t>ROCHERLEA</t>
  </si>
  <si>
    <t>YOUNGTOWN</t>
  </si>
  <si>
    <t>WINDMILL HILL</t>
  </si>
  <si>
    <t>WEYMOUTH</t>
  </si>
  <si>
    <t>PIPE CLAY BAY</t>
  </si>
  <si>
    <t>WYENA</t>
  </si>
  <si>
    <t>TAYENE</t>
  </si>
  <si>
    <t>TULENDEENA</t>
  </si>
  <si>
    <t>BRANXHOLM</t>
  </si>
  <si>
    <t>RINGAROOMA</t>
  </si>
  <si>
    <t>WINNALEAH</t>
  </si>
  <si>
    <t>TURNERS MARSH</t>
  </si>
  <si>
    <t>SIDMOUTH</t>
  </si>
  <si>
    <t>WINKLEIGH</t>
  </si>
  <si>
    <t>GRAVELLY BEACH</t>
  </si>
  <si>
    <t>ROSEVEARS</t>
  </si>
  <si>
    <t>HADSPEN</t>
  </si>
  <si>
    <t>CARRICK</t>
  </si>
  <si>
    <t>WESTWOOD</t>
  </si>
  <si>
    <t>POWRANNA</t>
  </si>
  <si>
    <t>TOIBERRY</t>
  </si>
  <si>
    <t>POATINA</t>
  </si>
  <si>
    <t>WHITEMORE</t>
  </si>
  <si>
    <t>WESTERN CREEK</t>
  </si>
  <si>
    <t>SUNNYSIDE</t>
  </si>
  <si>
    <t>STOODLEY</t>
  </si>
  <si>
    <t>WESLEY VALE</t>
  </si>
  <si>
    <t>WILMOT</t>
  </si>
  <si>
    <t>WARRINGA</t>
  </si>
  <si>
    <t>WEST PINE</t>
  </si>
  <si>
    <t>WIVENHOE</t>
  </si>
  <si>
    <t>WARATAH</t>
  </si>
  <si>
    <t>SOMERSET</t>
  </si>
  <si>
    <t>ZEEHAN</t>
  </si>
  <si>
    <t>WEST HOBART</t>
  </si>
  <si>
    <t>SOUTH HOBART</t>
  </si>
  <si>
    <t>UNIVERSITY OF TASMANIA</t>
  </si>
  <si>
    <t>MOUNT NELSON</t>
  </si>
  <si>
    <t>NEW TOWN</t>
  </si>
  <si>
    <t>MOONAH</t>
  </si>
  <si>
    <t>ROSETTA</t>
  </si>
  <si>
    <t>CLAREMONT</t>
  </si>
  <si>
    <t>GLENLUSK</t>
  </si>
  <si>
    <t>RISDON VALE</t>
  </si>
  <si>
    <t>TEA TREE</t>
  </si>
  <si>
    <t>WARRANE</t>
  </si>
  <si>
    <t>SANDFORD</t>
  </si>
  <si>
    <t>LAUDERDALE</t>
  </si>
  <si>
    <t>OPOSSUM BAY</t>
  </si>
  <si>
    <t>REKUNA</t>
  </si>
  <si>
    <t>ELDON</t>
  </si>
  <si>
    <t>WIHAREJA</t>
  </si>
  <si>
    <t>MARANOA HEIGHTS</t>
  </si>
  <si>
    <t>TAROONA</t>
  </si>
  <si>
    <t>TINDERBOX</t>
  </si>
  <si>
    <t>YORK PLAINS</t>
  </si>
  <si>
    <t>STRATHGORDON</t>
  </si>
  <si>
    <t>WESTERWAY</t>
  </si>
  <si>
    <t>SEVEN MILE BEACH</t>
  </si>
  <si>
    <t>SHARK POINT</t>
  </si>
  <si>
    <t>WATTLE HILL</t>
  </si>
  <si>
    <t>PRIMROSE SANDS</t>
  </si>
  <si>
    <t>MARION BAY</t>
  </si>
  <si>
    <t>DUNALLEY</t>
  </si>
  <si>
    <t>TRIABUNNA</t>
  </si>
  <si>
    <t>ROSS</t>
  </si>
  <si>
    <t>QUEENSTOWN</t>
  </si>
  <si>
    <t>STRAHAN</t>
  </si>
  <si>
    <t>PORT DAVEY</t>
  </si>
  <si>
    <t>SOUTH ARM</t>
  </si>
  <si>
    <t>BLACKMANS BAY</t>
  </si>
  <si>
    <t>VERONA SANDS</t>
  </si>
  <si>
    <t>FRANKLIN</t>
  </si>
  <si>
    <t>SURGES BAY</t>
  </si>
  <si>
    <t>DOVER</t>
  </si>
  <si>
    <t>UPPER WOODSTOCK</t>
  </si>
  <si>
    <t>KETTERING</t>
  </si>
  <si>
    <t>MIDDLETON</t>
  </si>
  <si>
    <t>EAGLEHAWK NECK</t>
  </si>
  <si>
    <t>TARANNA</t>
  </si>
  <si>
    <t>STEWARTS BAY</t>
  </si>
  <si>
    <t>HIGHCROFT</t>
  </si>
  <si>
    <t>STORMLEA</t>
  </si>
  <si>
    <t>KOONYA</t>
  </si>
  <si>
    <t>SolarScaleFactor</t>
  </si>
  <si>
    <t>ScaledSolar</t>
  </si>
  <si>
    <t>Recommended Inverter</t>
  </si>
  <si>
    <t>ecoCool Pty Ltd</t>
  </si>
  <si>
    <t>Array 1 Calculations</t>
  </si>
  <si>
    <t>For Peak Sun Hours (PSH) for your location, to go http://www.bom.gov.au/climate/data/</t>
  </si>
  <si>
    <t>Get: Daily global solar exposure, in KWH m-2 (Use "mean" for all years)</t>
  </si>
  <si>
    <t>For Min/Max, see http://www.bom.gov.au/climate/data/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</si>
  <si>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</si>
  <si>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</si>
  <si>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</si>
  <si>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</si>
  <si>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</si>
  <si>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</si>
  <si>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</si>
  <si>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</si>
  <si>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</si>
  <si>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</si>
  <si>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</si>
  <si>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</si>
  <si>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Ave</t>
  </si>
  <si>
    <t>(See disclaimer)</t>
  </si>
  <si>
    <t>Rev 0</t>
  </si>
  <si>
    <t>Element</t>
  </si>
  <si>
    <t>Value</t>
  </si>
  <si>
    <t>Units</t>
  </si>
  <si>
    <t>Units info</t>
  </si>
  <si>
    <t>Comments</t>
  </si>
  <si>
    <t>MaxAveT</t>
  </si>
  <si>
    <t>Array2</t>
  </si>
  <si>
    <t>Array size selected:</t>
  </si>
  <si>
    <t>MinAveT</t>
  </si>
  <si>
    <t>Solar</t>
  </si>
  <si>
    <t>Number of Solar Panels</t>
  </si>
  <si>
    <t>Per AS5033: 2014</t>
  </si>
  <si>
    <t>Revision:</t>
  </si>
  <si>
    <t>Orig</t>
  </si>
  <si>
    <t>Part #</t>
  </si>
  <si>
    <t>Installation Details</t>
  </si>
  <si>
    <t>Option 1</t>
  </si>
  <si>
    <t>Maximum Power at STC (Pmax)</t>
  </si>
  <si>
    <t>W</t>
  </si>
  <si>
    <t>Azimuth</t>
  </si>
  <si>
    <t>Optimum Operating Voltage (Vmp)</t>
  </si>
  <si>
    <t>V dc</t>
  </si>
  <si>
    <t>Tilt</t>
  </si>
  <si>
    <t>Optimum Operating Current (Imp)</t>
  </si>
  <si>
    <t>System Size</t>
  </si>
  <si>
    <t>Open Circuit Voltage VOC</t>
  </si>
  <si>
    <t>Panels</t>
  </si>
  <si>
    <t>Short Circuit Current (Isc)</t>
  </si>
  <si>
    <t>Module Efficiency</t>
  </si>
  <si>
    <t>%</t>
  </si>
  <si>
    <t>Efficiency derating</t>
  </si>
  <si>
    <t>Craig Myatt</t>
  </si>
  <si>
    <t>Maximum Series Fuse Rating</t>
  </si>
  <si>
    <t>Imodmax ocpr</t>
  </si>
  <si>
    <t>AS5033-2014 1.4</t>
  </si>
  <si>
    <t>Soiling derated %age</t>
  </si>
  <si>
    <t>Power Tolerance</t>
  </si>
  <si>
    <t>W +/-</t>
  </si>
  <si>
    <t>Temperature derating</t>
  </si>
  <si>
    <t>www.ecocool.com.au</t>
  </si>
  <si>
    <t>Temperature Coefficient of Voc</t>
  </si>
  <si>
    <t>%/°C</t>
  </si>
  <si>
    <t>y</t>
  </si>
  <si>
    <t>Battery Size</t>
  </si>
  <si>
    <t>KWh</t>
  </si>
  <si>
    <t>info@ecocool.com.au</t>
  </si>
  <si>
    <t>Temperature Coefficient of Pmax</t>
  </si>
  <si>
    <t>Test Temp @ STC</t>
  </si>
  <si>
    <t>DegC</t>
  </si>
  <si>
    <t>mm</t>
  </si>
  <si>
    <t>Location Multiplier</t>
  </si>
  <si>
    <t>Loc. Mult:</t>
  </si>
  <si>
    <t>Estimated Performance</t>
  </si>
  <si>
    <t>Thickness</t>
  </si>
  <si>
    <t>kg</t>
  </si>
  <si>
    <t>Estimated Daily KWh production</t>
  </si>
  <si>
    <t>Number of Panels/String</t>
  </si>
  <si>
    <t>Percentage of full sun</t>
  </si>
  <si>
    <t>Number of Strings</t>
  </si>
  <si>
    <t>Array1</t>
  </si>
  <si>
    <t>Est Daily KWh production, shading+derating</t>
  </si>
  <si>
    <t>Spring Max Temp</t>
  </si>
  <si>
    <t>Array 1+2</t>
  </si>
  <si>
    <t>Winter Min. Temp</t>
  </si>
  <si>
    <t>Solar Tables lookups</t>
  </si>
  <si>
    <t>String VOC</t>
  </si>
  <si>
    <t>KWh/Mon</t>
  </si>
  <si>
    <t>Current Bill / month</t>
  </si>
  <si>
    <t>PV Array Max. Volts</t>
  </si>
  <si>
    <t>Voc+y(Tmin-Tstc)M</t>
  </si>
  <si>
    <t>AS5033-2014  4.2</t>
  </si>
  <si>
    <t>Total Daily usage (KWh)</t>
  </si>
  <si>
    <t>Location-Main</t>
  </si>
  <si>
    <t>Array Power</t>
  </si>
  <si>
    <t>Average Usage during Day (KWh)</t>
  </si>
  <si>
    <t>City1</t>
  </si>
  <si>
    <t>String O/Current Protection?</t>
  </si>
  <si>
    <t>Yes/No</t>
  </si>
  <si>
    <t>((Sa-1)xIscmod) &gt; Imodmax ocpr</t>
  </si>
  <si>
    <t>AS5033-2014 3.3.4</t>
  </si>
  <si>
    <t>KWh/day</t>
  </si>
  <si>
    <t>Average Usage during night (KWh)</t>
  </si>
  <si>
    <t>City2</t>
  </si>
  <si>
    <t>String Fuse Min</t>
  </si>
  <si>
    <t>In &gt; 1.5 x Isc mod</t>
  </si>
  <si>
    <t>AS5033-2014 3.3.5</t>
  </si>
  <si>
    <t>Daily charge</t>
  </si>
  <si>
    <t>String Fuse Max</t>
  </si>
  <si>
    <t>In &lt; 2.4 x Isc mod</t>
  </si>
  <si>
    <t>FIT rate</t>
  </si>
  <si>
    <t>Solar Index</t>
  </si>
  <si>
    <t>Fuse Size</t>
  </si>
  <si>
    <t>MCB 350V min DC rated (Noark)</t>
  </si>
  <si>
    <t>Night</t>
  </si>
  <si>
    <t>$ per KWh rate/s DAY</t>
  </si>
  <si>
    <t>Solar Controller</t>
  </si>
  <si>
    <t>#</t>
  </si>
  <si>
    <t>$ per KWh rate/s NIGHT</t>
  </si>
  <si>
    <t>Off Grid?</t>
  </si>
  <si>
    <t>Solar Controller Max</t>
  </si>
  <si>
    <t>(See VE-MPPT Calc Spreadsheet for calcs)</t>
  </si>
  <si>
    <t>Daily Cost of Power - without system</t>
  </si>
  <si>
    <t>Yes</t>
  </si>
  <si>
    <t>Location (from tables)</t>
  </si>
  <si>
    <t>%age from 1st Location, to second</t>
  </si>
  <si>
    <t>Daily Cost of Power - with system</t>
  </si>
  <si>
    <t>Battery?</t>
  </si>
  <si>
    <t>Min PSH for location</t>
  </si>
  <si>
    <t>Cannonvale, QLD</t>
  </si>
  <si>
    <t>Your Location, PSH data, AF23:AR34</t>
  </si>
  <si>
    <t>Daily Feed-in Ret</t>
  </si>
  <si>
    <t>Ave /mo</t>
  </si>
  <si>
    <t>Shading/Efficiency/Soiling</t>
  </si>
  <si>
    <t>Daily net $ (+pay -paid)</t>
  </si>
  <si>
    <t>Solar panel roof tilt from 0</t>
  </si>
  <si>
    <t>Monthly net $</t>
  </si>
  <si>
    <t>$pay</t>
  </si>
  <si>
    <t>Solar aspect (azimuth)</t>
  </si>
  <si>
    <t>Savings</t>
  </si>
  <si>
    <t>$Savings</t>
  </si>
  <si>
    <t>Payback period</t>
  </si>
  <si>
    <t>Years</t>
  </si>
  <si>
    <t>Battry Bank Size Selected:</t>
  </si>
  <si>
    <t>NPV of system</t>
  </si>
  <si>
    <t>12 yrs</t>
  </si>
  <si>
    <t>Battery</t>
  </si>
  <si>
    <t>Number of Batteries</t>
  </si>
  <si>
    <t>Per AS2676.2: 1992</t>
  </si>
  <si>
    <t>Int.rate</t>
  </si>
  <si>
    <t>Type</t>
  </si>
  <si>
    <t>total System price:</t>
  </si>
  <si>
    <t>Year from Installation &gt;&gt;&gt;&gt;</t>
  </si>
  <si>
    <t>days/mo</t>
  </si>
  <si>
    <t>Module AH (20hr)</t>
  </si>
  <si>
    <t>AH</t>
  </si>
  <si>
    <t>w/Batt</t>
  </si>
  <si>
    <t>Grid Use-night KWh (GR.N)</t>
  </si>
  <si>
    <t>Module Nominal Voltage</t>
  </si>
  <si>
    <t>Vdc</t>
  </si>
  <si>
    <t>Battery Discharge Night KWh (BD)</t>
  </si>
  <si>
    <t>Strings</t>
  </si>
  <si>
    <t>Battery Recharge Day KWh (BR)</t>
  </si>
  <si>
    <t>Modules/string</t>
  </si>
  <si>
    <t>Grid Use-day KWh (GR.D)</t>
  </si>
  <si>
    <t>Bank Nominal voltage</t>
  </si>
  <si>
    <t>Feed-In Day (FI) KWh</t>
  </si>
  <si>
    <t>Max. Voltage</t>
  </si>
  <si>
    <t>Add Grid-use night*</t>
  </si>
  <si>
    <t>Total KWh usage</t>
  </si>
  <si>
    <t>$ per KWh rate/s</t>
  </si>
  <si>
    <t>Max DOD</t>
  </si>
  <si>
    <t>DOD</t>
  </si>
  <si>
    <t>Grid use day w/o Batt later</t>
  </si>
  <si>
    <t>per day</t>
  </si>
  <si>
    <t>Nominal DOD</t>
  </si>
  <si>
    <t>Rate per KWh</t>
  </si>
  <si>
    <t>per KWh</t>
  </si>
  <si>
    <t>Bank Ah Capacity</t>
  </si>
  <si>
    <t>Ah</t>
  </si>
  <si>
    <t xml:space="preserve">Seniors discount: </t>
  </si>
  <si>
    <t>per yr</t>
  </si>
  <si>
    <t>Daily Feed-in Returned</t>
  </si>
  <si>
    <t>Module Nominal Capacity</t>
  </si>
  <si>
    <t>Days of Bill</t>
  </si>
  <si>
    <t>days</t>
  </si>
  <si>
    <t>Bank Full Capacity</t>
  </si>
  <si>
    <t>Usage charge</t>
  </si>
  <si>
    <t>Commercial Rates (energy Aus)</t>
  </si>
  <si>
    <t>Batt Effic.</t>
  </si>
  <si>
    <t>BankUsable Capacity</t>
  </si>
  <si>
    <t>Supply charge</t>
  </si>
  <si>
    <t>General discount</t>
  </si>
  <si>
    <t>Peak</t>
  </si>
  <si>
    <t>Nom. Output</t>
  </si>
  <si>
    <t>Discounted Daily usage rate</t>
  </si>
  <si>
    <t>Shoulder</t>
  </si>
  <si>
    <t>CN</t>
  </si>
  <si>
    <t>Peak. Output</t>
  </si>
  <si>
    <t>#1 Discount</t>
  </si>
  <si>
    <t>Commercial Daily usage rate</t>
  </si>
  <si>
    <t>Off-peak</t>
  </si>
  <si>
    <t>15sec</t>
  </si>
  <si>
    <t>Day Rate KWh (pro rataed)</t>
  </si>
  <si>
    <t>Life Cycles</t>
  </si>
  <si>
    <t>Cycles</t>
  </si>
  <si>
    <t>@25degC</t>
  </si>
  <si>
    <t>Night Rate KWh (pro rataed)</t>
  </si>
  <si>
    <t>LD</t>
  </si>
  <si>
    <t>Loads-day</t>
  </si>
  <si>
    <t>7a-5pm</t>
  </si>
  <si>
    <t>End of life</t>
  </si>
  <si>
    <t>Peak KWh rate</t>
  </si>
  <si>
    <t>LN</t>
  </si>
  <si>
    <t>Loads-night</t>
  </si>
  <si>
    <t>5p-7am</t>
  </si>
  <si>
    <t>Battery String Fault Current</t>
  </si>
  <si>
    <t>AGM FC Factor</t>
  </si>
  <si>
    <t>Total Bill</t>
  </si>
  <si>
    <t>Shoulder KWh rate</t>
  </si>
  <si>
    <t>Battery Bank Fault Current</t>
  </si>
  <si>
    <t>Off-Peak KWh rate</t>
  </si>
  <si>
    <t>Min. Cable Size to fuse</t>
  </si>
  <si>
    <t>Target Max Voltage drop</t>
  </si>
  <si>
    <t>KWh $ - Day</t>
  </si>
  <si>
    <t>Distance of Wire Run</t>
  </si>
  <si>
    <t>m</t>
  </si>
  <si>
    <t>KWh $ - Night</t>
  </si>
  <si>
    <t>Peak Supply Current</t>
  </si>
  <si>
    <t>Energy Australia Commercial Rates, 2020</t>
  </si>
  <si>
    <t>(Pro-rataed, based on set day/nigth hours, see CalcsA sheet)</t>
  </si>
  <si>
    <t>Resistance</t>
  </si>
  <si>
    <t>Ohms</t>
  </si>
  <si>
    <t>Cost of power no system:</t>
  </si>
  <si>
    <t>Cable Area</t>
  </si>
  <si>
    <t>m2</t>
  </si>
  <si>
    <t>Voltage Drop-V</t>
  </si>
  <si>
    <t>V</t>
  </si>
  <si>
    <t>Voltage Drop-%</t>
  </si>
  <si>
    <t>Inverter Size Selected:</t>
  </si>
  <si>
    <t>KW</t>
  </si>
  <si>
    <t>Inverter</t>
  </si>
  <si>
    <t>Nominal Output</t>
  </si>
  <si>
    <t>VA</t>
  </si>
  <si>
    <t>See Datasheet</t>
  </si>
  <si>
    <t>PVC 90C</t>
  </si>
  <si>
    <t>Rubber 110C</t>
  </si>
  <si>
    <t>Nominal Voltage</t>
  </si>
  <si>
    <t xml:space="preserve">V </t>
  </si>
  <si>
    <t>Volts DC</t>
  </si>
  <si>
    <t>Current</t>
  </si>
  <si>
    <t>Wire Size</t>
  </si>
  <si>
    <t>Fault</t>
  </si>
  <si>
    <t>Auto Size</t>
  </si>
  <si>
    <t xml:space="preserve">OD </t>
  </si>
  <si>
    <t>(* From Chrisensen battery handout)</t>
  </si>
  <si>
    <t>Max. Output</t>
  </si>
  <si>
    <t>Maximum output, usually for short time</t>
  </si>
  <si>
    <t>Capacity A</t>
  </si>
  <si>
    <t>Fault A</t>
  </si>
  <si>
    <t>mm2</t>
  </si>
  <si>
    <t>WW Calculator (Bambach)</t>
  </si>
  <si>
    <t>Nominal output, sustainable over time.</t>
  </si>
  <si>
    <t>Efficiency</t>
  </si>
  <si>
    <t>0.96 = 95% efficient</t>
  </si>
  <si>
    <t>6B&amp;S</t>
  </si>
  <si>
    <t>*current carrying capacity (bundle x 3/conduit)</t>
  </si>
  <si>
    <t>Energy</t>
  </si>
  <si>
    <t>Occupancy cycle</t>
  </si>
  <si>
    <t>days/wk</t>
  </si>
  <si>
    <t>Per AS4509.2: 2010</t>
  </si>
  <si>
    <t>4B&amp;S</t>
  </si>
  <si>
    <t>8.3mm</t>
  </si>
  <si>
    <t>http://wirewizard.bambachcables.com.au/</t>
  </si>
  <si>
    <t>Estimated usage KWh/day</t>
  </si>
  <si>
    <r>
      <rPr>
        <i/>
        <sz val="11"/>
        <color theme="1"/>
        <rFont val="Calibri"/>
        <family val="2"/>
        <scheme val="minor"/>
      </rPr>
      <t>Nominal</t>
    </r>
    <r>
      <rPr>
        <sz val="11"/>
        <color theme="1"/>
        <rFont val="Calibri"/>
        <family val="2"/>
        <scheme val="minor"/>
      </rPr>
      <t xml:space="preserve"> power draw</t>
    </r>
  </si>
  <si>
    <t>3B&amp;S (26.45mm)</t>
  </si>
  <si>
    <t>25mm Current carrying cap = 124A, 75DegC single, 151A, 90DegC single</t>
  </si>
  <si>
    <t>Winter min</t>
  </si>
  <si>
    <t>Max KW</t>
  </si>
  <si>
    <t xml:space="preserve">KW </t>
  </si>
  <si>
    <t>Maximum Power draw, instantaneous</t>
  </si>
  <si>
    <t>1B&amp;S</t>
  </si>
  <si>
    <t>Min Solar - Winter</t>
  </si>
  <si>
    <t>PSH</t>
  </si>
  <si>
    <t>0B&amp;S (49mm)</t>
  </si>
  <si>
    <t>Max Solar - Summer</t>
  </si>
  <si>
    <t>Min Energy Production</t>
  </si>
  <si>
    <t>Panel fouling factor</t>
  </si>
  <si>
    <t>Max Energy Production</t>
  </si>
  <si>
    <t>3 days Energy Use</t>
  </si>
  <si>
    <t>(Note Special Design Separation, over 20KA)</t>
  </si>
  <si>
    <t xml:space="preserve">Days of 3day Battery capacity needed </t>
  </si>
  <si>
    <t>Gauge Guide</t>
  </si>
  <si>
    <t>Estimated usage KWh/day MIN.</t>
  </si>
  <si>
    <t>Nom Area mm2</t>
  </si>
  <si>
    <t>Nom O.D.mm</t>
  </si>
  <si>
    <t>Amp Rating</t>
  </si>
  <si>
    <t>Part # Prefix</t>
  </si>
  <si>
    <t>3 days Energy Use min.</t>
  </si>
  <si>
    <t>8 B&amp;S</t>
  </si>
  <si>
    <t>C8</t>
  </si>
  <si>
    <t>6 B&amp;S</t>
  </si>
  <si>
    <t>C6</t>
  </si>
  <si>
    <t>4 B&amp;S</t>
  </si>
  <si>
    <t>C4</t>
  </si>
  <si>
    <t>3 B&amp;S</t>
  </si>
  <si>
    <t>C3</t>
  </si>
  <si>
    <t>2 B&amp;S</t>
  </si>
  <si>
    <t>C2</t>
  </si>
  <si>
    <t>User Profiles</t>
  </si>
  <si>
    <t>1 B&amp;S</t>
  </si>
  <si>
    <t>C1</t>
  </si>
  <si>
    <t>0 B&amp;S</t>
  </si>
  <si>
    <t>C0</t>
  </si>
  <si>
    <t>Users:</t>
  </si>
  <si>
    <t>Profile</t>
  </si>
  <si>
    <t>KW.max</t>
  </si>
  <si>
    <t>2 PPl</t>
  </si>
  <si>
    <t>3 PPl</t>
  </si>
  <si>
    <t>4-5</t>
  </si>
  <si>
    <t>4-5 Ppl</t>
  </si>
  <si>
    <t>5+</t>
  </si>
  <si>
    <t>LargeUser</t>
  </si>
  <si>
    <t>High Use</t>
  </si>
  <si>
    <t>V.HighUser</t>
  </si>
  <si>
    <t>SpecifyLoads&gt;&gt;</t>
  </si>
  <si>
    <t>Loads.Sheet</t>
  </si>
  <si>
    <t>PERC</t>
  </si>
  <si>
    <t>Mono</t>
  </si>
  <si>
    <t>P3-410-COM-1500</t>
  </si>
  <si>
    <t>sRP-400-BMA-HV</t>
  </si>
  <si>
    <t>Seraphim</t>
  </si>
  <si>
    <t>Seraphim 3300W Mono PERC</t>
  </si>
  <si>
    <t>Seraphim 400W Mono PERC</t>
  </si>
  <si>
    <t>TSM-510-DE18M</t>
  </si>
  <si>
    <t>TSM-DE09.08</t>
  </si>
  <si>
    <t>TSM-DE09.08R</t>
  </si>
  <si>
    <t>42.8 V</t>
  </si>
  <si>
    <t xml:space="preserve">TSM-DE18M(II) </t>
  </si>
  <si>
    <t>Trina 500W</t>
  </si>
  <si>
    <t>TSM-DE09R.08</t>
  </si>
  <si>
    <t>Wgt kg</t>
  </si>
  <si>
    <t>Width.mm</t>
  </si>
  <si>
    <t>Type2</t>
  </si>
  <si>
    <t>Pmax temp coeff</t>
  </si>
  <si>
    <t>V temp coeff</t>
  </si>
  <si>
    <t>Pwr +/-.W</t>
  </si>
  <si>
    <t>Fuse A</t>
  </si>
  <si>
    <t>Effic. %</t>
  </si>
  <si>
    <t>Isc A</t>
  </si>
  <si>
    <t>Voc V</t>
  </si>
  <si>
    <t>Impp A</t>
  </si>
  <si>
    <t>Vmpp V</t>
  </si>
  <si>
    <t>Power W</t>
  </si>
  <si>
    <t>Part#</t>
  </si>
  <si>
    <t>Manuf'r</t>
  </si>
  <si>
    <t>Solar_Panels</t>
  </si>
  <si>
    <t>M8</t>
  </si>
  <si>
    <t>BYD 5.0 Flex</t>
  </si>
  <si>
    <t xml:space="preserve">Fusion 2V AGM 700Ah </t>
  </si>
  <si>
    <t>M10</t>
  </si>
  <si>
    <t>GNB 1200Ah Gel</t>
  </si>
  <si>
    <t>Surlok</t>
  </si>
  <si>
    <t>Powerplus LiFe 3.3KWh Lithium</t>
  </si>
  <si>
    <t>Powerplus eco 4.0KWh Lithium</t>
  </si>
  <si>
    <t>Carbon.AGM</t>
  </si>
  <si>
    <t>Anderson</t>
  </si>
  <si>
    <t>GenZ 3KWh Lithium Module</t>
  </si>
  <si>
    <t>Powerhouse Lead-Carbon 200Ah</t>
  </si>
  <si>
    <t>M6</t>
  </si>
  <si>
    <t>Powerhouse Lead-Carbon 120Ah</t>
  </si>
  <si>
    <t xml:space="preserve">Fiamm Tubular Gel  860Ah </t>
  </si>
  <si>
    <t>GNB 676Ah Gel</t>
  </si>
  <si>
    <t>Victron AGM Supercycle 230Ah</t>
  </si>
  <si>
    <t>Victron AGM Supercycle 170Ah</t>
  </si>
  <si>
    <t>Victron Lead Carbon 160Ah</t>
  </si>
  <si>
    <t>Victron AGM Supercycle 100Ah</t>
  </si>
  <si>
    <t>M5</t>
  </si>
  <si>
    <t>Victron AGM Supercycle 60Ah</t>
  </si>
  <si>
    <t>Chemistry</t>
  </si>
  <si>
    <t>Max C</t>
  </si>
  <si>
    <t>Nom C</t>
  </si>
  <si>
    <t>Max V</t>
  </si>
  <si>
    <t>Cycles @100%</t>
  </si>
  <si>
    <t>Cycles @50%</t>
  </si>
  <si>
    <t>Cycles @30%</t>
  </si>
  <si>
    <t>Terminals</t>
  </si>
  <si>
    <t>Ah C10</t>
  </si>
  <si>
    <t>Ah C5</t>
  </si>
  <si>
    <t>Ah C20</t>
  </si>
  <si>
    <t>Voltage</t>
  </si>
  <si>
    <t>Battery_Modules</t>
  </si>
  <si>
    <t>Sunny Island 8.0H</t>
  </si>
  <si>
    <t>No</t>
  </si>
  <si>
    <t>Quattro 48/15000/110</t>
  </si>
  <si>
    <t>Quattro 48/8000/100</t>
  </si>
  <si>
    <t>MultiplusII 48/5000/70 x 3</t>
  </si>
  <si>
    <t>MultiplusII 48/3000/35 x 3</t>
  </si>
  <si>
    <t>Selectronic SP Pro 7.5KW</t>
  </si>
  <si>
    <t>MultiplusII 48/10000/100</t>
  </si>
  <si>
    <t>MultiplusII 48/8000/100</t>
  </si>
  <si>
    <t>MultiplusII 48/3000/35 x 2</t>
  </si>
  <si>
    <t>MultiplusII 48/5000/70</t>
  </si>
  <si>
    <t>MultiplusII 48/3000/35</t>
  </si>
  <si>
    <t>Qty</t>
  </si>
  <si>
    <t>Wt kg</t>
  </si>
  <si>
    <t>Depth</t>
  </si>
  <si>
    <t>Grid Rdy</t>
  </si>
  <si>
    <t>Rem On</t>
  </si>
  <si>
    <t>Search W</t>
  </si>
  <si>
    <t>AES W</t>
  </si>
  <si>
    <t>Z.Load.W</t>
  </si>
  <si>
    <t>Max Inp A</t>
  </si>
  <si>
    <t>Chrg A</t>
  </si>
  <si>
    <t>Pmax KW</t>
  </si>
  <si>
    <t>Power KW</t>
  </si>
  <si>
    <t>Power KVA</t>
  </si>
  <si>
    <t>Inverter_Chargers</t>
  </si>
  <si>
    <t>Fronius Symo 5KW Inverter</t>
  </si>
  <si>
    <t>SmartSolar MPPT 450/100 Tr</t>
  </si>
  <si>
    <t>SmartSolar MPPT 450/200 Tr</t>
  </si>
  <si>
    <t>Fronius Primo 6KW Inverter</t>
  </si>
  <si>
    <t>Fronius Primo 5KW Inverter</t>
  </si>
  <si>
    <t>SmartSolar MPPT 250/100 Tr/Tr VE.Can/MC4</t>
  </si>
  <si>
    <t>SmartSolar MPPT 250/85 Tr/MC4</t>
  </si>
  <si>
    <t>SmartSolar MPPT 250/70 Tr/Tr VE.Can/MC4</t>
  </si>
  <si>
    <t>SmartSolar MPPT 250/60 Tr/MC4</t>
  </si>
  <si>
    <t>SmartSolar MPPT 150/100 Tr/Tr VE.Can/MC4</t>
  </si>
  <si>
    <t>SmartSolar MPPT 150/85 Tr/MC4</t>
  </si>
  <si>
    <t>Blue-/ SmartSolar MPPT 150/70 Tr/Tr VE.Can/MC4</t>
  </si>
  <si>
    <t>Blue-/ SmartSolar MPPT 150/60 Tr/MC4</t>
  </si>
  <si>
    <t>Blue-/ SmartSolar MPPT 150/45 Tr/MC4</t>
  </si>
  <si>
    <t>Blue-/ SmartSolar MPPT 150/35</t>
  </si>
  <si>
    <t>N.A.</t>
  </si>
  <si>
    <t>Blue-/ SmartSolar MPPT 100/50</t>
  </si>
  <si>
    <t>Blue-/ SmartSolar MPPT 100/30</t>
  </si>
  <si>
    <t>Smart Solar MPPT 100/20 48V</t>
  </si>
  <si>
    <t>Smart Solar MPPT 100/20</t>
  </si>
  <si>
    <t>Blue-/ SmartSolar MPPT 100/15</t>
  </si>
  <si>
    <t>Blue-/ SmartSolar MPPT 75/15</t>
  </si>
  <si>
    <t>Blue-/ SmartSolar MPPT 75/10</t>
  </si>
  <si>
    <t>Efficiency@48</t>
  </si>
  <si>
    <t>Efficiency@36</t>
  </si>
  <si>
    <t>Efficiency@24</t>
  </si>
  <si>
    <t>Efficiency@12</t>
  </si>
  <si>
    <t>Ibat max</t>
  </si>
  <si>
    <t>PV max</t>
  </si>
  <si>
    <t>System Voltage</t>
  </si>
  <si>
    <t>Vmpp min</t>
  </si>
  <si>
    <t>Voc min</t>
  </si>
  <si>
    <t>Voc max</t>
  </si>
  <si>
    <t>Pwr @ 48V</t>
  </si>
  <si>
    <t>Pwr @ 36V</t>
  </si>
  <si>
    <t>Pwr @ 24V</t>
  </si>
  <si>
    <t>Pmax Output</t>
  </si>
  <si>
    <t>Solar_Controllers</t>
  </si>
  <si>
    <t>System Parameters</t>
  </si>
  <si>
    <t>Rev A</t>
  </si>
  <si>
    <t>EC114</t>
  </si>
  <si>
    <t>Lindeman island</t>
  </si>
  <si>
    <t xml:space="preserve">Nearest City: </t>
  </si>
  <si>
    <t>Brisbane</t>
  </si>
  <si>
    <t xml:space="preserve">  Nearest Major city</t>
  </si>
  <si>
    <t>Total Solar KW:</t>
  </si>
  <si>
    <t xml:space="preserve">Solar Array 1, 2 KW: </t>
  </si>
  <si>
    <r>
      <rPr>
        <i/>
        <sz val="11"/>
        <color theme="1" tint="0.499984740745262"/>
        <rFont val="Calibri"/>
        <family val="2"/>
        <scheme val="minor"/>
      </rPr>
      <t xml:space="preserve">  KW   </t>
    </r>
    <r>
      <rPr>
        <i/>
        <sz val="10"/>
        <color theme="1" tint="0.499984740745262"/>
        <rFont val="Calibri"/>
        <family val="2"/>
        <scheme val="minor"/>
      </rPr>
      <t>What size solar arrays?</t>
    </r>
  </si>
  <si>
    <t xml:space="preserve">Array Orientation deg° (Nrth=0)         </t>
  </si>
  <si>
    <r>
      <t xml:space="preserve">          Roof Tilt Angle deg</t>
    </r>
    <r>
      <rPr>
        <sz val="10"/>
        <color theme="1" tint="0.499984740745262"/>
        <rFont val="Calibri"/>
        <family val="2"/>
      </rPr>
      <t>°</t>
    </r>
    <r>
      <rPr>
        <i/>
        <sz val="10"/>
        <color theme="1" tint="0.499984740745262"/>
        <rFont val="Calibri"/>
        <family val="2"/>
      </rPr>
      <t xml:space="preserve"> </t>
    </r>
    <r>
      <rPr>
        <i/>
        <sz val="8"/>
        <color theme="1" tint="0.499984740745262"/>
        <rFont val="Calibri"/>
        <family val="2"/>
        <scheme val="minor"/>
      </rPr>
      <t>(from Horizontal)</t>
    </r>
  </si>
  <si>
    <t>People in Household:</t>
  </si>
  <si>
    <r>
      <t xml:space="preserve">people  </t>
    </r>
    <r>
      <rPr>
        <i/>
        <sz val="10"/>
        <color theme="1"/>
        <rFont val="Calibri"/>
        <family val="2"/>
        <scheme val="minor"/>
      </rPr>
      <t>OR</t>
    </r>
  </si>
  <si>
    <t xml:space="preserve">       Enter your Loads &gt;&gt;</t>
  </si>
  <si>
    <t>Planned power use per day:</t>
  </si>
  <si>
    <t xml:space="preserve">       From Load Calcs &gt;&gt;</t>
  </si>
  <si>
    <t>Flexibility to reduce Power use:</t>
  </si>
  <si>
    <t xml:space="preserve">          %</t>
  </si>
  <si>
    <t>%age you could reduce power use if needed</t>
  </si>
  <si>
    <t>F</t>
  </si>
  <si>
    <t>Nom. Inverter Output Power needed:</t>
  </si>
  <si>
    <t>Instantaneous power needed, for a appliances.</t>
  </si>
  <si>
    <t>G</t>
  </si>
  <si>
    <t>Generator Size:</t>
  </si>
  <si>
    <t xml:space="preserve">          KVA</t>
  </si>
  <si>
    <t>Current or planned Generator</t>
  </si>
  <si>
    <t>H</t>
  </si>
  <si>
    <t>48V Battery size in mind:</t>
  </si>
  <si>
    <t xml:space="preserve">  KWh</t>
  </si>
  <si>
    <t>Optional, guide to battery size 1KWh=21Ah</t>
  </si>
  <si>
    <t>Month</t>
  </si>
  <si>
    <t>Solar/Loads</t>
  </si>
  <si>
    <t>Ratio</t>
  </si>
  <si>
    <t>Row.Array1/Equip-Options_SolarArrays</t>
  </si>
  <si>
    <t>System Configuration</t>
  </si>
  <si>
    <t>Array Orientation / Roof Tilt</t>
  </si>
  <si>
    <t>City.Row (from calcs/SolarTables)</t>
  </si>
  <si>
    <t>Battery, Loads and System Autonomy</t>
  </si>
  <si>
    <t>Inverter/charger.Row (from calcs/equip)</t>
  </si>
  <si>
    <t>Solar.Label</t>
  </si>
  <si>
    <t>Daily Power Use:</t>
  </si>
  <si>
    <t>KWh you will use per day</t>
  </si>
  <si>
    <t>Battery.Row (from calcs/equip)</t>
  </si>
  <si>
    <t>Solar.KWh</t>
  </si>
  <si>
    <t>Inverter Output:</t>
  </si>
  <si>
    <t>KW in output, eg 4KW</t>
  </si>
  <si>
    <t>Enter your own loads</t>
  </si>
  <si>
    <t>Solar Array Summer Output:</t>
  </si>
  <si>
    <t>KWH</t>
  </si>
  <si>
    <t>Solar array total output, KWh</t>
  </si>
  <si>
    <t>Loads from Calcs Sheet</t>
  </si>
  <si>
    <t>Load.Label</t>
  </si>
  <si>
    <t>Usable Battery Capacity:</t>
  </si>
  <si>
    <t>Size of battery, KWh</t>
  </si>
  <si>
    <t>Pwr-Use.KWh</t>
  </si>
  <si>
    <t>Days:</t>
  </si>
  <si>
    <t>Autonomy:</t>
  </si>
  <si>
    <t>Days Max</t>
  </si>
  <si>
    <t>Days of battery, with no solar</t>
  </si>
  <si>
    <t>Generator Use Profile:</t>
  </si>
  <si>
    <t>Use</t>
  </si>
  <si>
    <t>Size of generator, KVA</t>
  </si>
  <si>
    <t>OK</t>
  </si>
  <si>
    <t>W Solar Panel size</t>
  </si>
  <si>
    <t>Battery Type/chemistry</t>
  </si>
  <si>
    <t xml:space="preserve">Day </t>
  </si>
  <si>
    <t>Notes</t>
  </si>
  <si>
    <t>Cities: Northern cities have higher solar generation than Southern cities</t>
  </si>
  <si>
    <t>System Specification</t>
  </si>
  <si>
    <t>Solar: Solar Array Size should be large enough to provide Solar output greater than daily power use</t>
  </si>
  <si>
    <t>Daily Power: use should be lower than winter Solar Array output</t>
  </si>
  <si>
    <t>KW+ Inverter</t>
  </si>
  <si>
    <t>Flexibility: in daily power use, will allow you to use a smaller Battery Bank, and/or less Generator use</t>
  </si>
  <si>
    <t>KW Max. Solar</t>
  </si>
  <si>
    <t>People: Increasing the people in the household usually increases power use</t>
  </si>
  <si>
    <t>Inverter Power: should be greater than largest appliance power rating</t>
  </si>
  <si>
    <t xml:space="preserve">KWh Battery </t>
  </si>
  <si>
    <t>Generator Use: &lt;1.5days Batt.storage = Frequent;  1.5-2.5=Occasional;  2.5&gt; = Rare Use</t>
  </si>
  <si>
    <t>KW Solar Array</t>
  </si>
  <si>
    <t>Battery Capacity: should cover 3 days power use, or generator will be used more</t>
  </si>
  <si>
    <t>Systems are 48V Battery banks, although same for 24V systems</t>
  </si>
  <si>
    <t>KW Array, total</t>
  </si>
  <si>
    <t>E30 Energy Controller/Dashboard</t>
  </si>
  <si>
    <t>Tips</t>
  </si>
  <si>
    <t>Battery monitor BMV 702 - Bluetooth Victron</t>
  </si>
  <si>
    <t>https://www.yourhome.gov.au/passive-design</t>
  </si>
  <si>
    <t>Control Victron Temperature sensor for BMV-702/712</t>
  </si>
  <si>
    <t>Add your own solar data, Calcs Worksheet, for your location: http://www.bom.gov.au/climate/data/</t>
  </si>
  <si>
    <t>DC Bus Enclosure</t>
  </si>
  <si>
    <t>Solar isolator, cables, joiners</t>
  </si>
  <si>
    <t>ecoCool Pty LTd</t>
  </si>
  <si>
    <t>Battery Cables, Lugs, Fuses</t>
  </si>
  <si>
    <t>Calculation Sheet Rev 3.32</t>
  </si>
  <si>
    <t>07 5525 5964</t>
  </si>
  <si>
    <t>Burleigh Heads Qld 4220</t>
  </si>
  <si>
    <t>Array 2 Calculations</t>
  </si>
  <si>
    <t>Array 2</t>
  </si>
  <si>
    <t>Est Daily KWh production, Array1+2</t>
  </si>
  <si>
    <t>Solar Controller Max PV</t>
  </si>
  <si>
    <t>Generic Solar Table</t>
  </si>
  <si>
    <t>Location:</t>
  </si>
  <si>
    <t>Canberra</t>
  </si>
  <si>
    <t>Darwin</t>
  </si>
  <si>
    <t>Hobart</t>
  </si>
  <si>
    <t>Sydney</t>
  </si>
  <si>
    <t>Melbourne</t>
  </si>
  <si>
    <t>Adelaide</t>
  </si>
  <si>
    <t>Alice Springs</t>
  </si>
  <si>
    <t>Perth</t>
  </si>
  <si>
    <t>Cairns</t>
  </si>
  <si>
    <t>C28:M63</t>
  </si>
  <si>
    <t>*Peak sunlight hours = daily solar irradiation</t>
  </si>
  <si>
    <t>C69:M104</t>
  </si>
  <si>
    <t>VLOOKUP(L9, INDIRECT("'Solar-tables'!"&amp;VLOOKUP(J13, 'Solar-tables'!R6:S17, 2, FALSE)), (ROUND(L10, 10)/10+2), FALSE)</t>
  </si>
  <si>
    <t>Source: BOM 2020</t>
  </si>
  <si>
    <t>C110:M145</t>
  </si>
  <si>
    <t>Indirect "formula here"</t>
  </si>
  <si>
    <t>C151:M186</t>
  </si>
  <si>
    <t>B-Month</t>
  </si>
  <si>
    <t>January</t>
  </si>
  <si>
    <t>C192:M227</t>
  </si>
  <si>
    <t>O29:T47</t>
  </si>
  <si>
    <t>O70:T88</t>
  </si>
  <si>
    <t>O111:T129</t>
  </si>
  <si>
    <t>O152:T170</t>
  </si>
  <si>
    <t>O193:T211</t>
  </si>
  <si>
    <t>O234:T252</t>
  </si>
  <si>
    <t>O275:T293</t>
  </si>
  <si>
    <t>O316:T334</t>
  </si>
  <si>
    <t>O357:T375</t>
  </si>
  <si>
    <t>O397:T415</t>
  </si>
  <si>
    <t>February</t>
  </si>
  <si>
    <t>C233:M268</t>
  </si>
  <si>
    <t>V29:AA47</t>
  </si>
  <si>
    <t>V70:AA88</t>
  </si>
  <si>
    <t>V111:AA129</t>
  </si>
  <si>
    <t>V152:AA170</t>
  </si>
  <si>
    <t>V193:AA211</t>
  </si>
  <si>
    <t>V234:AA252</t>
  </si>
  <si>
    <t>V275:AA293</t>
  </si>
  <si>
    <t>V316:AA334</t>
  </si>
  <si>
    <t>V357:AA375</t>
  </si>
  <si>
    <t>V397:AA415</t>
  </si>
  <si>
    <t>March</t>
  </si>
  <si>
    <t>C274:M309</t>
  </si>
  <si>
    <t>AC29:AH47</t>
  </si>
  <si>
    <t>AC70:AH88</t>
  </si>
  <si>
    <t>AC111:AH129</t>
  </si>
  <si>
    <t>AC152:AH170</t>
  </si>
  <si>
    <t>AC193:AH211</t>
  </si>
  <si>
    <t>AC234:AH252</t>
  </si>
  <si>
    <t>AC275:AH293</t>
  </si>
  <si>
    <t>AC316:AH334</t>
  </si>
  <si>
    <t>AC357:AH375</t>
  </si>
  <si>
    <t>AC397:AH415</t>
  </si>
  <si>
    <t>April</t>
  </si>
  <si>
    <t>C315:M350</t>
  </si>
  <si>
    <t>AJ29:AO47</t>
  </si>
  <si>
    <t>AJ70:AO88</t>
  </si>
  <si>
    <t>AJ111:AO129</t>
  </si>
  <si>
    <t>AJ152:AO170</t>
  </si>
  <si>
    <t>AJ193:AO211</t>
  </si>
  <si>
    <t>AJ234:AO252</t>
  </si>
  <si>
    <t>AJ275:AO293</t>
  </si>
  <si>
    <t>AJ316:AO334</t>
  </si>
  <si>
    <t>AJ357:AO375</t>
  </si>
  <si>
    <t>AJ397:AO415</t>
  </si>
  <si>
    <t>C356:M391</t>
  </si>
  <si>
    <t>AQ29:AV47</t>
  </si>
  <si>
    <t>AQ70:AV88</t>
  </si>
  <si>
    <t>AQ111:AV129</t>
  </si>
  <si>
    <t>AQ152:AV170</t>
  </si>
  <si>
    <t>AQ193:AV211</t>
  </si>
  <si>
    <t>AQ234:AV252</t>
  </si>
  <si>
    <t>AQ275:AV293</t>
  </si>
  <si>
    <t>AQ316:AV334</t>
  </si>
  <si>
    <t>AQ357:AV375</t>
  </si>
  <si>
    <t>AQ397:AV415</t>
  </si>
  <si>
    <t>June</t>
  </si>
  <si>
    <t>C397:M432</t>
  </si>
  <si>
    <t>AX29:BC47</t>
  </si>
  <si>
    <t>AX70:BC88</t>
  </si>
  <si>
    <t>AX111:BC129</t>
  </si>
  <si>
    <t>AX152:BC170</t>
  </si>
  <si>
    <t>AX193:BC211</t>
  </si>
  <si>
    <t>AX234:BC252</t>
  </si>
  <si>
    <t>AX275:BC293</t>
  </si>
  <si>
    <t>AX316:BC334</t>
  </si>
  <si>
    <t>AX357:BC375</t>
  </si>
  <si>
    <t>AX397:BC415</t>
  </si>
  <si>
    <t>July</t>
  </si>
  <si>
    <t>A-Detailed Solar Table, Loc.</t>
  </si>
  <si>
    <t>BE29:BJ47</t>
  </si>
  <si>
    <t>BE70:BJ88</t>
  </si>
  <si>
    <t>BE111:BJ129</t>
  </si>
  <si>
    <t>BE152:BJ170</t>
  </si>
  <si>
    <t>BE193:BJ211</t>
  </si>
  <si>
    <t>BE234:BJ252</t>
  </si>
  <si>
    <t>BE275:BJ293</t>
  </si>
  <si>
    <t>BE316:BJ334</t>
  </si>
  <si>
    <t>BE357:BJ375</t>
  </si>
  <si>
    <t>BE397:BJ415</t>
  </si>
  <si>
    <t>August</t>
  </si>
  <si>
    <t>R6:S17</t>
  </si>
  <si>
    <t>BL29:BQ47</t>
  </si>
  <si>
    <t>BL70:BQ88</t>
  </si>
  <si>
    <t>BL111:BQ129</t>
  </si>
  <si>
    <t>BL152:BQ170</t>
  </si>
  <si>
    <t>BL193:BQ211</t>
  </si>
  <si>
    <t>BL234:BQ252</t>
  </si>
  <si>
    <t>BL275:BQ293</t>
  </si>
  <si>
    <t>BL316:BQ334</t>
  </si>
  <si>
    <t>BL357:BQ375</t>
  </si>
  <si>
    <t>BL397:BQ415</t>
  </si>
  <si>
    <t>September</t>
  </si>
  <si>
    <t>U6:V17</t>
  </si>
  <si>
    <t>BS29:BX47</t>
  </si>
  <si>
    <t>BS70:BX88</t>
  </si>
  <si>
    <t>BS111:BX129</t>
  </si>
  <si>
    <t>BS152:BX170</t>
  </si>
  <si>
    <t>BS193:BX211</t>
  </si>
  <si>
    <t>BS234:BX252</t>
  </si>
  <si>
    <t>BS275:BX293</t>
  </si>
  <si>
    <t>BS316:BX334</t>
  </si>
  <si>
    <t>BS357:BX375</t>
  </si>
  <si>
    <t>BS397:BX415</t>
  </si>
  <si>
    <t>October</t>
  </si>
  <si>
    <t>X6:Y17</t>
  </si>
  <si>
    <t>BZ29:CE47</t>
  </si>
  <si>
    <t>BZ70:CE88</t>
  </si>
  <si>
    <t>BZ111:CE129</t>
  </si>
  <si>
    <t>BZ152:CE170</t>
  </si>
  <si>
    <t>BZ193:CE211</t>
  </si>
  <si>
    <t>BZ234:CE252</t>
  </si>
  <si>
    <t>BZ275:CE293</t>
  </si>
  <si>
    <t>BZ316:CE334</t>
  </si>
  <si>
    <t>BZ357:CE375</t>
  </si>
  <si>
    <t>BZ397:CE415</t>
  </si>
  <si>
    <t>November</t>
  </si>
  <si>
    <t>AA6:AB17</t>
  </si>
  <si>
    <t>CG29:CL47</t>
  </si>
  <si>
    <t>CG70:CL88</t>
  </si>
  <si>
    <t>CG111:CL129</t>
  </si>
  <si>
    <t>CG152:CL170</t>
  </si>
  <si>
    <t>CG193:CL211</t>
  </si>
  <si>
    <t>CG234:CL252</t>
  </si>
  <si>
    <t>CG275:CL293</t>
  </si>
  <si>
    <t>CG316:CL334</t>
  </si>
  <si>
    <t>CG357:CL375</t>
  </si>
  <si>
    <t>CG397:CL415</t>
  </si>
  <si>
    <t>December</t>
  </si>
  <si>
    <t>AD6:AE17</t>
  </si>
  <si>
    <t>CN29:CS47</t>
  </si>
  <si>
    <t>CN70:CS88</t>
  </si>
  <si>
    <t>CN111:CS129</t>
  </si>
  <si>
    <t>CN152:CS170</t>
  </si>
  <si>
    <t>CN193:CS211</t>
  </si>
  <si>
    <t>CN234:CS252</t>
  </si>
  <si>
    <t>CN275:CS293</t>
  </si>
  <si>
    <t>CN316:CS334</t>
  </si>
  <si>
    <t>CN357:CS375</t>
  </si>
  <si>
    <t>CN397:CS415</t>
  </si>
  <si>
    <t>Average</t>
  </si>
  <si>
    <t>AG6:AH17</t>
  </si>
  <si>
    <t>AJ6:AK17</t>
  </si>
  <si>
    <t>Total annual solar irradiation* (kWh/m2/year)</t>
  </si>
  <si>
    <t>AM6:AN17</t>
  </si>
  <si>
    <t>AP6:AQ17</t>
  </si>
  <si>
    <t>CEC GC Design guidelines Issue 5.1 January, 2012</t>
  </si>
  <si>
    <t>AS6:AT17</t>
  </si>
  <si>
    <t>ANNUAL DAILY IRRADIATION ON AN INCLINED PLANE EXPRESSED AS % OF MAXIMUM VALUE</t>
  </si>
  <si>
    <t>7.1 BRISBANE</t>
  </si>
  <si>
    <t>BRISBANE</t>
  </si>
  <si>
    <t>Plane Azimuth (degrees)</t>
  </si>
  <si>
    <t>Plane Inclination (degrees)</t>
  </si>
  <si>
    <t>7.2 CANBERRA</t>
  </si>
  <si>
    <t>CANBERRA</t>
  </si>
  <si>
    <t>7.3 DARWIN</t>
  </si>
  <si>
    <t>7.4 HOBART</t>
  </si>
  <si>
    <t>HOBART</t>
  </si>
  <si>
    <t>7.5 SYDNEY</t>
  </si>
  <si>
    <t>7.6 MELBOURNE</t>
  </si>
  <si>
    <t>7.7 ADELAIDE</t>
  </si>
  <si>
    <t>ADELAIDE</t>
  </si>
  <si>
    <t>7.8 ALICE SPRINGS</t>
  </si>
  <si>
    <t>7.9 PERTH</t>
  </si>
  <si>
    <t xml:space="preserve">CAIRNS </t>
  </si>
  <si>
    <t>7.10 CAIRNS</t>
  </si>
  <si>
    <t>Solar_Arrays (kW)</t>
  </si>
  <si>
    <t>Panel #</t>
  </si>
  <si>
    <t>Panel W</t>
  </si>
  <si>
    <t>Panels/St</t>
  </si>
  <si>
    <t>Pnl Qty</t>
  </si>
  <si>
    <t>Array W</t>
  </si>
  <si>
    <t>Panel</t>
  </si>
  <si>
    <t>I temp coeff</t>
  </si>
  <si>
    <t>STC C</t>
  </si>
  <si>
    <t>Strg VOC</t>
  </si>
  <si>
    <t>MPPT</t>
  </si>
  <si>
    <t>SC Qty</t>
  </si>
  <si>
    <t>Bank KWh</t>
  </si>
  <si>
    <t>Module#</t>
  </si>
  <si>
    <t>Batt Ah</t>
  </si>
  <si>
    <t>Mods/St</t>
  </si>
  <si>
    <t>Mod V</t>
  </si>
  <si>
    <t>String V</t>
  </si>
  <si>
    <t>Bank AH</t>
  </si>
  <si>
    <t>Mod Type</t>
  </si>
  <si>
    <t>Address:</t>
  </si>
  <si>
    <t>Loads &amp; Equipment</t>
  </si>
  <si>
    <t>Job#</t>
  </si>
  <si>
    <t>C.Myatt</t>
  </si>
  <si>
    <t>Battery Effic.</t>
  </si>
  <si>
    <t>Inverter Effic.</t>
  </si>
  <si>
    <t>Time</t>
  </si>
  <si>
    <t>Load profile</t>
  </si>
  <si>
    <t>Fridge/Fr</t>
  </si>
  <si>
    <t>HWS</t>
  </si>
  <si>
    <t>TV</t>
  </si>
  <si>
    <t>Cooking</t>
  </si>
  <si>
    <t>Appli-ances</t>
  </si>
  <si>
    <t>System &amp; Comp</t>
  </si>
  <si>
    <t>Total</t>
  </si>
  <si>
    <t>Total Effic.</t>
  </si>
  <si>
    <t>Peak Load Calculations</t>
  </si>
  <si>
    <t>Daytime Peak:</t>
  </si>
  <si>
    <t>% of total</t>
  </si>
  <si>
    <t>kWh</t>
  </si>
  <si>
    <t>Ave.Load</t>
  </si>
  <si>
    <t>Nom.Load</t>
  </si>
  <si>
    <t>Load+30%</t>
  </si>
  <si>
    <t>Load+50%</t>
  </si>
  <si>
    <t>Load.Peak</t>
  </si>
  <si>
    <t>factor</t>
  </si>
  <si>
    <t>12am</t>
  </si>
  <si>
    <t>KWh/day Summer</t>
  </si>
  <si>
    <t>1am</t>
  </si>
  <si>
    <t>2am</t>
  </si>
  <si>
    <t>KWh/day Winter</t>
  </si>
  <si>
    <t>3am</t>
  </si>
  <si>
    <t>4am</t>
  </si>
  <si>
    <t>A/C WinterFraction</t>
  </si>
  <si>
    <t xml:space="preserve">5am </t>
  </si>
  <si>
    <t>KWh Daytime use</t>
  </si>
  <si>
    <t>AC PV:</t>
  </si>
  <si>
    <t>Day</t>
  </si>
  <si>
    <t>6am</t>
  </si>
  <si>
    <t>Fraction: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</si>
  <si>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</si>
  <si>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</si>
  <si>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</si>
  <si>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</si>
  <si>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</si>
  <si>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</si>
  <si>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</si>
  <si>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</si>
  <si>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</si>
  <si>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</si>
  <si>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</si>
  <si>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KWh Night use</t>
  </si>
  <si>
    <t>6pm</t>
  </si>
  <si>
    <t>7pm</t>
  </si>
  <si>
    <t>8pm</t>
  </si>
  <si>
    <t>9pm</t>
  </si>
  <si>
    <t>10pm</t>
  </si>
  <si>
    <t>11pm</t>
  </si>
  <si>
    <t xml:space="preserve">Notes: </t>
  </si>
  <si>
    <t>HW Heatpump &amp; 1 x Fridges, computer, router, LED lights, power.  1 Phase.  Induction Cooking, Added also: 2 x Air conditioners, 10KW Generator See below</t>
  </si>
  <si>
    <t>Equipment Ratings</t>
  </si>
  <si>
    <t>KWh/hr</t>
  </si>
  <si>
    <t>KWh/d</t>
  </si>
  <si>
    <t>KWh/yr</t>
  </si>
  <si>
    <t>DutyCyc.</t>
  </si>
  <si>
    <t>Start.Pk</t>
  </si>
  <si>
    <t>Startup.X</t>
  </si>
  <si>
    <t>Comment</t>
  </si>
  <si>
    <t>TV-LED</t>
  </si>
  <si>
    <t>Fridge500L</t>
  </si>
  <si>
    <t>Freezer280L</t>
  </si>
  <si>
    <t>eg Westinghouse 280L</t>
  </si>
  <si>
    <t>Washing Machine</t>
  </si>
  <si>
    <t>Very small consum., 1.5KW Surge</t>
  </si>
  <si>
    <t>Phone charger x 2</t>
  </si>
  <si>
    <t>Lights, LED</t>
  </si>
  <si>
    <t>450W all lights on</t>
  </si>
  <si>
    <t>Computer</t>
  </si>
  <si>
    <t>Router</t>
  </si>
  <si>
    <t>System Self power</t>
  </si>
  <si>
    <t>30W approx/constant</t>
  </si>
  <si>
    <t>Air Con x 5 units</t>
  </si>
  <si>
    <t>Kitchen appliance</t>
  </si>
  <si>
    <t>eg. Microwave</t>
  </si>
  <si>
    <t>Air Con Winter</t>
  </si>
  <si>
    <t>30-40%</t>
  </si>
  <si>
    <t>Ceiling Fans</t>
  </si>
  <si>
    <t>Pool Pump</t>
  </si>
  <si>
    <t>1HP, 1.5HP = 1.65KW</t>
  </si>
  <si>
    <t>Surge Calculations</t>
  </si>
  <si>
    <t>Total Peak Available:</t>
  </si>
  <si>
    <t>Surge Power (3x MultiplusII 5KVA Inv/Chg):</t>
  </si>
  <si>
    <t>AC.Coupled KW:</t>
  </si>
  <si>
    <t>KW,night</t>
  </si>
  <si>
    <t>Victron only</t>
  </si>
  <si>
    <t>Max Load:</t>
  </si>
  <si>
    <t>Peak Output:</t>
  </si>
  <si>
    <t>KW, day</t>
  </si>
  <si>
    <t>Fronius+Victron</t>
  </si>
  <si>
    <t>Nom. Pwr:</t>
  </si>
  <si>
    <t xml:space="preserve">Nom.@25C* </t>
  </si>
  <si>
    <t>Ave. Output:</t>
  </si>
  <si>
    <t>KW Peak, Generator operating</t>
  </si>
  <si>
    <t>130% over:</t>
  </si>
  <si>
    <t>30 mins.</t>
  </si>
  <si>
    <t>Summ. Ave output:</t>
  </si>
  <si>
    <t>KW Gen, per phase, 80% output</t>
  </si>
  <si>
    <t>150% over:</t>
  </si>
  <si>
    <t>5 sec.</t>
  </si>
  <si>
    <t>A/phase Gen</t>
  </si>
  <si>
    <t xml:space="preserve">Peak: </t>
  </si>
  <si>
    <t>0.5 sec.</t>
  </si>
  <si>
    <t>A, Charging Victron MPII 5KVA, @70A</t>
  </si>
  <si>
    <t>W, Chrg</t>
  </si>
  <si>
    <t>Pwrassist:</t>
  </si>
  <si>
    <t>Pump</t>
  </si>
  <si>
    <t>Generator</t>
  </si>
  <si>
    <t>Air-Con.</t>
  </si>
  <si>
    <t>Size KWR</t>
  </si>
  <si>
    <t>Load Kwe</t>
  </si>
  <si>
    <t>Duty %</t>
  </si>
  <si>
    <t>Hot Water Calculations</t>
  </si>
  <si>
    <t>KVA rating:</t>
  </si>
  <si>
    <t>KVA</t>
  </si>
  <si>
    <t>Persons</t>
  </si>
  <si>
    <t>Startup.Peak X</t>
  </si>
  <si>
    <t>Power Factor:</t>
  </si>
  <si>
    <t>L/Person/Day</t>
  </si>
  <si>
    <t>W Peak</t>
  </si>
  <si>
    <t>Pwr Output 3ph:</t>
  </si>
  <si>
    <t>Heat Capacity Water</t>
  </si>
  <si>
    <t>J/kg.K</t>
  </si>
  <si>
    <t>Pwr Output 80%:</t>
  </si>
  <si>
    <t>Upper temp</t>
  </si>
  <si>
    <t>deg C</t>
  </si>
  <si>
    <t>Pwr Output/ph:</t>
  </si>
  <si>
    <t>Lower temp</t>
  </si>
  <si>
    <t>Cop=</t>
  </si>
  <si>
    <t>Delta T</t>
  </si>
  <si>
    <t>Thermal Storage used</t>
  </si>
  <si>
    <t>litres</t>
  </si>
  <si>
    <t>CoolRoom Calculations</t>
  </si>
  <si>
    <t>Energy to heat water:</t>
  </si>
  <si>
    <t>KWRh Heating</t>
  </si>
  <si>
    <t>Size</t>
  </si>
  <si>
    <t>KWR</t>
  </si>
  <si>
    <t>COP:</t>
  </si>
  <si>
    <t>Load</t>
  </si>
  <si>
    <t>KWh of Electrical power (Heat Pump type)</t>
  </si>
  <si>
    <t>(Small Size Coolroom, 3.5x2.5x2.5m)</t>
  </si>
  <si>
    <t>Duty cycle.summer</t>
  </si>
  <si>
    <t>KW/hr</t>
  </si>
  <si>
    <t>Summer</t>
  </si>
  <si>
    <t>with Parasitic losses</t>
  </si>
  <si>
    <t>KWh of Electrical power</t>
  </si>
  <si>
    <t>7 min shower</t>
  </si>
  <si>
    <t>Duty cycle.winter</t>
  </si>
  <si>
    <t>Winter</t>
  </si>
  <si>
    <t>230Vac bosting required:</t>
  </si>
  <si>
    <t>50L water per shower</t>
  </si>
  <si>
    <t>Startup Current</t>
  </si>
  <si>
    <t>With Solar Thermal Booster:</t>
  </si>
  <si>
    <t>75% Hot Water vs Cold Water</t>
  </si>
  <si>
    <t>=38 Litres HW per shower</t>
  </si>
  <si>
    <t>Temperature</t>
  </si>
  <si>
    <t>Less water use, off-grid = 35L</t>
  </si>
  <si>
    <t>BOM mean Max Mins, for:</t>
  </si>
  <si>
    <t>Max T. C</t>
  </si>
  <si>
    <t>Spring.Ave-Max</t>
  </si>
  <si>
    <t>Min T. C</t>
  </si>
  <si>
    <t>Winter.Min</t>
  </si>
  <si>
    <t>Brisbane Airport</t>
  </si>
  <si>
    <t>BOM mean Max Mins, 2022 year, annual mean</t>
  </si>
  <si>
    <t>Brisbane.max</t>
  </si>
  <si>
    <t>Brisbane.min</t>
  </si>
  <si>
    <t>Canberra Airport</t>
  </si>
  <si>
    <t>Canberra.max</t>
  </si>
  <si>
    <t>Canberra.min</t>
  </si>
  <si>
    <t>Darwin Airport</t>
  </si>
  <si>
    <t>Darwin.max</t>
  </si>
  <si>
    <t>Darwin.min</t>
  </si>
  <si>
    <t>Hobart Airport</t>
  </si>
  <si>
    <t>Hobart.max</t>
  </si>
  <si>
    <t>Hobart.min</t>
  </si>
  <si>
    <t>Sydney Airport</t>
  </si>
  <si>
    <t>Sydney.max</t>
  </si>
  <si>
    <t>Sydney.min</t>
  </si>
  <si>
    <t>Melbourne Airport</t>
  </si>
  <si>
    <t>Melbourne.max</t>
  </si>
  <si>
    <t>Melbourne.min</t>
  </si>
  <si>
    <t>Adelaide Airport</t>
  </si>
  <si>
    <t>Adelaide.max</t>
  </si>
  <si>
    <t>Adelaide.min</t>
  </si>
  <si>
    <t>Alice Springs Airport</t>
  </si>
  <si>
    <t>Alice Springs.max</t>
  </si>
  <si>
    <t>Alice Springs.min</t>
  </si>
  <si>
    <t>Perth Airport</t>
  </si>
  <si>
    <t>Perth.max</t>
  </si>
  <si>
    <t>Perth.min</t>
  </si>
  <si>
    <t>Cairns Airport</t>
  </si>
  <si>
    <t>Cairns.max</t>
  </si>
  <si>
    <t>Cairns.min</t>
  </si>
  <si>
    <t>System Design Parameters</t>
  </si>
  <si>
    <t>5233 Twelve Mile Creek Rd, Pippingarra WA 6722</t>
  </si>
  <si>
    <t>Rev: 0</t>
  </si>
  <si>
    <t>AS/NZS 4509.2: 2010</t>
  </si>
  <si>
    <t xml:space="preserve">Considered: </t>
  </si>
  <si>
    <t>AS Section:</t>
  </si>
  <si>
    <t xml:space="preserve">Consdiered: </t>
  </si>
  <si>
    <t>General design Criteria</t>
  </si>
  <si>
    <t xml:space="preserve">yet, </t>
  </si>
  <si>
    <t>Primary Criteria Considered:</t>
  </si>
  <si>
    <t>Desire to shift from 100% Generator use, to near 100% renewable energy on his residential site</t>
  </si>
  <si>
    <t xml:space="preserve">Means: </t>
  </si>
  <si>
    <t>Current equipment: 2 x 17KVA diesel generators, 50m from residence, 5 x Air conditioners, Pool pum</t>
  </si>
  <si>
    <t xml:space="preserve">and that…good/great design.  </t>
  </si>
  <si>
    <t xml:space="preserve">As in related diesel mach. iindustry… gen fuel/maint, readily available for him.  </t>
  </si>
  <si>
    <t>Variable speed pool pump for effic &amp; low peaking?  3ph if possible!</t>
  </si>
  <si>
    <t xml:space="preserve">higly automated, can have manual overrides.  E30./ </t>
  </si>
  <si>
    <t xml:space="preserve">   &gt; Hot environment, A/C use day &amp; night, for 75%+ of year</t>
  </si>
  <si>
    <t>Phase analysis…which loads, which phase, times?</t>
  </si>
  <si>
    <t xml:space="preserve">   &gt; Solar availability, budget limit, current use/avail of generator, battery &amp; PV expandability</t>
  </si>
  <si>
    <t>Pump peak requires essentially low draw circuit for that…</t>
  </si>
  <si>
    <t xml:space="preserve">   &gt; Primary cooling &amp; pump loads, main residential loads, and seasonable load aspects</t>
  </si>
  <si>
    <t>Generator use will be in power IN, (AC fronius on power out)</t>
  </si>
  <si>
    <t xml:space="preserve">   &gt; Budget constraints: to limit overall renewable system cost, with expandability later</t>
  </si>
  <si>
    <t xml:space="preserve">   &gt; Integrated those considerations</t>
  </si>
  <si>
    <t>Integrate AS4509.2 design process/points</t>
  </si>
  <si>
    <t xml:space="preserve">The solution provided meets short term budget constraints, expandability to near 100% renewable fraction </t>
  </si>
  <si>
    <t>Standard rules, to side if possible…develop later, tho</t>
  </si>
  <si>
    <t>and uses generator resoruce in place to supplement solar resource, till budget allows battery and/or solar</t>
  </si>
  <si>
    <t xml:space="preserve">expansion later, within 12 months.   </t>
  </si>
  <si>
    <t>See AS4509.2 for where eff is factored in,…</t>
  </si>
  <si>
    <t xml:space="preserve">System features: </t>
  </si>
  <si>
    <t xml:space="preserve">   &gt; simple battery expansion is built into the system, with 3KWh lithium modules </t>
  </si>
  <si>
    <t xml:space="preserve">   &gt; Sophisticated demand management, allows renewable fraction to be up to 100% for 85%+ of days</t>
  </si>
  <si>
    <t xml:space="preserve">   &gt; system optimised for environment, budget, uses gen/fuel resources in place, allows shift to 100% </t>
  </si>
  <si>
    <t>https://community.victronenergy.com/questions/55581/ac-coupled-pv-for-backup-or-off-grid-impossible.html</t>
  </si>
  <si>
    <t xml:space="preserve">     renewable fraction over 12-18 months, owner has diesel machinery maintenance knowledge, via work</t>
  </si>
  <si>
    <t xml:space="preserve">   &gt; Demand management via the E30 dashboard, allows A/C loads to be stepped down, or generator started</t>
  </si>
  <si>
    <t xml:space="preserve">   &gt; System load and generator management mainly automated, simple manual overrides &amp; wifi communications</t>
  </si>
  <si>
    <t>3.1.3</t>
  </si>
  <si>
    <t>Demand management</t>
  </si>
  <si>
    <t>Primary Demand managed loads:</t>
  </si>
  <si>
    <t xml:space="preserve">   &gt; Air conditioners, 9.5KWR, &amp; 4 x 3.5KWR MHI units </t>
  </si>
  <si>
    <t xml:space="preserve">   &gt; Pool pump: 1100W, timing, duration</t>
  </si>
  <si>
    <t xml:space="preserve">   &gt; User will have manual override capability for A/C and Pump</t>
  </si>
  <si>
    <t>E30.300.01 Dashboard, with demand mngt</t>
  </si>
  <si>
    <t xml:space="preserve">   &gt; E30 is designed to monitor loads, for user demand management, see "Metering"</t>
  </si>
  <si>
    <t>3.1.4</t>
  </si>
  <si>
    <t>Demand assessment</t>
  </si>
  <si>
    <t xml:space="preserve">Demand Loads Summary: </t>
  </si>
  <si>
    <t>Average Daily energy consumpt:</t>
  </si>
  <si>
    <t>Without inverter efficiency considered</t>
  </si>
  <si>
    <t>Inverter &amp; Battery Efficiency:</t>
  </si>
  <si>
    <t>Inverter &amp; Battery efficiency considered</t>
  </si>
  <si>
    <t xml:space="preserve">Resource assessment </t>
  </si>
  <si>
    <t>Site location:</t>
  </si>
  <si>
    <t xml:space="preserve">PSH irradation Data used: </t>
  </si>
  <si>
    <t>BOM, 2021</t>
  </si>
  <si>
    <t>In conjunction with CEC Solar PSH data</t>
  </si>
  <si>
    <t>degrees</t>
  </si>
  <si>
    <t>System configuration</t>
  </si>
  <si>
    <t>Single or 3 Phase:</t>
  </si>
  <si>
    <t>Ph</t>
  </si>
  <si>
    <t>Battery Bank Voltage:</t>
  </si>
  <si>
    <t>V d.c.</t>
  </si>
  <si>
    <t>DC Bus configuration:</t>
  </si>
  <si>
    <t>Link bars</t>
  </si>
  <si>
    <t>AC Bus configuration:</t>
  </si>
  <si>
    <t>Sub-main</t>
  </si>
  <si>
    <t>System Topology:</t>
  </si>
  <si>
    <t>AC-coupled PV</t>
  </si>
  <si>
    <t>DC-coupled PV</t>
  </si>
  <si>
    <t>DC-coupled Batts.</t>
  </si>
  <si>
    <t>Lithium Batts.</t>
  </si>
  <si>
    <t>Sytem Toplogy</t>
  </si>
  <si>
    <t>Interactive Inv/Chgr</t>
  </si>
  <si>
    <t>3.2.2.1</t>
  </si>
  <si>
    <t>3.3.4</t>
  </si>
  <si>
    <t>Size constraints:</t>
  </si>
  <si>
    <t>3.4.11.1 Generator set sizing and selection</t>
  </si>
  <si>
    <t>System Loads Max:</t>
  </si>
  <si>
    <t>AC loads, simultaneous</t>
  </si>
  <si>
    <t>Charging Max:</t>
  </si>
  <si>
    <t>Battery charging, simultaneous</t>
  </si>
  <si>
    <t>Battery A Max:</t>
  </si>
  <si>
    <t>10 module charge limit Amps</t>
  </si>
  <si>
    <t>Generator W Max:</t>
  </si>
  <si>
    <t>Charging Nom:</t>
  </si>
  <si>
    <t>Battery charge setting A, system</t>
  </si>
  <si>
    <t>Total Gen Output:</t>
  </si>
  <si>
    <t>Minimum size, see Existing Gens 17KVA</t>
  </si>
  <si>
    <t>Power factor:</t>
  </si>
  <si>
    <t>φ</t>
  </si>
  <si>
    <t>Fuel type:</t>
  </si>
  <si>
    <t>Diesel</t>
  </si>
  <si>
    <t>Phases:</t>
  </si>
  <si>
    <t>Features:</t>
  </si>
  <si>
    <t>Autostart</t>
  </si>
  <si>
    <t>2 wire</t>
  </si>
  <si>
    <t xml:space="preserve">Maintenance: </t>
  </si>
  <si>
    <t>See Customer discussions re quality vs maint. for new Genset</t>
  </si>
  <si>
    <t xml:space="preserve">Configuration: </t>
  </si>
  <si>
    <t>Parallel configuration, &amp; c/o switch, shunts Generator in, PV out</t>
  </si>
  <si>
    <t>3.2.2.2</t>
  </si>
  <si>
    <t>Renewable Energy Generators</t>
  </si>
  <si>
    <t>Renewable Energy Generation:</t>
  </si>
  <si>
    <t>PV</t>
  </si>
  <si>
    <t>Renewable Generator size:</t>
  </si>
  <si>
    <t>3.4..3</t>
  </si>
  <si>
    <t>Oversupply coefficient (highest):</t>
  </si>
  <si>
    <t>Array sizing for DC MPPT, AC, considering</t>
  </si>
  <si>
    <t>Oversupply coefficient (lowest):</t>
  </si>
  <si>
    <t>derating for heat, system inefficiencies, etc</t>
  </si>
  <si>
    <t>Worst Months:</t>
  </si>
  <si>
    <t>Feb-Jun</t>
  </si>
  <si>
    <t>PV System efficiency:  (AC, DC)</t>
  </si>
  <si>
    <t>Daily energy from PV (Best month):</t>
  </si>
  <si>
    <t>Daily energy from PV (Worst month):</t>
  </si>
  <si>
    <t>3.4.4</t>
  </si>
  <si>
    <t>PV Array Sizing</t>
  </si>
  <si>
    <t>See PV Array Calculations: VOC, derating, soiling, tilt, orientation, bus efficiencies (Params Drawing/Calcs)</t>
  </si>
  <si>
    <t>3.4.6</t>
  </si>
  <si>
    <t>Renewable fraction</t>
  </si>
  <si>
    <t>Solar fraction:</t>
  </si>
  <si>
    <t>Solar fraction Summer:</t>
  </si>
  <si>
    <r>
      <t>E</t>
    </r>
    <r>
      <rPr>
        <i/>
        <vertAlign val="subscript"/>
        <sz val="10"/>
        <rFont val="Calibri"/>
        <family val="2"/>
        <scheme val="minor"/>
      </rPr>
      <t>pv</t>
    </r>
    <r>
      <rPr>
        <i/>
        <sz val="10"/>
        <rFont val="Calibri"/>
        <family val="2"/>
        <scheme val="minor"/>
      </rPr>
      <t xml:space="preserve"> x N</t>
    </r>
    <r>
      <rPr>
        <i/>
        <vertAlign val="subscript"/>
        <sz val="10"/>
        <rFont val="Calibri"/>
        <family val="2"/>
        <scheme val="minor"/>
      </rPr>
      <t>pvss</t>
    </r>
    <r>
      <rPr>
        <i/>
        <sz val="10"/>
        <rFont val="Calibri"/>
        <family val="2"/>
        <scheme val="minor"/>
      </rPr>
      <t xml:space="preserve"> / E</t>
    </r>
    <r>
      <rPr>
        <i/>
        <vertAlign val="subscript"/>
        <sz val="10"/>
        <rFont val="Calibri"/>
        <family val="2"/>
        <scheme val="minor"/>
      </rPr>
      <t>tot</t>
    </r>
  </si>
  <si>
    <t>Solar fraction Winter:</t>
  </si>
  <si>
    <t>3.4.7</t>
  </si>
  <si>
    <t>Battery sizing</t>
  </si>
  <si>
    <t>Battery type:</t>
  </si>
  <si>
    <t>24KWh (8 extra modules)</t>
  </si>
  <si>
    <t xml:space="preserve">Battery Bank Capacity: </t>
  </si>
  <si>
    <t>54KWh (18 modules)</t>
  </si>
  <si>
    <t>Battery Nom. Voltage:</t>
  </si>
  <si>
    <t>DC Bus Energy Demand (Summer):</t>
  </si>
  <si>
    <t>Max Depth of Discharge:</t>
  </si>
  <si>
    <t>Actual Days Autonomy:</t>
  </si>
  <si>
    <t>Actual hours Autonomy:</t>
  </si>
  <si>
    <t>hours</t>
  </si>
  <si>
    <t>Actual nights Autonomy:</t>
  </si>
  <si>
    <t>(Expanded) Target Days Autonomy:</t>
  </si>
  <si>
    <t>54KWh, 18 x 3KWh modules</t>
  </si>
  <si>
    <t>Component sizing/selection</t>
  </si>
  <si>
    <t>overview/whys</t>
  </si>
  <si>
    <t>System Voltage:</t>
  </si>
  <si>
    <t>Standard off-grid voltage, for available equip.</t>
  </si>
  <si>
    <t>3.4.3</t>
  </si>
  <si>
    <t>PV Generator sizing:</t>
  </si>
  <si>
    <t>Min. Solar fraction, covers loads all year</t>
  </si>
  <si>
    <t>Approach to cover limited Battery storage:</t>
  </si>
  <si>
    <t>Customer to install durable, well-maintained auto-start generator.  Generator starts: 2-3 times/fortnight.  Batteries to increase later.</t>
  </si>
  <si>
    <t>3.4.11</t>
  </si>
  <si>
    <t>Diesel Generator sizing:</t>
  </si>
  <si>
    <t>3.4.11 Considered.</t>
  </si>
  <si>
    <t>3.4.12</t>
  </si>
  <si>
    <t>Cable sizing:</t>
  </si>
  <si>
    <t xml:space="preserve">D.C. Cables sized for battery fault current, or A capacity, see Calcs. </t>
  </si>
  <si>
    <t xml:space="preserve">A.C. Cables sized to AS3000, by installer, or as noted in drawings. </t>
  </si>
  <si>
    <t>Metering control</t>
  </si>
  <si>
    <t>Metering:</t>
  </si>
  <si>
    <t>BMV702 Battery monitor, with Battery Temp sensor function</t>
  </si>
  <si>
    <t>Control:</t>
  </si>
  <si>
    <t>Victron Multiplus Programming control: see Params drawing.</t>
  </si>
  <si>
    <t>Victron Cerbo Controller: automated settings, see drawings.</t>
  </si>
  <si>
    <t>Victron Cerbo: auto-starts generator via relay, with manual override</t>
  </si>
  <si>
    <t xml:space="preserve">E30 Air Con Controller: </t>
  </si>
  <si>
    <t>E30 Air Con Controller: will step Air conditioner output down, when battery and solar reach set thresholds.  Poolpump will be turned on or off, to fit with PV/battery settings, reported by Cerbo.</t>
  </si>
  <si>
    <t>AS/NZS 3010 Generating Sets</t>
  </si>
  <si>
    <t>Electrical Protection</t>
  </si>
  <si>
    <t>Generator Fuse location?:</t>
  </si>
  <si>
    <t>DC fusing:</t>
  </si>
  <si>
    <t>A MCCB for each Inverter/Charger</t>
  </si>
  <si>
    <t>1 at Generator, then?</t>
  </si>
  <si>
    <t>A MCCB for MPPT</t>
  </si>
  <si>
    <t xml:space="preserve">A HRC fuse, Main Battery </t>
  </si>
  <si>
    <t>A Individual Battery Fuses</t>
  </si>
  <si>
    <t>AC fusing:</t>
  </si>
  <si>
    <t>A 3 Pole Inverter Fuse</t>
  </si>
  <si>
    <t>Generator: self fused, isolator, with c/o switch/es</t>
  </si>
  <si>
    <t>PV Array</t>
  </si>
  <si>
    <t>4.2.2</t>
  </si>
  <si>
    <t>Array fixing comply with AS1170.2</t>
  </si>
  <si>
    <t>Considered</t>
  </si>
  <si>
    <t xml:space="preserve">Genset </t>
  </si>
  <si>
    <t>Genset accommodation, maintenance and airflow considered.</t>
  </si>
  <si>
    <t xml:space="preserve">Battery </t>
  </si>
  <si>
    <t>See Calcs/notes, complies with AS5139</t>
  </si>
  <si>
    <t>High/Low temperature and voltage alarms set, see Parameters</t>
  </si>
  <si>
    <t>System performance</t>
  </si>
  <si>
    <t>DC</t>
  </si>
  <si>
    <t>AC</t>
  </si>
  <si>
    <t>(a)</t>
  </si>
  <si>
    <t>Design DC and AC Load energy:</t>
  </si>
  <si>
    <t>(b)</t>
  </si>
  <si>
    <t>Load management strategies:</t>
  </si>
  <si>
    <t>E30 controller to manage HVAC, Pool pump, Gen auto starts</t>
  </si>
  <si>
    <t>(c)</t>
  </si>
  <si>
    <t>Maximum Surge Demand:</t>
  </si>
  <si>
    <t>See Loads Graph for surge demand by hour</t>
  </si>
  <si>
    <t>(d)</t>
  </si>
  <si>
    <t>PV generator daily output:</t>
  </si>
  <si>
    <t>(e)</t>
  </si>
  <si>
    <t>Generator load fractions:</t>
  </si>
  <si>
    <t>SolarPV</t>
  </si>
  <si>
    <t>Genset</t>
  </si>
  <si>
    <t>(f)</t>
  </si>
  <si>
    <t>Genset run time:</t>
  </si>
  <si>
    <t>Hrs/Fn</t>
  </si>
  <si>
    <t>Approx 5 hrs every 3-5 days</t>
  </si>
  <si>
    <t>hrs/fortnight</t>
  </si>
  <si>
    <t>(g)</t>
  </si>
  <si>
    <t>BOM 2021 irradiation data used</t>
  </si>
  <si>
    <t>See 3.2 above for PV details, see Params drwg for adjustments</t>
  </si>
  <si>
    <t>(h)</t>
  </si>
  <si>
    <t>48V d.c.</t>
  </si>
  <si>
    <t>230V a.c.</t>
  </si>
  <si>
    <t>3ph</t>
  </si>
  <si>
    <t>(i)</t>
  </si>
  <si>
    <t>Ratings of components:</t>
  </si>
  <si>
    <t>48/5000 MultiplusII Battery Inverter:</t>
  </si>
  <si>
    <t>5KVA/phase, 70A charging, xxA f/thru</t>
  </si>
  <si>
    <t xml:space="preserve"> RS450/100 Smartsolar MPPT:</t>
  </si>
  <si>
    <t>450V max Voc, 100A max charge, 4 MPPTs</t>
  </si>
  <si>
    <t>Fronius Symo 5KW AC Inverter:</t>
  </si>
  <si>
    <t>Output, over 3 phases</t>
  </si>
  <si>
    <t>Expansion Options</t>
  </si>
  <si>
    <t>Expandability</t>
  </si>
  <si>
    <t>Fronius AC coupled PV:</t>
  </si>
  <si>
    <t>KW Existing PV input</t>
  </si>
  <si>
    <t>5KW Primo*</t>
  </si>
  <si>
    <t>KW New PV input</t>
  </si>
  <si>
    <t>KW Expanded Size</t>
  </si>
  <si>
    <t>* This increases daytime Power ceiling too</t>
  </si>
  <si>
    <t>Victron DC coupled PV:</t>
  </si>
  <si>
    <t>250/60 MPPT Smartsolar</t>
  </si>
  <si>
    <t>Vaulta Lithium Batteries:</t>
  </si>
  <si>
    <t>KWh Existing Battery Bank</t>
  </si>
  <si>
    <t>Expansion Cabinet: 3x5KWh</t>
  </si>
  <si>
    <t xml:space="preserve">KWh max Bank size* </t>
  </si>
  <si>
    <t>KW Expanded Battery Size</t>
  </si>
  <si>
    <t>* (With 1 Expansion Cabinet)</t>
  </si>
  <si>
    <t>Victron Inverter Chargers:</t>
  </si>
  <si>
    <t>KVA Existing</t>
  </si>
  <si>
    <t xml:space="preserve">* This increases anytime Power ceiling </t>
  </si>
  <si>
    <t>KVA Extra</t>
  </si>
  <si>
    <t>(more appliances on at same time)</t>
  </si>
  <si>
    <t>KVA Expanded Inverter output</t>
  </si>
  <si>
    <t>Autonomy with load avoidance:</t>
  </si>
  <si>
    <t>Max Load avoidance fraction: %</t>
  </si>
  <si>
    <t>Autonomy (days/Hrs)</t>
  </si>
  <si>
    <t>Hours</t>
  </si>
  <si>
    <t>Operating constraints/rules</t>
  </si>
  <si>
    <t>&gt; Pool pump review and possible upgrade recommended: VSD or 3ph</t>
  </si>
  <si>
    <t>&gt; Pool pump run time: limit to 4-5 hours, review with owner</t>
  </si>
  <si>
    <t>&gt; HVAC, see op parameters in E30 control drawing, &amp; below</t>
  </si>
  <si>
    <t>&gt; Generator use to be for system backup, or primary power on c/over</t>
  </si>
  <si>
    <t>&gt; E30 Dashboard Instruction and Parameters: see E30 drawing/Manual</t>
  </si>
  <si>
    <t xml:space="preserve">Assumed conditions for HVAC </t>
  </si>
  <si>
    <t>Ambient Temperatures: see Load Calculations</t>
  </si>
  <si>
    <t>Run times: see Load Calculations</t>
  </si>
  <si>
    <t>E30 operation: will step HVAC output down, as battery gets low</t>
  </si>
  <si>
    <t>Operator may also manually unload system, or stepdown HVAC use</t>
  </si>
  <si>
    <t>ecoCool Pty Ltd,15 Fremantle St.</t>
  </si>
  <si>
    <t>Burleigh Heads Qld 4220, Australia</t>
  </si>
  <si>
    <t>p +61 7 5525 5964</t>
  </si>
  <si>
    <t>e info @ ecoCool.com.au</t>
  </si>
  <si>
    <t>Recommended MPPT</t>
  </si>
  <si>
    <t>Strg I</t>
  </si>
  <si>
    <t>NumberOfMPPTs</t>
  </si>
  <si>
    <t>Fronius Symo 12.5KW Inverter</t>
  </si>
  <si>
    <t>PV Imax</t>
  </si>
  <si>
    <t>27,0/16.5A</t>
  </si>
  <si>
    <t>Fronius Symo 15KW Inverter</t>
  </si>
  <si>
    <t>33/27A</t>
  </si>
  <si>
    <t>CorrectedSolar</t>
  </si>
  <si>
    <t>Rec Product</t>
  </si>
  <si>
    <t>bla</t>
  </si>
  <si>
    <t>Solar Module  +</t>
  </si>
  <si>
    <t>RackingKit  +</t>
  </si>
  <si>
    <t>BOS  +</t>
  </si>
  <si>
    <t>SC1</t>
  </si>
  <si>
    <t>SC2</t>
  </si>
  <si>
    <t>PK19.XX</t>
  </si>
  <si>
    <t>Solar Array Package XXKW</t>
  </si>
  <si>
    <t>Margin</t>
  </si>
  <si>
    <t># pv.Modules</t>
  </si>
  <si>
    <t># Rack.kits</t>
  </si>
  <si>
    <t>#BOS.kit</t>
  </si>
  <si>
    <t>No of SC1</t>
  </si>
  <si>
    <t>No of SC2</t>
  </si>
  <si>
    <t>Other</t>
  </si>
  <si>
    <t>COGS Ex GST</t>
  </si>
  <si>
    <t>Sell Incl GST</t>
  </si>
  <si>
    <t>Description</t>
  </si>
  <si>
    <t>A0049</t>
  </si>
  <si>
    <t>A0050</t>
  </si>
  <si>
    <t>B1191</t>
  </si>
  <si>
    <t>$ Cost</t>
  </si>
  <si>
    <t>Item</t>
  </si>
  <si>
    <t>Brand/description</t>
  </si>
  <si>
    <t>B1212</t>
  </si>
  <si>
    <t>SolarModule+</t>
  </si>
  <si>
    <t>500W Trina, from Krannich store price</t>
  </si>
  <si>
    <t>Racking  +</t>
  </si>
  <si>
    <t>4 panel Clenergy tin, xxmm, in 0.5 increments (ie 4 panels = 1 racking kit; 6 panels = 1.5 kits)</t>
  </si>
  <si>
    <t>BOS1  +</t>
  </si>
  <si>
    <t>BOS (Balance of System) = Array isolator, pv cable, 1 x Peno.boot, MC4s, ??other, Extras: Instructions/tools/etc</t>
  </si>
  <si>
    <t>BOS2  +</t>
  </si>
  <si>
    <t>See MPPT1 column, 150/45 to 450/200</t>
  </si>
  <si>
    <t>See MPPT2 column, 5-10KW Fronius Primo Gen24</t>
  </si>
  <si>
    <t>SmartSolar MPPT 150/45</t>
  </si>
  <si>
    <t>SmartSolar MPPT 450/100</t>
  </si>
  <si>
    <t>SmartSolar MPPT 450/200</t>
  </si>
  <si>
    <t>Gen24 Primo 5.0KW</t>
  </si>
  <si>
    <t>Gen24 Primo 6.0KW</t>
  </si>
  <si>
    <t>Gen24 Primo 8.2KW</t>
  </si>
  <si>
    <t>Gen24 Primo 10.0KW</t>
  </si>
  <si>
    <t>Victron SmartSolar MPPT 250/60-TR</t>
  </si>
  <si>
    <t>SmartSolar MPPT RS 450/100-Tr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</si>
</sst>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0.0"/>
    <numFmt numFmtId="166" formatCode="0.0%"/>
    <numFmt numFmtId="167" formatCode="&quot;$&quot;#,##0"/>
    <numFmt numFmtId="168" formatCode="&quot;$&quot;#,##0.0000"/>
    <numFmt numFmtId="169" formatCode="General_)"/>
    <numFmt numFmtId="170" formatCode="&quot;+&quot;\ General\ &quot;V&quot;"/>
    <numFmt numFmtId="171" formatCode="0.000"/>
    <numFmt numFmtId="172" formatCode="[$-F400]h:mm:ss\ AM/PM"/>
    <numFmt numFmtId="173" formatCode="0.00000"/>
    <numFmt numFmtId="174" formatCode="0.0000"/>
  </numFmts>
  <fonts count="188" x14ac:knownFonts="1">
    <font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libri"/>
      <family val="2"/>
      <scheme val="minor"/>
    </font>
    <font>
      <i/>
      <sz val="9"/>
      <color theme="4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5"/>
      <name val="Calibri"/>
      <family val="2"/>
      <scheme val="minor"/>
    </font>
    <font>
      <sz val="10"/>
      <color theme="3" tint="0.39997558519241921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2"/>
      <color rgb="FFFFFFFF"/>
      <name val="Arial"/>
      <family val="2"/>
    </font>
    <font>
      <b/>
      <i/>
      <sz val="12"/>
      <color rgb="FFFFFFFF"/>
      <name val="Arial"/>
      <family val="2"/>
    </font>
    <font>
      <sz val="9"/>
      <color rgb="FF3F3F3F"/>
      <name val="Arial"/>
      <family val="2"/>
    </font>
    <font>
      <b/>
      <i/>
      <sz val="9"/>
      <color rgb="FF7030A0"/>
      <name val="Arial"/>
      <family val="2"/>
    </font>
    <font>
      <sz val="9"/>
      <name val="Arial"/>
      <family val="2"/>
    </font>
    <font>
      <i/>
      <sz val="9"/>
      <color theme="7" tint="-0.249977111117893"/>
      <name val="Arial"/>
      <family val="2"/>
    </font>
    <font>
      <i/>
      <sz val="9"/>
      <color rgb="FF0070C0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0"/>
      <color theme="1"/>
      <name val="Arial Unicode MS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sz val="16"/>
      <name val="Arial"/>
      <family val="2"/>
    </font>
    <font>
      <b/>
      <sz val="11"/>
      <name val="Arial"/>
      <family val="2"/>
    </font>
    <font>
      <i/>
      <sz val="11"/>
      <color theme="3" tint="-0.249977111117893"/>
      <name val="Calibri"/>
      <family val="2"/>
      <scheme val="minor"/>
    </font>
    <font>
      <sz val="11"/>
      <name val="Arial"/>
      <family val="2"/>
    </font>
    <font>
      <b/>
      <sz val="10"/>
      <name val="MS Sans Serif"/>
    </font>
    <font>
      <b/>
      <sz val="11"/>
      <color theme="8" tint="-0.499984740745262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Arial"/>
      <family val="2"/>
    </font>
    <font>
      <sz val="11"/>
      <color theme="5" tint="-0.249977111117893"/>
      <name val="Calibri"/>
      <family val="2"/>
      <scheme val="minor"/>
    </font>
    <font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name val="Arial"/>
      <family val="2"/>
    </font>
    <font>
      <sz val="10"/>
      <color rgb="FF0070C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9"/>
      <color theme="2" tint="-0.499984740745262"/>
      <name val="Calibri"/>
      <family val="2"/>
      <scheme val="minor"/>
    </font>
    <font>
      <sz val="10"/>
      <color theme="5" tint="-0.249977111117893"/>
      <name val="MS Sans Serif"/>
    </font>
    <font>
      <sz val="10"/>
      <color theme="0" tint="-4.9989318521683403E-2"/>
      <name val="MS Sans Serif"/>
    </font>
    <font>
      <sz val="10"/>
      <color theme="4" tint="-0.249977111117893"/>
      <name val="MS Sans Serif"/>
    </font>
    <font>
      <sz val="10"/>
      <color rgb="FFFF0000"/>
      <name val="MS Sans Serif"/>
    </font>
    <font>
      <u/>
      <sz val="9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theme="2"/>
      <name val="Calibri"/>
      <family val="2"/>
      <scheme val="minor"/>
    </font>
    <font>
      <i/>
      <sz val="11"/>
      <color theme="5" tint="0.39997558519241921"/>
      <name val="Calibri"/>
      <family val="2"/>
      <scheme val="minor"/>
    </font>
    <font>
      <i/>
      <sz val="10"/>
      <color theme="5" tint="0.39997558519241921"/>
      <name val="Calibri"/>
      <family val="2"/>
      <scheme val="minor"/>
    </font>
    <font>
      <sz val="10"/>
      <color theme="3" tint="0.59999389629810485"/>
      <name val="Arial"/>
      <family val="2"/>
    </font>
    <font>
      <i/>
      <sz val="11"/>
      <color theme="2" tint="-0.499984740745262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2" tint="-0.74999237037263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theme="2" tint="-0.499984740745262"/>
      <name val="MS Sans Serif"/>
    </font>
    <font>
      <sz val="9"/>
      <color rgb="FF00B050"/>
      <name val="Calibri"/>
      <family val="2"/>
      <scheme val="minor"/>
    </font>
    <font>
      <sz val="9"/>
      <color rgb="FF0070C0"/>
      <name val="Calibri"/>
      <family val="2"/>
      <scheme val="minor"/>
    </font>
    <font>
      <sz val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0070C0"/>
      <name val="Calibri"/>
      <family val="2"/>
      <scheme val="minor"/>
    </font>
    <font>
      <u/>
      <sz val="10"/>
      <color theme="10"/>
      <name val="MS Sans Serif"/>
    </font>
    <font>
      <i/>
      <sz val="10"/>
      <color theme="0" tint="-0.499984740745262"/>
      <name val="Arial"/>
      <family val="2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 tint="-0.249977111117893"/>
      <name val="Calibri"/>
      <family val="2"/>
      <scheme val="minor"/>
    </font>
    <font>
      <sz val="22"/>
      <color theme="1"/>
      <name val="Calibri"/>
      <family val="2"/>
      <scheme val="minor"/>
    </font>
    <font>
      <i/>
      <sz val="11"/>
      <color theme="8" tint="-0.499984740745262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 tint="0.499984740745262"/>
      <name val="Calibri"/>
      <family val="2"/>
    </font>
    <font>
      <i/>
      <sz val="10"/>
      <color theme="1" tint="0.499984740745262"/>
      <name val="Calibri"/>
      <family val="2"/>
    </font>
    <font>
      <i/>
      <sz val="8"/>
      <color theme="1" tint="0.499984740745262"/>
      <name val="Calibri"/>
      <family val="2"/>
      <scheme val="minor"/>
    </font>
    <font>
      <i/>
      <sz val="1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sz val="7"/>
      <color theme="1" tint="0.499984740745262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10"/>
      <color theme="7" tint="0.59999389629810485"/>
      <name val="Calibri"/>
      <family val="2"/>
      <scheme val="minor"/>
    </font>
    <font>
      <i/>
      <sz val="9"/>
      <color rgb="FF00B0F0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11"/>
      <color rgb="FFD6A30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sz val="15"/>
      <color theme="1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1"/>
      <color theme="2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2"/>
      <color theme="8" tint="-0.499984740745262"/>
      <name val="Calibri"/>
      <family val="2"/>
      <scheme val="minor"/>
    </font>
    <font>
      <i/>
      <u/>
      <sz val="10"/>
      <color theme="8" tint="-0.499984740745262"/>
      <name val="MS Sans Serif"/>
    </font>
    <font>
      <b/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name val="MS Sans Serif"/>
    </font>
    <font>
      <sz val="14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8" tint="-0.499984740745262"/>
      <name val="Arial"/>
      <family val="2"/>
    </font>
    <font>
      <sz val="10"/>
      <color theme="1" tint="0.34998626667073579"/>
      <name val="Calibri"/>
      <family val="2"/>
      <scheme val="minor"/>
    </font>
    <font>
      <sz val="16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sz val="9"/>
      <color theme="8" tint="-0.499984740745262"/>
      <name val="Arial"/>
      <family val="2"/>
    </font>
    <font>
      <i/>
      <sz val="10"/>
      <color theme="8" tint="-0.499984740745262"/>
      <name val="Arial"/>
      <family val="2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u/>
      <sz val="10"/>
      <color rgb="FF0000FF"/>
      <name val="Arial"/>
      <family val="2"/>
    </font>
    <font>
      <i/>
      <sz val="11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10"/>
      <color rgb="FF7030A0"/>
      <name val="Arial"/>
      <family val="2"/>
    </font>
    <font>
      <b/>
      <sz val="9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rgb="FF0000FF"/>
      <name val="Arial"/>
      <family val="2"/>
    </font>
    <font>
      <sz val="10"/>
      <color theme="1" tint="0.499984740745262"/>
      <name val="Calibri"/>
      <family val="2"/>
      <scheme val="minor"/>
    </font>
    <font>
      <b/>
      <sz val="10"/>
      <color rgb="FF0000FF"/>
      <name val="Arial"/>
      <family val="2"/>
    </font>
    <font>
      <sz val="11"/>
      <color theme="1"/>
      <name val="Arial"/>
      <family val="2"/>
    </font>
    <font>
      <i/>
      <sz val="10"/>
      <color rgb="FF0070C0"/>
      <name val="Arial"/>
      <family val="2"/>
    </font>
    <font>
      <i/>
      <vertAlign val="subscript"/>
      <sz val="1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rgb="FF00B05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9"/>
      <name val="Arial"/>
      <family val="2"/>
    </font>
    <font>
      <b/>
      <sz val="10"/>
      <color rgb="FF7030A0"/>
      <name val="Arial"/>
      <family val="2"/>
    </font>
    <font>
      <b/>
      <sz val="9"/>
      <color rgb="FF7030A0"/>
      <name val="Arial"/>
      <family val="2"/>
    </font>
    <font>
      <sz val="9"/>
      <color rgb="FF7030A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7A1E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94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CEC7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DC6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E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CE246"/>
        <bgColor indexed="64"/>
      </patternFill>
    </fill>
    <fill>
      <patternFill patternType="solid">
        <fgColor rgb="FFFEF8CA"/>
        <bgColor indexed="64"/>
      </patternFill>
    </fill>
    <fill>
      <patternFill patternType="solid">
        <fgColor rgb="FFA7BCC1"/>
        <bgColor indexed="64"/>
      </patternFill>
    </fill>
    <fill>
      <patternFill patternType="solid">
        <fgColor rgb="FFD0DBD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99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rgb="FFFFC000"/>
      </left>
      <right/>
      <top style="dotted">
        <color rgb="FFFFC000"/>
      </top>
      <bottom/>
      <diagonal/>
    </border>
    <border>
      <left/>
      <right/>
      <top style="dotted">
        <color rgb="FFFFC000"/>
      </top>
      <bottom/>
      <diagonal/>
    </border>
    <border>
      <left/>
      <right style="dotted">
        <color rgb="FFFFC000"/>
      </right>
      <top style="dotted">
        <color rgb="FFFFC000"/>
      </top>
      <bottom/>
      <diagonal/>
    </border>
    <border>
      <left style="dotted">
        <color rgb="FFFFC000"/>
      </left>
      <right/>
      <top/>
      <bottom/>
      <diagonal/>
    </border>
    <border>
      <left/>
      <right style="dotted">
        <color rgb="FFFFC000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dotted">
        <color rgb="FFFFC000"/>
      </left>
      <right/>
      <top/>
      <bottom style="dotted">
        <color rgb="FFFFC000"/>
      </bottom>
      <diagonal/>
    </border>
    <border>
      <left/>
      <right/>
      <top/>
      <bottom style="dotted">
        <color rgb="FFFFC000"/>
      </bottom>
      <diagonal/>
    </border>
    <border>
      <left/>
      <right style="dotted">
        <color rgb="FFFFC000"/>
      </right>
      <top/>
      <bottom style="dotted">
        <color rgb="FFFFC000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69" fontId="95" fillId="0" borderId="0" applyNumberFormat="0" applyFill="0" applyBorder="0" applyAlignment="0" applyProtection="0"/>
  </cellStyleXfs>
  <cellXfs count="79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2" fillId="2" borderId="0" xfId="0" applyFont="1" applyFill="1"/>
    <xf numFmtId="0" fontId="3" fillId="0" borderId="0" xfId="0" applyFont="1" applyAlignment="1">
      <alignment horizontal="center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0" fontId="0" fillId="2" borderId="0" xfId="0" applyFill="1"/>
    <xf numFmtId="0" fontId="9" fillId="4" borderId="1" xfId="0" applyFont="1" applyFill="1" applyBorder="1" applyAlignment="1">
      <alignment horizontal="left"/>
    </xf>
    <xf numFmtId="0" fontId="10" fillId="5" borderId="0" xfId="0" applyFont="1" applyFill="1" applyAlignment="1">
      <alignment horizontal="center"/>
    </xf>
    <xf numFmtId="0" fontId="0" fillId="7" borderId="0" xfId="0" applyFill="1"/>
    <xf numFmtId="0" fontId="13" fillId="9" borderId="0" xfId="0" applyFont="1" applyFill="1" applyAlignment="1">
      <alignment horizontal="center"/>
    </xf>
    <xf numFmtId="0" fontId="7" fillId="9" borderId="6" xfId="0" applyFont="1" applyFill="1" applyBorder="1" applyAlignment="1">
      <alignment horizontal="left"/>
    </xf>
    <xf numFmtId="0" fontId="14" fillId="10" borderId="0" xfId="0" applyFont="1" applyFill="1" applyAlignment="1">
      <alignment horizontal="center"/>
    </xf>
    <xf numFmtId="0" fontId="0" fillId="10" borderId="0" xfId="0" applyFill="1"/>
    <xf numFmtId="0" fontId="11" fillId="10" borderId="2" xfId="0" applyFont="1" applyFill="1" applyBorder="1"/>
    <xf numFmtId="0" fontId="15" fillId="4" borderId="7" xfId="0" applyFont="1" applyFill="1" applyBorder="1"/>
    <xf numFmtId="0" fontId="15" fillId="5" borderId="7" xfId="0" applyFont="1" applyFill="1" applyBorder="1"/>
    <xf numFmtId="164" fontId="16" fillId="6" borderId="7" xfId="0" applyNumberFormat="1" applyFont="1" applyFill="1" applyBorder="1"/>
    <xf numFmtId="0" fontId="15" fillId="7" borderId="7" xfId="0" applyFont="1" applyFill="1" applyBorder="1" applyAlignment="1">
      <alignment horizontal="center"/>
    </xf>
    <xf numFmtId="0" fontId="17" fillId="7" borderId="7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left"/>
    </xf>
    <xf numFmtId="0" fontId="18" fillId="9" borderId="1" xfId="0" applyFont="1" applyFill="1" applyBorder="1" applyAlignment="1">
      <alignment horizontal="left"/>
    </xf>
    <xf numFmtId="0" fontId="18" fillId="9" borderId="1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left"/>
    </xf>
    <xf numFmtId="0" fontId="16" fillId="10" borderId="1" xfId="0" applyFont="1" applyFill="1" applyBorder="1"/>
    <xf numFmtId="0" fontId="15" fillId="5" borderId="1" xfId="0" applyFont="1" applyFill="1" applyBorder="1" applyAlignment="1">
      <alignment horizontal="center"/>
    </xf>
    <xf numFmtId="0" fontId="16" fillId="2" borderId="7" xfId="0" applyFont="1" applyFill="1" applyBorder="1"/>
    <xf numFmtId="0" fontId="7" fillId="8" borderId="6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0" fillId="9" borderId="0" xfId="0" applyFill="1"/>
    <xf numFmtId="0" fontId="20" fillId="0" borderId="0" xfId="0" applyFont="1"/>
    <xf numFmtId="164" fontId="20" fillId="0" borderId="0" xfId="0" applyNumberFormat="1" applyFont="1"/>
    <xf numFmtId="164" fontId="0" fillId="0" borderId="0" xfId="0" applyNumberFormat="1"/>
    <xf numFmtId="164" fontId="3" fillId="0" borderId="0" xfId="0" applyNumberFormat="1" applyFont="1"/>
    <xf numFmtId="0" fontId="21" fillId="2" borderId="7" xfId="0" applyFont="1" applyFill="1" applyBorder="1" applyAlignment="1">
      <alignment horizontal="left"/>
    </xf>
    <xf numFmtId="0" fontId="0" fillId="11" borderId="0" xfId="0" applyFill="1"/>
    <xf numFmtId="0" fontId="24" fillId="0" borderId="0" xfId="0" applyFont="1"/>
    <xf numFmtId="164" fontId="23" fillId="0" borderId="0" xfId="0" applyNumberFormat="1" applyFont="1"/>
    <xf numFmtId="0" fontId="23" fillId="0" borderId="0" xfId="0" applyFont="1" applyAlignment="1">
      <alignment horizontal="right"/>
    </xf>
    <xf numFmtId="0" fontId="25" fillId="0" borderId="0" xfId="0" applyFont="1"/>
    <xf numFmtId="0" fontId="22" fillId="0" borderId="0" xfId="0" applyFont="1"/>
    <xf numFmtId="0" fontId="22" fillId="2" borderId="0" xfId="0" applyFont="1" applyFill="1"/>
    <xf numFmtId="0" fontId="7" fillId="2" borderId="0" xfId="0" applyFont="1" applyFill="1" applyAlignment="1">
      <alignment horizontal="center"/>
    </xf>
    <xf numFmtId="0" fontId="15" fillId="2" borderId="7" xfId="0" applyFont="1" applyFill="1" applyBorder="1"/>
    <xf numFmtId="0" fontId="15" fillId="2" borderId="8" xfId="0" applyFont="1" applyFill="1" applyBorder="1"/>
    <xf numFmtId="0" fontId="0" fillId="0" borderId="1" xfId="0" applyBorder="1"/>
    <xf numFmtId="0" fontId="14" fillId="0" borderId="1" xfId="0" applyFont="1" applyBorder="1"/>
    <xf numFmtId="0" fontId="0" fillId="0" borderId="9" xfId="0" applyBorder="1"/>
    <xf numFmtId="0" fontId="14" fillId="9" borderId="1" xfId="0" applyFont="1" applyFill="1" applyBorder="1"/>
    <xf numFmtId="0" fontId="27" fillId="12" borderId="1" xfId="0" applyFont="1" applyFill="1" applyBorder="1"/>
    <xf numFmtId="0" fontId="27" fillId="12" borderId="2" xfId="0" applyFont="1" applyFill="1" applyBorder="1"/>
    <xf numFmtId="0" fontId="27" fillId="12" borderId="10" xfId="0" applyFont="1" applyFill="1" applyBorder="1"/>
    <xf numFmtId="0" fontId="28" fillId="0" borderId="0" xfId="0" applyFont="1"/>
    <xf numFmtId="0" fontId="26" fillId="9" borderId="11" xfId="0" applyFont="1" applyFill="1" applyBorder="1"/>
    <xf numFmtId="0" fontId="5" fillId="9" borderId="0" xfId="0" applyFont="1" applyFill="1"/>
    <xf numFmtId="0" fontId="30" fillId="12" borderId="1" xfId="0" applyFont="1" applyFill="1" applyBorder="1"/>
    <xf numFmtId="0" fontId="30" fillId="13" borderId="1" xfId="0" applyFont="1" applyFill="1" applyBorder="1"/>
    <xf numFmtId="0" fontId="30" fillId="12" borderId="6" xfId="0" applyFont="1" applyFill="1" applyBorder="1"/>
    <xf numFmtId="0" fontId="30" fillId="13" borderId="0" xfId="0" applyFont="1" applyFill="1"/>
    <xf numFmtId="0" fontId="30" fillId="13" borderId="7" xfId="0" applyFont="1" applyFill="1" applyBorder="1"/>
    <xf numFmtId="0" fontId="30" fillId="9" borderId="1" xfId="0" applyFont="1" applyFill="1" applyBorder="1"/>
    <xf numFmtId="0" fontId="3" fillId="0" borderId="0" xfId="0" applyFont="1"/>
    <xf numFmtId="0" fontId="20" fillId="0" borderId="12" xfId="0" applyFont="1" applyBorder="1"/>
    <xf numFmtId="0" fontId="5" fillId="0" borderId="12" xfId="0" applyFont="1" applyBorder="1"/>
    <xf numFmtId="0" fontId="0" fillId="0" borderId="12" xfId="0" applyBorder="1"/>
    <xf numFmtId="164" fontId="3" fillId="0" borderId="12" xfId="0" applyNumberFormat="1" applyFont="1" applyBorder="1"/>
    <xf numFmtId="164" fontId="20" fillId="0" borderId="12" xfId="0" applyNumberFormat="1" applyFont="1" applyBorder="1"/>
    <xf numFmtId="0" fontId="31" fillId="0" borderId="0" xfId="0" applyFont="1"/>
    <xf numFmtId="0" fontId="5" fillId="2" borderId="0" xfId="0" applyFont="1" applyFill="1"/>
    <xf numFmtId="0" fontId="5" fillId="2" borderId="0" xfId="0" applyFont="1" applyFill="1" applyAlignment="1">
      <alignment horizontal="center" vertical="center"/>
    </xf>
    <xf numFmtId="0" fontId="15" fillId="7" borderId="1" xfId="0" applyFont="1" applyFill="1" applyBorder="1"/>
    <xf numFmtId="0" fontId="34" fillId="15" borderId="15" xfId="0" applyFont="1" applyFill="1" applyBorder="1" applyAlignment="1">
      <alignment horizontal="center" vertical="center"/>
    </xf>
    <xf numFmtId="0" fontId="35" fillId="15" borderId="16" xfId="0" applyFont="1" applyFill="1" applyBorder="1" applyAlignment="1">
      <alignment horizontal="center" vertical="center" wrapText="1"/>
    </xf>
    <xf numFmtId="0" fontId="34" fillId="15" borderId="15" xfId="0" applyFont="1" applyFill="1" applyBorder="1" applyAlignment="1">
      <alignment horizontal="left" vertical="center"/>
    </xf>
    <xf numFmtId="0" fontId="36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2" fillId="14" borderId="13" xfId="0" applyFont="1" applyFill="1" applyBorder="1" applyAlignment="1">
      <alignment horizontal="center" vertical="center"/>
    </xf>
    <xf numFmtId="0" fontId="33" fillId="14" borderId="14" xfId="0" applyFont="1" applyFill="1" applyBorder="1" applyAlignment="1">
      <alignment horizontal="left" vertical="center"/>
    </xf>
    <xf numFmtId="0" fontId="7" fillId="10" borderId="7" xfId="0" applyFont="1" applyFill="1" applyBorder="1" applyAlignment="1">
      <alignment horizontal="left"/>
    </xf>
    <xf numFmtId="0" fontId="5" fillId="16" borderId="0" xfId="0" applyFont="1" applyFill="1"/>
    <xf numFmtId="0" fontId="5" fillId="16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0" fillId="8" borderId="17" xfId="0" applyFill="1" applyBorder="1"/>
    <xf numFmtId="0" fontId="0" fillId="16" borderId="17" xfId="0" applyFill="1" applyBorder="1"/>
    <xf numFmtId="0" fontId="39" fillId="0" borderId="0" xfId="0" applyFont="1"/>
    <xf numFmtId="0" fontId="0" fillId="17" borderId="1" xfId="0" applyFill="1" applyBorder="1"/>
    <xf numFmtId="0" fontId="0" fillId="9" borderId="1" xfId="0" applyFill="1" applyBorder="1"/>
    <xf numFmtId="0" fontId="0" fillId="18" borderId="1" xfId="0" applyFill="1" applyBorder="1"/>
    <xf numFmtId="0" fontId="0" fillId="19" borderId="1" xfId="0" applyFill="1" applyBorder="1"/>
    <xf numFmtId="0" fontId="0" fillId="20" borderId="1" xfId="0" applyFill="1" applyBorder="1"/>
    <xf numFmtId="0" fontId="0" fillId="6" borderId="1" xfId="0" applyFill="1" applyBorder="1"/>
    <xf numFmtId="0" fontId="40" fillId="17" borderId="1" xfId="0" applyFont="1" applyFill="1" applyBorder="1"/>
    <xf numFmtId="0" fontId="40" fillId="18" borderId="1" xfId="0" applyFont="1" applyFill="1" applyBorder="1"/>
    <xf numFmtId="0" fontId="40" fillId="20" borderId="1" xfId="0" applyFont="1" applyFill="1" applyBorder="1"/>
    <xf numFmtId="0" fontId="0" fillId="0" borderId="0" xfId="0" applyAlignment="1">
      <alignment horizontal="right"/>
    </xf>
    <xf numFmtId="0" fontId="41" fillId="9" borderId="1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/>
    <xf numFmtId="0" fontId="0" fillId="2" borderId="9" xfId="0" applyFill="1" applyBorder="1"/>
    <xf numFmtId="0" fontId="42" fillId="0" borderId="0" xfId="0" applyFont="1" applyAlignment="1">
      <alignment vertical="center"/>
    </xf>
    <xf numFmtId="2" fontId="0" fillId="0" borderId="0" xfId="0" applyNumberFormat="1"/>
    <xf numFmtId="2" fontId="0" fillId="0" borderId="0" xfId="0" quotePrefix="1" applyNumberFormat="1"/>
    <xf numFmtId="0" fontId="0" fillId="3" borderId="0" xfId="0" applyFill="1"/>
    <xf numFmtId="14" fontId="46" fillId="3" borderId="0" xfId="0" applyNumberFormat="1" applyFont="1" applyFill="1"/>
    <xf numFmtId="0" fontId="47" fillId="8" borderId="0" xfId="0" applyFont="1" applyFill="1"/>
    <xf numFmtId="0" fontId="0" fillId="8" borderId="0" xfId="0" applyFill="1"/>
    <xf numFmtId="0" fontId="48" fillId="3" borderId="0" xfId="0" applyFont="1" applyFill="1"/>
    <xf numFmtId="0" fontId="49" fillId="3" borderId="0" xfId="0" applyFont="1" applyFill="1"/>
    <xf numFmtId="0" fontId="36" fillId="3" borderId="0" xfId="0" applyFont="1" applyFill="1" applyAlignment="1">
      <alignment wrapText="1"/>
    </xf>
    <xf numFmtId="0" fontId="50" fillId="8" borderId="0" xfId="0" applyFont="1" applyFill="1"/>
    <xf numFmtId="0" fontId="51" fillId="3" borderId="0" xfId="0" applyFont="1" applyFill="1"/>
    <xf numFmtId="0" fontId="52" fillId="13" borderId="1" xfId="0" applyFont="1" applyFill="1" applyBorder="1" applyAlignment="1">
      <alignment horizontal="center"/>
    </xf>
    <xf numFmtId="0" fontId="46" fillId="3" borderId="0" xfId="0" applyFont="1" applyFill="1"/>
    <xf numFmtId="0" fontId="53" fillId="8" borderId="0" xfId="0" applyFont="1" applyFill="1" applyAlignment="1">
      <alignment horizontal="right"/>
    </xf>
    <xf numFmtId="0" fontId="54" fillId="21" borderId="1" xfId="0" applyFont="1" applyFill="1" applyBorder="1" applyAlignment="1">
      <alignment horizontal="center"/>
    </xf>
    <xf numFmtId="165" fontId="55" fillId="13" borderId="1" xfId="0" applyNumberFormat="1" applyFont="1" applyFill="1" applyBorder="1"/>
    <xf numFmtId="0" fontId="0" fillId="3" borderId="1" xfId="0" applyFill="1" applyBorder="1"/>
    <xf numFmtId="0" fontId="46" fillId="3" borderId="1" xfId="0" applyFont="1" applyFill="1" applyBorder="1"/>
    <xf numFmtId="0" fontId="56" fillId="3" borderId="1" xfId="0" applyFont="1" applyFill="1" applyBorder="1"/>
    <xf numFmtId="0" fontId="57" fillId="8" borderId="0" xfId="0" applyFont="1" applyFill="1"/>
    <xf numFmtId="0" fontId="57" fillId="22" borderId="1" xfId="0" applyFont="1" applyFill="1" applyBorder="1" applyAlignment="1">
      <alignment horizontal="center"/>
    </xf>
    <xf numFmtId="0" fontId="57" fillId="13" borderId="1" xfId="0" applyFont="1" applyFill="1" applyBorder="1"/>
    <xf numFmtId="0" fontId="0" fillId="12" borderId="0" xfId="0" applyFill="1"/>
    <xf numFmtId="0" fontId="58" fillId="12" borderId="0" xfId="0" applyFont="1" applyFill="1" applyAlignment="1">
      <alignment horizontal="right"/>
    </xf>
    <xf numFmtId="165" fontId="58" fillId="12" borderId="0" xfId="0" applyNumberFormat="1" applyFont="1" applyFill="1"/>
    <xf numFmtId="0" fontId="59" fillId="12" borderId="0" xfId="0" applyFont="1" applyFill="1"/>
    <xf numFmtId="0" fontId="54" fillId="8" borderId="0" xfId="0" applyFont="1" applyFill="1"/>
    <xf numFmtId="0" fontId="54" fillId="3" borderId="1" xfId="0" applyFont="1" applyFill="1" applyBorder="1" applyAlignment="1">
      <alignment horizontal="center"/>
    </xf>
    <xf numFmtId="0" fontId="0" fillId="13" borderId="1" xfId="0" applyFill="1" applyBorder="1"/>
    <xf numFmtId="0" fontId="60" fillId="23" borderId="0" xfId="0" applyFont="1" applyFill="1" applyAlignment="1">
      <alignment horizontal="center"/>
    </xf>
    <xf numFmtId="0" fontId="46" fillId="0" borderId="0" xfId="0" applyFont="1" applyAlignment="1">
      <alignment horizontal="right"/>
    </xf>
    <xf numFmtId="0" fontId="61" fillId="24" borderId="0" xfId="0" applyFont="1" applyFill="1"/>
    <xf numFmtId="0" fontId="46" fillId="0" borderId="0" xfId="0" applyFont="1"/>
    <xf numFmtId="0" fontId="62" fillId="0" borderId="0" xfId="0" applyFont="1"/>
    <xf numFmtId="0" fontId="0" fillId="25" borderId="0" xfId="0" applyFill="1"/>
    <xf numFmtId="0" fontId="7" fillId="25" borderId="0" xfId="0" applyFont="1" applyFill="1"/>
    <xf numFmtId="0" fontId="46" fillId="25" borderId="0" xfId="0" applyFont="1" applyFill="1"/>
    <xf numFmtId="0" fontId="0" fillId="23" borderId="0" xfId="0" applyFill="1"/>
    <xf numFmtId="0" fontId="61" fillId="24" borderId="0" xfId="0" applyFont="1" applyFill="1" applyAlignment="1">
      <alignment horizontal="center"/>
    </xf>
    <xf numFmtId="0" fontId="63" fillId="0" borderId="0" xfId="0" applyFont="1"/>
    <xf numFmtId="0" fontId="64" fillId="25" borderId="0" xfId="0" applyFont="1" applyFill="1"/>
    <xf numFmtId="0" fontId="28" fillId="25" borderId="0" xfId="0" applyFont="1" applyFill="1"/>
    <xf numFmtId="0" fontId="61" fillId="24" borderId="0" xfId="0" applyFont="1" applyFill="1" applyAlignment="1">
      <alignment horizontal="left"/>
    </xf>
    <xf numFmtId="16" fontId="57" fillId="0" borderId="0" xfId="0" applyNumberFormat="1" applyFont="1" applyAlignment="1" applyProtection="1">
      <alignment horizontal="left"/>
      <protection locked="0"/>
    </xf>
    <xf numFmtId="0" fontId="65" fillId="25" borderId="0" xfId="0" applyFont="1" applyFill="1"/>
    <xf numFmtId="0" fontId="57" fillId="0" borderId="0" xfId="0" applyFont="1"/>
    <xf numFmtId="1" fontId="0" fillId="25" borderId="0" xfId="0" applyNumberFormat="1" applyFill="1" applyAlignment="1">
      <alignment horizontal="left"/>
    </xf>
    <xf numFmtId="0" fontId="0" fillId="25" borderId="0" xfId="0" applyFill="1" applyAlignment="1">
      <alignment horizontal="left"/>
    </xf>
    <xf numFmtId="0" fontId="59" fillId="0" borderId="0" xfId="0" applyFont="1"/>
    <xf numFmtId="14" fontId="66" fillId="25" borderId="0" xfId="0" applyNumberFormat="1" applyFont="1" applyFill="1"/>
    <xf numFmtId="166" fontId="0" fillId="25" borderId="0" xfId="2" applyNumberFormat="1" applyFont="1" applyFill="1" applyAlignment="1">
      <alignment horizontal="center"/>
    </xf>
    <xf numFmtId="9" fontId="0" fillId="25" borderId="0" xfId="0" applyNumberFormat="1" applyFill="1"/>
    <xf numFmtId="0" fontId="67" fillId="25" borderId="0" xfId="0" applyFont="1" applyFill="1"/>
    <xf numFmtId="0" fontId="63" fillId="0" borderId="0" xfId="0" quotePrefix="1" applyFont="1"/>
    <xf numFmtId="0" fontId="68" fillId="0" borderId="0" xfId="0" applyFont="1"/>
    <xf numFmtId="2" fontId="0" fillId="25" borderId="0" xfId="0" applyNumberFormat="1" applyFill="1"/>
    <xf numFmtId="0" fontId="69" fillId="25" borderId="0" xfId="0" applyFont="1" applyFill="1"/>
    <xf numFmtId="1" fontId="0" fillId="8" borderId="0" xfId="0" applyNumberFormat="1" applyFill="1"/>
    <xf numFmtId="9" fontId="28" fillId="8" borderId="0" xfId="2" applyFont="1" applyFill="1"/>
    <xf numFmtId="9" fontId="0" fillId="8" borderId="0" xfId="0" applyNumberFormat="1" applyFill="1" applyAlignment="1">
      <alignment horizontal="center"/>
    </xf>
    <xf numFmtId="0" fontId="70" fillId="25" borderId="0" xfId="0" applyFont="1" applyFill="1"/>
    <xf numFmtId="9" fontId="28" fillId="25" borderId="0" xfId="2" applyFont="1" applyFill="1" applyAlignment="1">
      <alignment horizontal="center"/>
    </xf>
    <xf numFmtId="0" fontId="0" fillId="25" borderId="0" xfId="0" applyFill="1" applyAlignment="1">
      <alignment horizontal="center"/>
    </xf>
    <xf numFmtId="9" fontId="0" fillId="8" borderId="0" xfId="0" applyNumberFormat="1" applyFill="1"/>
    <xf numFmtId="0" fontId="52" fillId="25" borderId="1" xfId="0" applyFont="1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2" fontId="71" fillId="25" borderId="1" xfId="0" applyNumberFormat="1" applyFont="1" applyFill="1" applyBorder="1" applyAlignment="1">
      <alignment horizontal="center"/>
    </xf>
    <xf numFmtId="0" fontId="72" fillId="25" borderId="0" xfId="0" quotePrefix="1" applyFont="1" applyFill="1"/>
    <xf numFmtId="0" fontId="5" fillId="21" borderId="1" xfId="0" applyFont="1" applyFill="1" applyBorder="1"/>
    <xf numFmtId="165" fontId="73" fillId="21" borderId="1" xfId="0" applyNumberFormat="1" applyFont="1" applyFill="1" applyBorder="1"/>
    <xf numFmtId="9" fontId="0" fillId="25" borderId="1" xfId="2" applyFont="1" applyFill="1" applyBorder="1" applyAlignment="1">
      <alignment horizontal="center"/>
    </xf>
    <xf numFmtId="0" fontId="24" fillId="25" borderId="0" xfId="0" applyFont="1" applyFill="1"/>
    <xf numFmtId="165" fontId="0" fillId="7" borderId="1" xfId="0" applyNumberFormat="1" applyFill="1" applyBorder="1" applyAlignment="1">
      <alignment horizontal="center"/>
    </xf>
    <xf numFmtId="0" fontId="20" fillId="8" borderId="0" xfId="0" applyFont="1" applyFill="1"/>
    <xf numFmtId="1" fontId="61" fillId="24" borderId="0" xfId="0" applyNumberFormat="1" applyFont="1" applyFill="1"/>
    <xf numFmtId="165" fontId="28" fillId="2" borderId="1" xfId="0" applyNumberFormat="1" applyFont="1" applyFill="1" applyBorder="1" applyAlignment="1">
      <alignment horizontal="center"/>
    </xf>
    <xf numFmtId="2" fontId="70" fillId="25" borderId="0" xfId="0" applyNumberFormat="1" applyFont="1" applyFill="1"/>
    <xf numFmtId="0" fontId="7" fillId="8" borderId="0" xfId="0" applyFont="1" applyFill="1"/>
    <xf numFmtId="165" fontId="62" fillId="9" borderId="1" xfId="0" applyNumberFormat="1" applyFont="1" applyFill="1" applyBorder="1"/>
    <xf numFmtId="0" fontId="47" fillId="8" borderId="0" xfId="0" quotePrefix="1" applyFont="1" applyFill="1"/>
    <xf numFmtId="0" fontId="14" fillId="26" borderId="0" xfId="0" applyFont="1" applyFill="1"/>
    <xf numFmtId="164" fontId="74" fillId="25" borderId="1" xfId="0" applyNumberFormat="1" applyFont="1" applyFill="1" applyBorder="1" applyAlignment="1">
      <alignment horizontal="center"/>
    </xf>
    <xf numFmtId="164" fontId="75" fillId="25" borderId="0" xfId="0" applyNumberFormat="1" applyFont="1" applyFill="1"/>
    <xf numFmtId="164" fontId="45" fillId="25" borderId="0" xfId="0" applyNumberFormat="1" applyFont="1" applyFill="1"/>
    <xf numFmtId="164" fontId="28" fillId="25" borderId="0" xfId="0" applyNumberFormat="1" applyFont="1" applyFill="1"/>
    <xf numFmtId="0" fontId="62" fillId="9" borderId="1" xfId="0" applyFont="1" applyFill="1" applyBorder="1"/>
    <xf numFmtId="1" fontId="76" fillId="26" borderId="1" xfId="0" applyNumberFormat="1" applyFont="1" applyFill="1" applyBorder="1" applyAlignment="1">
      <alignment horizontal="center"/>
    </xf>
    <xf numFmtId="164" fontId="74" fillId="25" borderId="0" xfId="0" applyNumberFormat="1" applyFont="1" applyFill="1" applyAlignment="1">
      <alignment horizontal="center"/>
    </xf>
    <xf numFmtId="2" fontId="67" fillId="22" borderId="1" xfId="0" applyNumberFormat="1" applyFont="1" applyFill="1" applyBorder="1"/>
    <xf numFmtId="164" fontId="28" fillId="25" borderId="1" xfId="0" applyNumberFormat="1" applyFont="1" applyFill="1" applyBorder="1"/>
    <xf numFmtId="0" fontId="0" fillId="26" borderId="0" xfId="0" applyFill="1"/>
    <xf numFmtId="0" fontId="0" fillId="16" borderId="1" xfId="0" applyFill="1" applyBorder="1" applyAlignment="1">
      <alignment horizontal="center"/>
    </xf>
    <xf numFmtId="0" fontId="0" fillId="8" borderId="1" xfId="0" applyFill="1" applyBorder="1"/>
    <xf numFmtId="2" fontId="77" fillId="26" borderId="0" xfId="0" applyNumberFormat="1" applyFont="1" applyFill="1" applyAlignment="1">
      <alignment horizontal="center"/>
    </xf>
    <xf numFmtId="2" fontId="67" fillId="25" borderId="1" xfId="0" applyNumberFormat="1" applyFont="1" applyFill="1" applyBorder="1"/>
    <xf numFmtId="0" fontId="0" fillId="25" borderId="1" xfId="0" applyFill="1" applyBorder="1"/>
    <xf numFmtId="0" fontId="0" fillId="17" borderId="1" xfId="0" applyFill="1" applyBorder="1" applyAlignment="1">
      <alignment horizontal="center"/>
    </xf>
    <xf numFmtId="0" fontId="47" fillId="0" borderId="0" xfId="0" applyFont="1"/>
    <xf numFmtId="0" fontId="78" fillId="26" borderId="0" xfId="0" applyFont="1" applyFill="1"/>
    <xf numFmtId="0" fontId="0" fillId="27" borderId="1" xfId="0" applyFill="1" applyBorder="1" applyAlignment="1">
      <alignment horizontal="center"/>
    </xf>
    <xf numFmtId="0" fontId="0" fillId="23" borderId="0" xfId="0" applyFill="1" applyAlignment="1">
      <alignment horizontal="right"/>
    </xf>
    <xf numFmtId="164" fontId="67" fillId="25" borderId="1" xfId="0" applyNumberFormat="1" applyFont="1" applyFill="1" applyBorder="1"/>
    <xf numFmtId="164" fontId="0" fillId="25" borderId="1" xfId="0" applyNumberFormat="1" applyFill="1" applyBorder="1"/>
    <xf numFmtId="0" fontId="79" fillId="23" borderId="0" xfId="0" applyFont="1" applyFill="1" applyAlignment="1">
      <alignment horizontal="right"/>
    </xf>
    <xf numFmtId="9" fontId="80" fillId="26" borderId="0" xfId="0" applyNumberFormat="1" applyFont="1" applyFill="1" applyAlignment="1">
      <alignment horizontal="center"/>
    </xf>
    <xf numFmtId="2" fontId="0" fillId="16" borderId="1" xfId="0" applyNumberFormat="1" applyFill="1" applyBorder="1"/>
    <xf numFmtId="0" fontId="80" fillId="26" borderId="0" xfId="0" applyFont="1" applyFill="1" applyAlignment="1">
      <alignment horizontal="center"/>
    </xf>
    <xf numFmtId="44" fontId="0" fillId="25" borderId="1" xfId="0" applyNumberFormat="1" applyFill="1" applyBorder="1"/>
    <xf numFmtId="0" fontId="67" fillId="26" borderId="0" xfId="0" applyFont="1" applyFill="1" applyAlignment="1">
      <alignment horizontal="center"/>
    </xf>
    <xf numFmtId="1" fontId="46" fillId="24" borderId="0" xfId="0" applyNumberFormat="1" applyFont="1" applyFill="1" applyAlignment="1">
      <alignment horizontal="center"/>
    </xf>
    <xf numFmtId="1" fontId="61" fillId="24" borderId="0" xfId="0" applyNumberFormat="1" applyFont="1" applyFill="1" applyAlignment="1">
      <alignment horizontal="center"/>
    </xf>
    <xf numFmtId="1" fontId="61" fillId="2" borderId="1" xfId="0" applyNumberFormat="1" applyFont="1" applyFill="1" applyBorder="1" applyAlignment="1">
      <alignment horizontal="center"/>
    </xf>
    <xf numFmtId="9" fontId="61" fillId="2" borderId="1" xfId="2" applyFont="1" applyFill="1" applyBorder="1" applyAlignment="1">
      <alignment horizontal="center"/>
    </xf>
    <xf numFmtId="0" fontId="81" fillId="0" borderId="0" xfId="0" applyFont="1"/>
    <xf numFmtId="164" fontId="67" fillId="0" borderId="1" xfId="0" applyNumberFormat="1" applyFont="1" applyBorder="1"/>
    <xf numFmtId="164" fontId="31" fillId="25" borderId="1" xfId="0" applyNumberFormat="1" applyFont="1" applyFill="1" applyBorder="1"/>
    <xf numFmtId="164" fontId="82" fillId="0" borderId="1" xfId="0" applyNumberFormat="1" applyFont="1" applyBorder="1"/>
    <xf numFmtId="164" fontId="82" fillId="25" borderId="1" xfId="0" applyNumberFormat="1" applyFont="1" applyFill="1" applyBorder="1"/>
    <xf numFmtId="9" fontId="61" fillId="24" borderId="0" xfId="2" applyFont="1" applyFill="1" applyAlignment="1">
      <alignment horizontal="center"/>
    </xf>
    <xf numFmtId="0" fontId="83" fillId="28" borderId="1" xfId="0" applyFont="1" applyFill="1" applyBorder="1"/>
    <xf numFmtId="1" fontId="61" fillId="2" borderId="1" xfId="0" applyNumberFormat="1" applyFont="1" applyFill="1" applyBorder="1" applyAlignment="1" applyProtection="1">
      <alignment horizontal="center"/>
      <protection locked="0"/>
    </xf>
    <xf numFmtId="164" fontId="84" fillId="25" borderId="1" xfId="0" applyNumberFormat="1" applyFont="1" applyFill="1" applyBorder="1"/>
    <xf numFmtId="164" fontId="85" fillId="25" borderId="1" xfId="0" applyNumberFormat="1" applyFont="1" applyFill="1" applyBorder="1"/>
    <xf numFmtId="2" fontId="7" fillId="25" borderId="1" xfId="0" applyNumberFormat="1" applyFont="1" applyFill="1" applyBorder="1"/>
    <xf numFmtId="164" fontId="66" fillId="26" borderId="1" xfId="0" applyNumberFormat="1" applyFont="1" applyFill="1" applyBorder="1"/>
    <xf numFmtId="164" fontId="0" fillId="26" borderId="1" xfId="0" applyNumberFormat="1" applyFill="1" applyBorder="1"/>
    <xf numFmtId="0" fontId="0" fillId="12" borderId="0" xfId="0" applyFill="1" applyAlignment="1">
      <alignment horizontal="right"/>
    </xf>
    <xf numFmtId="167" fontId="7" fillId="25" borderId="1" xfId="0" applyNumberFormat="1" applyFont="1" applyFill="1" applyBorder="1"/>
    <xf numFmtId="0" fontId="7" fillId="7" borderId="0" xfId="0" applyFont="1" applyFill="1"/>
    <xf numFmtId="1" fontId="62" fillId="9" borderId="1" xfId="0" applyNumberFormat="1" applyFont="1" applyFill="1" applyBorder="1"/>
    <xf numFmtId="0" fontId="86" fillId="26" borderId="1" xfId="0" applyFont="1" applyFill="1" applyBorder="1"/>
    <xf numFmtId="0" fontId="0" fillId="26" borderId="1" xfId="0" applyFill="1" applyBorder="1"/>
    <xf numFmtId="0" fontId="67" fillId="26" borderId="0" xfId="0" applyFont="1" applyFill="1" applyAlignment="1">
      <alignment horizontal="right"/>
    </xf>
    <xf numFmtId="167" fontId="0" fillId="26" borderId="0" xfId="0" applyNumberFormat="1" applyFill="1"/>
    <xf numFmtId="9" fontId="67" fillId="26" borderId="0" xfId="0" applyNumberFormat="1" applyFont="1" applyFill="1" applyAlignment="1">
      <alignment horizontal="center"/>
    </xf>
    <xf numFmtId="1" fontId="61" fillId="24" borderId="0" xfId="0" applyNumberFormat="1" applyFont="1" applyFill="1" applyAlignment="1">
      <alignment horizontal="left"/>
    </xf>
    <xf numFmtId="0" fontId="0" fillId="24" borderId="0" xfId="0" applyFill="1"/>
    <xf numFmtId="2" fontId="0" fillId="24" borderId="0" xfId="0" applyNumberFormat="1" applyFill="1"/>
    <xf numFmtId="1" fontId="61" fillId="24" borderId="0" xfId="0" applyNumberFormat="1" applyFont="1" applyFill="1" applyAlignment="1">
      <alignment horizontal="right"/>
    </xf>
    <xf numFmtId="0" fontId="67" fillId="24" borderId="0" xfId="0" applyFont="1" applyFill="1"/>
    <xf numFmtId="2" fontId="67" fillId="24" borderId="1" xfId="0" applyNumberFormat="1" applyFont="1" applyFill="1" applyBorder="1"/>
    <xf numFmtId="0" fontId="0" fillId="24" borderId="7" xfId="0" applyFill="1" applyBorder="1"/>
    <xf numFmtId="9" fontId="20" fillId="24" borderId="0" xfId="0" applyNumberFormat="1" applyFont="1" applyFill="1"/>
    <xf numFmtId="0" fontId="0" fillId="24" borderId="1" xfId="0" applyFill="1" applyBorder="1"/>
    <xf numFmtId="164" fontId="0" fillId="24" borderId="0" xfId="0" applyNumberFormat="1" applyFill="1"/>
    <xf numFmtId="164" fontId="0" fillId="24" borderId="1" xfId="0" applyNumberFormat="1" applyFill="1" applyBorder="1"/>
    <xf numFmtId="0" fontId="67" fillId="26" borderId="1" xfId="0" applyFont="1" applyFill="1" applyBorder="1" applyAlignment="1">
      <alignment horizontal="center"/>
    </xf>
    <xf numFmtId="2" fontId="62" fillId="9" borderId="1" xfId="0" applyNumberFormat="1" applyFont="1" applyFill="1" applyBorder="1"/>
    <xf numFmtId="2" fontId="47" fillId="0" borderId="0" xfId="0" applyNumberFormat="1" applyFont="1" applyAlignment="1">
      <alignment horizontal="right"/>
    </xf>
    <xf numFmtId="9" fontId="0" fillId="24" borderId="1" xfId="2" applyFont="1" applyFill="1" applyBorder="1"/>
    <xf numFmtId="168" fontId="5" fillId="24" borderId="1" xfId="0" applyNumberFormat="1" applyFont="1" applyFill="1" applyBorder="1"/>
    <xf numFmtId="2" fontId="47" fillId="0" borderId="0" xfId="0" applyNumberFormat="1" applyFont="1"/>
    <xf numFmtId="0" fontId="0" fillId="24" borderId="0" xfId="0" applyFill="1" applyAlignment="1">
      <alignment horizontal="center"/>
    </xf>
    <xf numFmtId="168" fontId="0" fillId="24" borderId="1" xfId="0" applyNumberFormat="1" applyFill="1" applyBorder="1"/>
    <xf numFmtId="0" fontId="0" fillId="7" borderId="0" xfId="0" applyFill="1" applyAlignment="1">
      <alignment horizontal="right"/>
    </xf>
    <xf numFmtId="0" fontId="7" fillId="24" borderId="1" xfId="0" applyFont="1" applyFill="1" applyBorder="1" applyAlignment="1">
      <alignment horizontal="right"/>
    </xf>
    <xf numFmtId="0" fontId="0" fillId="24" borderId="0" xfId="0" applyFill="1" applyAlignment="1">
      <alignment horizontal="right"/>
    </xf>
    <xf numFmtId="2" fontId="0" fillId="0" borderId="18" xfId="0" applyNumberFormat="1" applyBorder="1"/>
    <xf numFmtId="0" fontId="79" fillId="7" borderId="0" xfId="0" applyFont="1" applyFill="1" applyAlignment="1">
      <alignment horizontal="right"/>
    </xf>
    <xf numFmtId="164" fontId="0" fillId="24" borderId="7" xfId="0" applyNumberFormat="1" applyFill="1" applyBorder="1"/>
    <xf numFmtId="1" fontId="63" fillId="24" borderId="0" xfId="0" applyNumberFormat="1" applyFont="1" applyFill="1"/>
    <xf numFmtId="0" fontId="0" fillId="24" borderId="18" xfId="0" applyFill="1" applyBorder="1"/>
    <xf numFmtId="0" fontId="87" fillId="24" borderId="0" xfId="0" applyFont="1" applyFill="1"/>
    <xf numFmtId="0" fontId="88" fillId="27" borderId="1" xfId="0" applyFont="1" applyFill="1" applyBorder="1" applyAlignment="1">
      <alignment horizontal="center"/>
    </xf>
    <xf numFmtId="0" fontId="36" fillId="0" borderId="0" xfId="0" applyFont="1" applyAlignment="1">
      <alignment horizontal="right" wrapText="1"/>
    </xf>
    <xf numFmtId="0" fontId="36" fillId="0" borderId="0" xfId="0" applyFont="1" applyAlignment="1">
      <alignment wrapText="1"/>
    </xf>
    <xf numFmtId="0" fontId="46" fillId="24" borderId="0" xfId="0" applyFont="1" applyFill="1"/>
    <xf numFmtId="0" fontId="80" fillId="24" borderId="0" xfId="0" applyFont="1" applyFill="1"/>
    <xf numFmtId="2" fontId="62" fillId="9" borderId="9" xfId="0" applyNumberFormat="1" applyFont="1" applyFill="1" applyBorder="1"/>
    <xf numFmtId="10" fontId="62" fillId="2" borderId="18" xfId="0" applyNumberFormat="1" applyFont="1" applyFill="1" applyBorder="1"/>
    <xf numFmtId="0" fontId="7" fillId="24" borderId="0" xfId="0" applyFont="1" applyFill="1"/>
    <xf numFmtId="1" fontId="61" fillId="24" borderId="0" xfId="0" quotePrefix="1" applyNumberFormat="1" applyFont="1" applyFill="1" applyAlignment="1">
      <alignment horizontal="left"/>
    </xf>
    <xf numFmtId="0" fontId="89" fillId="8" borderId="0" xfId="0" applyFont="1" applyFill="1"/>
    <xf numFmtId="0" fontId="90" fillId="8" borderId="0" xfId="0" applyFont="1" applyFill="1" applyAlignment="1">
      <alignment horizontal="right"/>
    </xf>
    <xf numFmtId="0" fontId="21" fillId="12" borderId="0" xfId="0" applyFont="1" applyFill="1" applyAlignment="1">
      <alignment horizontal="center"/>
    </xf>
    <xf numFmtId="0" fontId="91" fillId="13" borderId="0" xfId="0" applyFont="1" applyFill="1"/>
    <xf numFmtId="0" fontId="21" fillId="12" borderId="0" xfId="0" applyFont="1" applyFill="1"/>
    <xf numFmtId="0" fontId="92" fillId="8" borderId="0" xfId="0" applyFont="1" applyFill="1"/>
    <xf numFmtId="165" fontId="61" fillId="24" borderId="0" xfId="0" applyNumberFormat="1" applyFont="1" applyFill="1"/>
    <xf numFmtId="0" fontId="91" fillId="12" borderId="0" xfId="0" applyFont="1" applyFill="1"/>
    <xf numFmtId="0" fontId="46" fillId="8" borderId="0" xfId="0" applyFont="1" applyFill="1"/>
    <xf numFmtId="0" fontId="93" fillId="0" borderId="1" xfId="0" applyFont="1" applyBorder="1"/>
    <xf numFmtId="0" fontId="91" fillId="0" borderId="1" xfId="0" applyFont="1" applyBorder="1"/>
    <xf numFmtId="0" fontId="94" fillId="0" borderId="1" xfId="0" applyFont="1" applyBorder="1"/>
    <xf numFmtId="0" fontId="20" fillId="0" borderId="1" xfId="0" applyFont="1" applyBorder="1"/>
    <xf numFmtId="2" fontId="61" fillId="24" borderId="0" xfId="0" applyNumberFormat="1" applyFont="1" applyFill="1"/>
    <xf numFmtId="0" fontId="63" fillId="8" borderId="0" xfId="0" applyFont="1" applyFill="1"/>
    <xf numFmtId="0" fontId="7" fillId="10" borderId="0" xfId="0" applyFont="1" applyFill="1"/>
    <xf numFmtId="0" fontId="85" fillId="0" borderId="1" xfId="0" applyFont="1" applyBorder="1"/>
    <xf numFmtId="169" fontId="95" fillId="8" borderId="0" xfId="3" applyFill="1" applyAlignment="1" applyProtection="1"/>
    <xf numFmtId="0" fontId="81" fillId="0" borderId="0" xfId="0" applyFont="1" applyAlignment="1">
      <alignment horizontal="right"/>
    </xf>
    <xf numFmtId="165" fontId="62" fillId="9" borderId="1" xfId="0" quotePrefix="1" applyNumberFormat="1" applyFont="1" applyFill="1" applyBorder="1"/>
    <xf numFmtId="0" fontId="13" fillId="0" borderId="0" xfId="0" applyFont="1"/>
    <xf numFmtId="165" fontId="62" fillId="9" borderId="0" xfId="0" applyNumberFormat="1" applyFont="1" applyFill="1"/>
    <xf numFmtId="1" fontId="0" fillId="0" borderId="0" xfId="0" applyNumberFormat="1"/>
    <xf numFmtId="0" fontId="96" fillId="8" borderId="0" xfId="0" applyFont="1" applyFill="1"/>
    <xf numFmtId="0" fontId="0" fillId="13" borderId="0" xfId="0" applyFill="1"/>
    <xf numFmtId="165" fontId="61" fillId="24" borderId="0" xfId="2" applyNumberFormat="1" applyFont="1" applyFill="1"/>
    <xf numFmtId="0" fontId="97" fillId="0" borderId="0" xfId="0" applyFont="1"/>
    <xf numFmtId="0" fontId="91" fillId="0" borderId="0" xfId="0" applyFont="1"/>
    <xf numFmtId="0" fontId="63" fillId="8" borderId="0" xfId="0" applyFont="1" applyFill="1" applyAlignment="1">
      <alignment horizontal="right"/>
    </xf>
    <xf numFmtId="14" fontId="0" fillId="8" borderId="0" xfId="0" applyNumberFormat="1" applyFill="1"/>
    <xf numFmtId="0" fontId="21" fillId="0" borderId="0" xfId="0" applyFont="1"/>
    <xf numFmtId="0" fontId="59" fillId="7" borderId="0" xfId="0" applyFont="1" applyFill="1"/>
    <xf numFmtId="0" fontId="5" fillId="25" borderId="0" xfId="0" applyFont="1" applyFill="1" applyProtection="1">
      <protection locked="0"/>
    </xf>
    <xf numFmtId="0" fontId="48" fillId="25" borderId="0" xfId="0" applyFont="1" applyFill="1" applyProtection="1">
      <protection locked="0"/>
    </xf>
    <xf numFmtId="0" fontId="46" fillId="25" borderId="0" xfId="0" applyFont="1" applyFill="1" applyProtection="1">
      <protection locked="0"/>
    </xf>
    <xf numFmtId="0" fontId="5" fillId="25" borderId="0" xfId="0" applyFont="1" applyFill="1" applyAlignment="1" applyProtection="1">
      <alignment horizontal="right"/>
      <protection locked="0"/>
    </xf>
    <xf numFmtId="0" fontId="5" fillId="25" borderId="0" xfId="0" quotePrefix="1" applyFont="1" applyFill="1" applyAlignment="1" applyProtection="1">
      <alignment horizontal="right"/>
      <protection locked="0"/>
    </xf>
    <xf numFmtId="0" fontId="0" fillId="12" borderId="1" xfId="0" quotePrefix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44" fillId="12" borderId="1" xfId="0" quotePrefix="1" applyFont="1" applyFill="1" applyBorder="1" applyAlignment="1">
      <alignment horizontal="center"/>
    </xf>
    <xf numFmtId="170" fontId="0" fillId="12" borderId="1" xfId="0" applyNumberFormat="1" applyFill="1" applyBorder="1" applyAlignment="1">
      <alignment horizontal="center"/>
    </xf>
    <xf numFmtId="0" fontId="99" fillId="25" borderId="1" xfId="0" applyFont="1" applyFill="1" applyBorder="1"/>
    <xf numFmtId="0" fontId="7" fillId="7" borderId="1" xfId="0" quotePrefix="1" applyFont="1" applyFill="1" applyBorder="1" applyAlignment="1">
      <alignment horizontal="center"/>
    </xf>
    <xf numFmtId="0" fontId="7" fillId="7" borderId="1" xfId="0" applyFont="1" applyFill="1" applyBorder="1"/>
    <xf numFmtId="0" fontId="7" fillId="7" borderId="1" xfId="0" applyFont="1" applyFill="1" applyBorder="1" applyAlignment="1">
      <alignment horizontal="center"/>
    </xf>
    <xf numFmtId="0" fontId="0" fillId="25" borderId="0" xfId="0" applyFill="1" applyAlignment="1">
      <alignment horizontal="right"/>
    </xf>
    <xf numFmtId="9" fontId="5" fillId="12" borderId="1" xfId="0" quotePrefix="1" applyNumberFormat="1" applyFont="1" applyFill="1" applyBorder="1" applyAlignment="1">
      <alignment horizontal="center"/>
    </xf>
    <xf numFmtId="0" fontId="5" fillId="12" borderId="1" xfId="0" applyFont="1" applyFill="1" applyBorder="1" applyAlignment="1">
      <alignment horizontal="center"/>
    </xf>
    <xf numFmtId="0" fontId="6" fillId="25" borderId="0" xfId="0" applyFont="1" applyFill="1"/>
    <xf numFmtId="0" fontId="5" fillId="12" borderId="1" xfId="0" quotePrefix="1" applyFont="1" applyFill="1" applyBorder="1" applyAlignment="1">
      <alignment horizontal="center"/>
    </xf>
    <xf numFmtId="0" fontId="44" fillId="12" borderId="1" xfId="0" applyFont="1" applyFill="1" applyBorder="1" applyAlignment="1">
      <alignment horizontal="center"/>
    </xf>
    <xf numFmtId="9" fontId="0" fillId="12" borderId="1" xfId="2" quotePrefix="1" applyFont="1" applyFill="1" applyBorder="1" applyAlignment="1">
      <alignment horizontal="center"/>
    </xf>
    <xf numFmtId="2" fontId="0" fillId="12" borderId="1" xfId="0" quotePrefix="1" applyNumberForma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0" fontId="39" fillId="25" borderId="0" xfId="0" applyFont="1" applyFill="1"/>
    <xf numFmtId="170" fontId="0" fillId="25" borderId="1" xfId="0" applyNumberFormat="1" applyFill="1" applyBorder="1" applyAlignment="1">
      <alignment horizontal="center"/>
    </xf>
    <xf numFmtId="0" fontId="100" fillId="25" borderId="0" xfId="0" applyFont="1" applyFill="1" applyAlignment="1">
      <alignment horizontal="center"/>
    </xf>
    <xf numFmtId="0" fontId="101" fillId="25" borderId="0" xfId="0" applyFont="1" applyFill="1"/>
    <xf numFmtId="0" fontId="28" fillId="25" borderId="19" xfId="0" applyFont="1" applyFill="1" applyBorder="1"/>
    <xf numFmtId="0" fontId="0" fillId="25" borderId="20" xfId="0" applyFill="1" applyBorder="1"/>
    <xf numFmtId="0" fontId="28" fillId="25" borderId="21" xfId="0" applyFont="1" applyFill="1" applyBorder="1" applyAlignment="1">
      <alignment horizontal="center"/>
    </xf>
    <xf numFmtId="14" fontId="102" fillId="25" borderId="0" xfId="0" applyNumberFormat="1" applyFont="1" applyFill="1"/>
    <xf numFmtId="0" fontId="28" fillId="25" borderId="22" xfId="0" applyFont="1" applyFill="1" applyBorder="1"/>
    <xf numFmtId="0" fontId="28" fillId="25" borderId="23" xfId="0" applyFont="1" applyFill="1" applyBorder="1" applyAlignment="1">
      <alignment horizontal="center"/>
    </xf>
    <xf numFmtId="0" fontId="103" fillId="25" borderId="0" xfId="0" applyFont="1" applyFill="1" applyAlignment="1">
      <alignment horizontal="right"/>
    </xf>
    <xf numFmtId="0" fontId="104" fillId="25" borderId="0" xfId="0" applyFont="1" applyFill="1"/>
    <xf numFmtId="0" fontId="28" fillId="29" borderId="22" xfId="0" applyFont="1" applyFill="1" applyBorder="1"/>
    <xf numFmtId="0" fontId="0" fillId="29" borderId="0" xfId="0" applyFill="1"/>
    <xf numFmtId="0" fontId="28" fillId="29" borderId="23" xfId="0" applyFont="1" applyFill="1" applyBorder="1" applyAlignment="1">
      <alignment horizontal="center"/>
    </xf>
    <xf numFmtId="0" fontId="0" fillId="21" borderId="0" xfId="0" applyFill="1"/>
    <xf numFmtId="0" fontId="0" fillId="21" borderId="0" xfId="0" applyFill="1" applyAlignment="1">
      <alignment horizontal="right"/>
    </xf>
    <xf numFmtId="0" fontId="11" fillId="21" borderId="0" xfId="0" applyFont="1" applyFill="1"/>
    <xf numFmtId="0" fontId="28" fillId="29" borderId="23" xfId="0" applyFont="1" applyFill="1" applyBorder="1"/>
    <xf numFmtId="0" fontId="0" fillId="30" borderId="5" xfId="0" applyFill="1" applyBorder="1" applyAlignment="1">
      <alignment horizontal="center"/>
    </xf>
    <xf numFmtId="1" fontId="0" fillId="21" borderId="1" xfId="0" applyNumberFormat="1" applyFill="1" applyBorder="1" applyAlignment="1" applyProtection="1">
      <alignment horizontal="center"/>
      <protection locked="0"/>
    </xf>
    <xf numFmtId="0" fontId="105" fillId="21" borderId="0" xfId="0" applyFont="1" applyFill="1"/>
    <xf numFmtId="0" fontId="27" fillId="21" borderId="0" xfId="0" applyFont="1" applyFill="1" applyAlignment="1">
      <alignment horizontal="right"/>
    </xf>
    <xf numFmtId="0" fontId="13" fillId="21" borderId="0" xfId="0" applyFont="1" applyFill="1"/>
    <xf numFmtId="0" fontId="106" fillId="21" borderId="0" xfId="0" applyFont="1" applyFill="1" applyAlignment="1">
      <alignment horizontal="right"/>
    </xf>
    <xf numFmtId="165" fontId="0" fillId="21" borderId="1" xfId="0" applyNumberFormat="1" applyFill="1" applyBorder="1"/>
    <xf numFmtId="165" fontId="0" fillId="21" borderId="1" xfId="0" applyNumberFormat="1" applyFill="1" applyBorder="1" applyProtection="1">
      <protection locked="0"/>
    </xf>
    <xf numFmtId="165" fontId="16" fillId="21" borderId="3" xfId="0" applyNumberFormat="1" applyFont="1" applyFill="1" applyBorder="1" applyAlignment="1">
      <alignment horizontal="center"/>
    </xf>
    <xf numFmtId="0" fontId="26" fillId="12" borderId="1" xfId="0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28" fillId="21" borderId="0" xfId="0" applyFont="1" applyFill="1"/>
    <xf numFmtId="0" fontId="0" fillId="21" borderId="1" xfId="0" quotePrefix="1" applyFill="1" applyBorder="1" applyAlignment="1" applyProtection="1">
      <alignment horizontal="right"/>
      <protection locked="0"/>
    </xf>
    <xf numFmtId="0" fontId="14" fillId="21" borderId="0" xfId="0" applyFont="1" applyFill="1" applyAlignment="1">
      <alignment vertical="center"/>
    </xf>
    <xf numFmtId="0" fontId="110" fillId="21" borderId="0" xfId="0" applyFont="1" applyFill="1"/>
    <xf numFmtId="0" fontId="105" fillId="21" borderId="1" xfId="0" applyFont="1" applyFill="1" applyBorder="1" applyProtection="1">
      <protection locked="0"/>
    </xf>
    <xf numFmtId="0" fontId="110" fillId="21" borderId="0" xfId="0" applyFont="1" applyFill="1" applyAlignment="1">
      <alignment horizontal="center"/>
    </xf>
    <xf numFmtId="0" fontId="14" fillId="21" borderId="0" xfId="0" applyFont="1" applyFill="1"/>
    <xf numFmtId="0" fontId="105" fillId="21" borderId="1" xfId="0" applyFont="1" applyFill="1" applyBorder="1" applyAlignment="1" applyProtection="1">
      <alignment horizontal="right"/>
      <protection locked="0"/>
    </xf>
    <xf numFmtId="0" fontId="0" fillId="12" borderId="1" xfId="0" applyFill="1" applyBorder="1" applyAlignment="1" applyProtection="1">
      <alignment horizontal="center"/>
      <protection locked="0"/>
    </xf>
    <xf numFmtId="0" fontId="86" fillId="25" borderId="0" xfId="0" applyFont="1" applyFill="1"/>
    <xf numFmtId="0" fontId="86" fillId="25" borderId="0" xfId="0" applyFont="1" applyFill="1" applyAlignment="1">
      <alignment horizontal="center"/>
    </xf>
    <xf numFmtId="0" fontId="13" fillId="21" borderId="0" xfId="0" applyFont="1" applyFill="1" applyAlignment="1">
      <alignment horizontal="right"/>
    </xf>
    <xf numFmtId="0" fontId="0" fillId="21" borderId="1" xfId="0" applyFill="1" applyBorder="1" applyProtection="1">
      <protection locked="0"/>
    </xf>
    <xf numFmtId="0" fontId="14" fillId="12" borderId="1" xfId="0" applyFont="1" applyFill="1" applyBorder="1" applyAlignment="1" applyProtection="1">
      <alignment horizontal="center" vertical="center"/>
      <protection locked="0"/>
    </xf>
    <xf numFmtId="165" fontId="0" fillId="29" borderId="0" xfId="0" applyNumberFormat="1" applyFill="1"/>
    <xf numFmtId="0" fontId="14" fillId="21" borderId="0" xfId="0" applyFont="1" applyFill="1" applyAlignment="1">
      <alignment horizontal="center"/>
    </xf>
    <xf numFmtId="0" fontId="111" fillId="29" borderId="22" xfId="0" applyFont="1" applyFill="1" applyBorder="1"/>
    <xf numFmtId="165" fontId="112" fillId="31" borderId="1" xfId="0" applyNumberFormat="1" applyFont="1" applyFill="1" applyBorder="1" applyAlignment="1">
      <alignment horizontal="center"/>
    </xf>
    <xf numFmtId="165" fontId="113" fillId="2" borderId="1" xfId="0" applyNumberFormat="1" applyFont="1" applyFill="1" applyBorder="1" applyAlignment="1">
      <alignment horizontal="center"/>
    </xf>
    <xf numFmtId="0" fontId="91" fillId="25" borderId="9" xfId="0" applyFont="1" applyFill="1" applyBorder="1" applyAlignment="1">
      <alignment horizontal="center"/>
    </xf>
    <xf numFmtId="0" fontId="114" fillId="25" borderId="9" xfId="0" applyFont="1" applyFill="1" applyBorder="1" applyAlignment="1">
      <alignment horizontal="center"/>
    </xf>
    <xf numFmtId="0" fontId="115" fillId="25" borderId="0" xfId="0" applyFont="1" applyFill="1"/>
    <xf numFmtId="0" fontId="116" fillId="29" borderId="22" xfId="0" applyFont="1" applyFill="1" applyBorder="1"/>
    <xf numFmtId="165" fontId="117" fillId="25" borderId="24" xfId="0" applyNumberFormat="1" applyFont="1" applyFill="1" applyBorder="1" applyAlignment="1">
      <alignment horizontal="center"/>
    </xf>
    <xf numFmtId="0" fontId="117" fillId="25" borderId="24" xfId="0" applyFont="1" applyFill="1" applyBorder="1" applyAlignment="1">
      <alignment horizontal="center"/>
    </xf>
    <xf numFmtId="0" fontId="0" fillId="29" borderId="23" xfId="0" applyFill="1" applyBorder="1"/>
    <xf numFmtId="0" fontId="0" fillId="32" borderId="0" xfId="0" applyFill="1"/>
    <xf numFmtId="0" fontId="0" fillId="25" borderId="25" xfId="0" applyFill="1" applyBorder="1"/>
    <xf numFmtId="165" fontId="118" fillId="25" borderId="26" xfId="0" applyNumberFormat="1" applyFont="1" applyFill="1" applyBorder="1" applyAlignment="1">
      <alignment horizontal="center"/>
    </xf>
    <xf numFmtId="165" fontId="119" fillId="25" borderId="26" xfId="0" applyNumberFormat="1" applyFont="1" applyFill="1" applyBorder="1" applyAlignment="1">
      <alignment horizontal="center"/>
    </xf>
    <xf numFmtId="0" fontId="4" fillId="25" borderId="26" xfId="0" applyFont="1" applyFill="1" applyBorder="1" applyAlignment="1">
      <alignment horizontal="center"/>
    </xf>
    <xf numFmtId="0" fontId="0" fillId="25" borderId="27" xfId="0" applyFill="1" applyBorder="1"/>
    <xf numFmtId="0" fontId="120" fillId="25" borderId="0" xfId="0" applyFont="1" applyFill="1"/>
    <xf numFmtId="0" fontId="0" fillId="25" borderId="28" xfId="0" applyFill="1" applyBorder="1"/>
    <xf numFmtId="0" fontId="120" fillId="25" borderId="0" xfId="0" applyFont="1" applyFill="1" applyProtection="1">
      <protection locked="0" hidden="1"/>
    </xf>
    <xf numFmtId="0" fontId="121" fillId="25" borderId="0" xfId="0" applyFont="1" applyFill="1"/>
    <xf numFmtId="0" fontId="0" fillId="25" borderId="29" xfId="0" applyFill="1" applyBorder="1"/>
    <xf numFmtId="0" fontId="0" fillId="25" borderId="30" xfId="0" applyFill="1" applyBorder="1"/>
    <xf numFmtId="0" fontId="0" fillId="25" borderId="31" xfId="0" applyFill="1" applyBorder="1"/>
    <xf numFmtId="0" fontId="0" fillId="33" borderId="0" xfId="0" applyFill="1"/>
    <xf numFmtId="0" fontId="0" fillId="25" borderId="32" xfId="0" applyFill="1" applyBorder="1"/>
    <xf numFmtId="0" fontId="0" fillId="25" borderId="33" xfId="0" applyFill="1" applyBorder="1"/>
    <xf numFmtId="2" fontId="86" fillId="25" borderId="0" xfId="0" applyNumberFormat="1" applyFont="1" applyFill="1" applyAlignment="1">
      <alignment horizontal="center"/>
    </xf>
    <xf numFmtId="0" fontId="84" fillId="33" borderId="0" xfId="0" applyFont="1" applyFill="1"/>
    <xf numFmtId="0" fontId="122" fillId="33" borderId="0" xfId="0" applyFont="1" applyFill="1"/>
    <xf numFmtId="0" fontId="123" fillId="25" borderId="0" xfId="0" applyFont="1" applyFill="1"/>
    <xf numFmtId="0" fontId="84" fillId="34" borderId="0" xfId="0" applyFont="1" applyFill="1"/>
    <xf numFmtId="0" fontId="0" fillId="34" borderId="0" xfId="0" applyFill="1"/>
    <xf numFmtId="0" fontId="0" fillId="34" borderId="0" xfId="0" applyFill="1" applyAlignment="1">
      <alignment horizontal="right"/>
    </xf>
    <xf numFmtId="165" fontId="54" fillId="0" borderId="1" xfId="0" applyNumberFormat="1" applyFont="1" applyBorder="1"/>
    <xf numFmtId="0" fontId="0" fillId="34" borderId="1" xfId="0" applyFill="1" applyBorder="1"/>
    <xf numFmtId="0" fontId="105" fillId="34" borderId="0" xfId="0" applyFont="1" applyFill="1"/>
    <xf numFmtId="0" fontId="124" fillId="25" borderId="0" xfId="0" applyFont="1" applyFill="1"/>
    <xf numFmtId="0" fontId="54" fillId="0" borderId="1" xfId="0" applyFont="1" applyBorder="1"/>
    <xf numFmtId="0" fontId="120" fillId="25" borderId="0" xfId="0" applyFont="1" applyFill="1" applyAlignment="1" applyProtection="1">
      <alignment horizontal="right"/>
      <protection locked="0" hidden="1"/>
    </xf>
    <xf numFmtId="2" fontId="54" fillId="0" borderId="1" xfId="0" applyNumberFormat="1" applyFont="1" applyBorder="1"/>
    <xf numFmtId="0" fontId="125" fillId="25" borderId="0" xfId="0" applyFont="1" applyFill="1"/>
    <xf numFmtId="0" fontId="126" fillId="34" borderId="0" xfId="0" applyFont="1" applyFill="1"/>
    <xf numFmtId="0" fontId="0" fillId="34" borderId="1" xfId="0" applyFill="1" applyBorder="1" applyAlignment="1">
      <alignment horizontal="right"/>
    </xf>
    <xf numFmtId="165" fontId="54" fillId="0" borderId="1" xfId="0" applyNumberFormat="1" applyFont="1" applyBorder="1" applyAlignment="1">
      <alignment horizontal="right"/>
    </xf>
    <xf numFmtId="0" fontId="127" fillId="0" borderId="1" xfId="0" applyFont="1" applyBorder="1" applyAlignment="1">
      <alignment horizontal="right" vertical="center"/>
    </xf>
    <xf numFmtId="0" fontId="4" fillId="34" borderId="0" xfId="0" applyFont="1" applyFill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20" fillId="26" borderId="34" xfId="0" applyFont="1" applyFill="1" applyBorder="1"/>
    <xf numFmtId="0" fontId="126" fillId="26" borderId="35" xfId="0" applyFont="1" applyFill="1" applyBorder="1"/>
    <xf numFmtId="1" fontId="54" fillId="0" borderId="1" xfId="0" applyNumberFormat="1" applyFont="1" applyBorder="1" applyAlignment="1">
      <alignment horizontal="center"/>
    </xf>
    <xf numFmtId="0" fontId="130" fillId="34" borderId="0" xfId="0" applyFont="1" applyFill="1"/>
    <xf numFmtId="0" fontId="131" fillId="34" borderId="0" xfId="0" applyFont="1" applyFill="1" applyAlignment="1">
      <alignment horizontal="center"/>
    </xf>
    <xf numFmtId="0" fontId="54" fillId="25" borderId="0" xfId="0" applyFont="1" applyFill="1"/>
    <xf numFmtId="0" fontId="132" fillId="25" borderId="0" xfId="0" applyFont="1" applyFill="1"/>
    <xf numFmtId="0" fontId="54" fillId="12" borderId="0" xfId="0" applyFont="1" applyFill="1" applyAlignment="1">
      <alignment horizontal="center"/>
    </xf>
    <xf numFmtId="0" fontId="134" fillId="25" borderId="0" xfId="0" applyFont="1" applyFill="1"/>
    <xf numFmtId="0" fontId="54" fillId="13" borderId="0" xfId="0" applyFont="1" applyFill="1" applyAlignment="1">
      <alignment horizontal="center"/>
    </xf>
    <xf numFmtId="0" fontId="0" fillId="37" borderId="0" xfId="0" applyFill="1"/>
    <xf numFmtId="165" fontId="7" fillId="25" borderId="1" xfId="0" applyNumberFormat="1" applyFont="1" applyFill="1" applyBorder="1"/>
    <xf numFmtId="0" fontId="0" fillId="37" borderId="36" xfId="0" applyFill="1" applyBorder="1" applyAlignment="1">
      <alignment horizontal="left"/>
    </xf>
    <xf numFmtId="0" fontId="0" fillId="37" borderId="0" xfId="0" applyFill="1" applyAlignment="1">
      <alignment horizontal="left"/>
    </xf>
    <xf numFmtId="0" fontId="13" fillId="37" borderId="0" xfId="0" applyFont="1" applyFill="1"/>
    <xf numFmtId="0" fontId="82" fillId="37" borderId="0" xfId="0" applyFont="1" applyFill="1" applyAlignment="1">
      <alignment horizontal="left"/>
    </xf>
    <xf numFmtId="0" fontId="82" fillId="37" borderId="0" xfId="0" applyFont="1" applyFill="1"/>
    <xf numFmtId="165" fontId="19" fillId="25" borderId="1" xfId="0" applyNumberFormat="1" applyFont="1" applyFill="1" applyBorder="1"/>
    <xf numFmtId="165" fontId="135" fillId="25" borderId="1" xfId="0" applyNumberFormat="1" applyFont="1" applyFill="1" applyBorder="1"/>
    <xf numFmtId="0" fontId="28" fillId="25" borderId="1" xfId="0" applyFont="1" applyFill="1" applyBorder="1" applyAlignment="1">
      <alignment horizontal="center"/>
    </xf>
    <xf numFmtId="0" fontId="28" fillId="37" borderId="36" xfId="0" applyFont="1" applyFill="1" applyBorder="1" applyAlignment="1">
      <alignment horizontal="left"/>
    </xf>
    <xf numFmtId="0" fontId="28" fillId="37" borderId="0" xfId="0" applyFont="1" applyFill="1" applyAlignment="1">
      <alignment horizontal="left"/>
    </xf>
    <xf numFmtId="0" fontId="28" fillId="37" borderId="0" xfId="0" applyFont="1" applyFill="1"/>
    <xf numFmtId="0" fontId="136" fillId="25" borderId="0" xfId="0" applyFont="1" applyFill="1"/>
    <xf numFmtId="0" fontId="137" fillId="0" borderId="0" xfId="3" applyNumberFormat="1" applyFont="1" applyFill="1"/>
    <xf numFmtId="0" fontId="137" fillId="25" borderId="0" xfId="3" applyNumberFormat="1" applyFont="1" applyFill="1"/>
    <xf numFmtId="0" fontId="36" fillId="3" borderId="0" xfId="0" applyFont="1" applyFill="1" applyAlignment="1">
      <alignment vertical="center" wrapText="1"/>
    </xf>
    <xf numFmtId="0" fontId="7" fillId="12" borderId="0" xfId="0" applyFont="1" applyFill="1"/>
    <xf numFmtId="0" fontId="0" fillId="8" borderId="0" xfId="0" applyFill="1" applyAlignment="1">
      <alignment horizontal="right"/>
    </xf>
    <xf numFmtId="0" fontId="0" fillId="7" borderId="1" xfId="0" applyFill="1" applyBorder="1"/>
    <xf numFmtId="165" fontId="0" fillId="7" borderId="1" xfId="0" applyNumberFormat="1" applyFill="1" applyBorder="1"/>
    <xf numFmtId="165" fontId="0" fillId="16" borderId="1" xfId="0" applyNumberFormat="1" applyFill="1" applyBorder="1" applyAlignment="1">
      <alignment horizontal="center"/>
    </xf>
    <xf numFmtId="165" fontId="5" fillId="2" borderId="1" xfId="0" applyNumberFormat="1" applyFont="1" applyFill="1" applyBorder="1" applyAlignment="1">
      <alignment horizontal="center"/>
    </xf>
    <xf numFmtId="1" fontId="61" fillId="7" borderId="0" xfId="0" applyNumberFormat="1" applyFont="1" applyFill="1" applyAlignment="1">
      <alignment horizontal="center"/>
    </xf>
    <xf numFmtId="1" fontId="61" fillId="7" borderId="1" xfId="0" applyNumberFormat="1" applyFont="1" applyFill="1" applyBorder="1" applyAlignment="1">
      <alignment horizontal="center"/>
    </xf>
    <xf numFmtId="9" fontId="61" fillId="7" borderId="1" xfId="2" applyFont="1" applyFill="1" applyBorder="1" applyAlignment="1">
      <alignment horizontal="center"/>
    </xf>
    <xf numFmtId="0" fontId="20" fillId="38" borderId="1" xfId="0" applyFont="1" applyFill="1" applyBorder="1" applyAlignment="1">
      <alignment horizontal="right"/>
    </xf>
    <xf numFmtId="0" fontId="138" fillId="38" borderId="1" xfId="0" applyFont="1" applyFill="1" applyBorder="1"/>
    <xf numFmtId="0" fontId="20" fillId="38" borderId="1" xfId="0" applyFont="1" applyFill="1" applyBorder="1"/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39" fillId="0" borderId="1" xfId="0" applyFont="1" applyBorder="1"/>
    <xf numFmtId="0" fontId="0" fillId="17" borderId="3" xfId="0" applyFill="1" applyBorder="1"/>
    <xf numFmtId="0" fontId="0" fillId="17" borderId="5" xfId="0" applyFill="1" applyBorder="1"/>
    <xf numFmtId="0" fontId="0" fillId="17" borderId="0" xfId="0" applyFill="1"/>
    <xf numFmtId="0" fontId="138" fillId="0" borderId="1" xfId="0" applyFont="1" applyBorder="1"/>
    <xf numFmtId="0" fontId="20" fillId="0" borderId="1" xfId="0" applyFont="1" applyBorder="1" applyAlignment="1">
      <alignment vertical="center" wrapText="1"/>
    </xf>
    <xf numFmtId="0" fontId="140" fillId="17" borderId="1" xfId="0" applyFont="1" applyFill="1" applyBorder="1" applyAlignment="1">
      <alignment horizontal="center"/>
    </xf>
    <xf numFmtId="0" fontId="16" fillId="16" borderId="3" xfId="0" applyFont="1" applyFill="1" applyBorder="1"/>
    <xf numFmtId="0" fontId="0" fillId="16" borderId="5" xfId="0" applyFill="1" applyBorder="1"/>
    <xf numFmtId="0" fontId="0" fillId="16" borderId="1" xfId="0" applyFill="1" applyBorder="1"/>
    <xf numFmtId="0" fontId="5" fillId="0" borderId="1" xfId="0" applyFont="1" applyBorder="1"/>
    <xf numFmtId="0" fontId="141" fillId="0" borderId="0" xfId="0" applyFont="1"/>
    <xf numFmtId="0" fontId="143" fillId="0" borderId="39" xfId="0" applyFont="1" applyBorder="1" applyAlignment="1">
      <alignment horizontal="left" vertical="center" wrapText="1" indent="1"/>
    </xf>
    <xf numFmtId="0" fontId="7" fillId="0" borderId="0" xfId="0" applyFont="1"/>
    <xf numFmtId="0" fontId="143" fillId="0" borderId="41" xfId="0" applyFont="1" applyBorder="1" applyAlignment="1">
      <alignment horizontal="left" vertical="center" wrapText="1" indent="1"/>
    </xf>
    <xf numFmtId="0" fontId="145" fillId="0" borderId="41" xfId="0" applyFont="1" applyBorder="1" applyAlignment="1">
      <alignment horizontal="center" vertical="center" wrapText="1"/>
    </xf>
    <xf numFmtId="0" fontId="145" fillId="0" borderId="45" xfId="0" applyFont="1" applyBorder="1" applyAlignment="1">
      <alignment horizontal="center" vertical="center" wrapText="1"/>
    </xf>
    <xf numFmtId="9" fontId="145" fillId="0" borderId="41" xfId="0" applyNumberFormat="1" applyFont="1" applyBorder="1" applyAlignment="1">
      <alignment horizontal="left" vertical="center" wrapText="1" indent="1"/>
    </xf>
    <xf numFmtId="9" fontId="145" fillId="0" borderId="41" xfId="0" applyNumberFormat="1" applyFont="1" applyBorder="1" applyAlignment="1">
      <alignment horizontal="center" vertical="center" wrapText="1"/>
    </xf>
    <xf numFmtId="9" fontId="0" fillId="0" borderId="0" xfId="0" applyNumberFormat="1"/>
    <xf numFmtId="0" fontId="16" fillId="0" borderId="0" xfId="0" applyFont="1"/>
    <xf numFmtId="0" fontId="40" fillId="17" borderId="1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/>
    </xf>
    <xf numFmtId="0" fontId="7" fillId="17" borderId="1" xfId="0" applyFont="1" applyFill="1" applyBorder="1"/>
    <xf numFmtId="0" fontId="7" fillId="17" borderId="1" xfId="0" quotePrefix="1" applyFont="1" applyFill="1" applyBorder="1" applyAlignment="1">
      <alignment horizontal="center"/>
    </xf>
    <xf numFmtId="0" fontId="16" fillId="26" borderId="1" xfId="0" applyFont="1" applyFill="1" applyBorder="1" applyAlignment="1">
      <alignment horizontal="center"/>
    </xf>
    <xf numFmtId="165" fontId="0" fillId="12" borderId="1" xfId="0" applyNumberFormat="1" applyFill="1" applyBorder="1" applyAlignment="1">
      <alignment horizontal="center"/>
    </xf>
    <xf numFmtId="0" fontId="131" fillId="12" borderId="1" xfId="0" applyFont="1" applyFill="1" applyBorder="1" applyAlignment="1">
      <alignment horizontal="left"/>
    </xf>
    <xf numFmtId="0" fontId="16" fillId="26" borderId="0" xfId="0" applyFont="1" applyFill="1" applyAlignment="1">
      <alignment horizontal="center"/>
    </xf>
    <xf numFmtId="9" fontId="0" fillId="12" borderId="1" xfId="2" applyFont="1" applyFill="1" applyBorder="1" applyAlignment="1">
      <alignment horizontal="center"/>
    </xf>
    <xf numFmtId="0" fontId="0" fillId="39" borderId="0" xfId="0" applyFill="1"/>
    <xf numFmtId="0" fontId="101" fillId="39" borderId="0" xfId="0" applyFont="1" applyFill="1"/>
    <xf numFmtId="0" fontId="115" fillId="39" borderId="0" xfId="0" applyFont="1" applyFill="1"/>
    <xf numFmtId="14" fontId="146" fillId="39" borderId="0" xfId="0" applyNumberFormat="1" applyFont="1" applyFill="1"/>
    <xf numFmtId="0" fontId="26" fillId="0" borderId="0" xfId="0" applyFont="1" applyAlignment="1">
      <alignment horizontal="center"/>
    </xf>
    <xf numFmtId="0" fontId="147" fillId="0" borderId="0" xfId="0" applyFont="1" applyAlignment="1">
      <alignment horizontal="left"/>
    </xf>
    <xf numFmtId="0" fontId="26" fillId="0" borderId="0" xfId="0" applyFont="1"/>
    <xf numFmtId="2" fontId="26" fillId="0" borderId="0" xfId="0" applyNumberFormat="1" applyFont="1"/>
    <xf numFmtId="0" fontId="148" fillId="39" borderId="0" xfId="0" applyFont="1" applyFill="1"/>
    <xf numFmtId="0" fontId="49" fillId="39" borderId="0" xfId="0" applyFont="1" applyFill="1"/>
    <xf numFmtId="0" fontId="149" fillId="39" borderId="0" xfId="0" applyFont="1" applyFill="1"/>
    <xf numFmtId="0" fontId="150" fillId="39" borderId="0" xfId="0" applyFont="1" applyFill="1" applyAlignment="1">
      <alignment horizontal="right"/>
    </xf>
    <xf numFmtId="0" fontId="11" fillId="39" borderId="0" xfId="0" applyFont="1" applyFill="1"/>
    <xf numFmtId="0" fontId="151" fillId="39" borderId="0" xfId="0" applyFont="1" applyFill="1"/>
    <xf numFmtId="0" fontId="146" fillId="39" borderId="0" xfId="0" applyFont="1" applyFill="1"/>
    <xf numFmtId="0" fontId="56" fillId="39" borderId="0" xfId="0" applyFont="1" applyFill="1"/>
    <xf numFmtId="0" fontId="101" fillId="0" borderId="0" xfId="0" applyFont="1"/>
    <xf numFmtId="9" fontId="7" fillId="0" borderId="0" xfId="2" applyFont="1"/>
    <xf numFmtId="14" fontId="0" fillId="0" borderId="0" xfId="0" applyNumberFormat="1"/>
    <xf numFmtId="0" fontId="111" fillId="0" borderId="0" xfId="0" applyFont="1" applyAlignment="1">
      <alignment horizontal="right"/>
    </xf>
    <xf numFmtId="0" fontId="111" fillId="12" borderId="0" xfId="0" applyFont="1" applyFill="1" applyAlignment="1">
      <alignment horizontal="left" wrapText="1"/>
    </xf>
    <xf numFmtId="9" fontId="0" fillId="0" borderId="0" xfId="2" applyFont="1"/>
    <xf numFmtId="0" fontId="28" fillId="0" borderId="0" xfId="0" applyFont="1" applyAlignment="1">
      <alignment horizontal="right"/>
    </xf>
    <xf numFmtId="0" fontId="0" fillId="0" borderId="0" xfId="0" applyAlignment="1">
      <alignment wrapText="1"/>
    </xf>
    <xf numFmtId="0" fontId="7" fillId="0" borderId="2" xfId="0" applyFont="1" applyBorder="1" applyAlignment="1">
      <alignment wrapText="1"/>
    </xf>
    <xf numFmtId="0" fontId="14" fillId="39" borderId="1" xfId="0" applyFont="1" applyFill="1" applyBorder="1" applyAlignment="1">
      <alignment wrapText="1"/>
    </xf>
    <xf numFmtId="0" fontId="14" fillId="39" borderId="1" xfId="0" applyFont="1" applyFill="1" applyBorder="1" applyAlignment="1">
      <alignment horizontal="center" wrapText="1"/>
    </xf>
    <xf numFmtId="0" fontId="66" fillId="39" borderId="1" xfId="0" applyFont="1" applyFill="1" applyBorder="1" applyAlignment="1">
      <alignment horizontal="center" wrapText="1"/>
    </xf>
    <xf numFmtId="0" fontId="7" fillId="39" borderId="1" xfId="0" applyFont="1" applyFill="1" applyBorder="1" applyAlignment="1">
      <alignment horizontal="center" wrapText="1"/>
    </xf>
    <xf numFmtId="0" fontId="111" fillId="12" borderId="0" xfId="0" applyFont="1" applyFill="1" applyAlignment="1">
      <alignment horizontal="left"/>
    </xf>
    <xf numFmtId="0" fontId="0" fillId="13" borderId="0" xfId="0" applyFill="1" applyAlignment="1">
      <alignment wrapText="1"/>
    </xf>
    <xf numFmtId="0" fontId="152" fillId="26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171" fontId="111" fillId="12" borderId="9" xfId="0" applyNumberFormat="1" applyFont="1" applyFill="1" applyBorder="1" applyAlignment="1">
      <alignment horizontal="left" wrapText="1"/>
    </xf>
    <xf numFmtId="171" fontId="111" fillId="13" borderId="9" xfId="0" applyNumberFormat="1" applyFont="1" applyFill="1" applyBorder="1" applyAlignment="1">
      <alignment horizontal="left" wrapText="1"/>
    </xf>
    <xf numFmtId="0" fontId="153" fillId="26" borderId="1" xfId="0" applyFont="1" applyFill="1" applyBorder="1" applyAlignment="1">
      <alignment horizontal="center" wrapText="1"/>
    </xf>
    <xf numFmtId="0" fontId="154" fillId="26" borderId="1" xfId="0" applyFont="1" applyFill="1" applyBorder="1" applyAlignment="1">
      <alignment horizontal="center" wrapText="1"/>
    </xf>
    <xf numFmtId="0" fontId="152" fillId="26" borderId="1" xfId="0" applyFont="1" applyFill="1" applyBorder="1" applyAlignment="1">
      <alignment horizontal="center" wrapText="1"/>
    </xf>
    <xf numFmtId="0" fontId="154" fillId="26" borderId="0" xfId="0" applyFont="1" applyFill="1" applyAlignment="1">
      <alignment horizontal="center" wrapText="1"/>
    </xf>
    <xf numFmtId="0" fontId="26" fillId="0" borderId="0" xfId="0" applyFont="1" applyAlignment="1">
      <alignment wrapText="1"/>
    </xf>
    <xf numFmtId="0" fontId="7" fillId="38" borderId="1" xfId="0" applyFont="1" applyFill="1" applyBorder="1"/>
    <xf numFmtId="9" fontId="138" fillId="38" borderId="1" xfId="2" applyFont="1" applyFill="1" applyBorder="1" applyAlignment="1">
      <alignment horizontal="center"/>
    </xf>
    <xf numFmtId="165" fontId="138" fillId="38" borderId="1" xfId="0" applyNumberFormat="1" applyFont="1" applyFill="1" applyBorder="1"/>
    <xf numFmtId="2" fontId="138" fillId="38" borderId="1" xfId="0" applyNumberFormat="1" applyFont="1" applyFill="1" applyBorder="1"/>
    <xf numFmtId="171" fontId="155" fillId="38" borderId="3" xfId="0" applyNumberFormat="1" applyFont="1" applyFill="1" applyBorder="1"/>
    <xf numFmtId="0" fontId="7" fillId="26" borderId="18" xfId="0" applyFont="1" applyFill="1" applyBorder="1"/>
    <xf numFmtId="0" fontId="113" fillId="26" borderId="1" xfId="0" applyFont="1" applyFill="1" applyBorder="1" applyAlignment="1">
      <alignment horizontal="center" wrapText="1"/>
    </xf>
    <xf numFmtId="0" fontId="113" fillId="26" borderId="0" xfId="0" applyFont="1" applyFill="1" applyAlignment="1">
      <alignment horizontal="center" wrapText="1"/>
    </xf>
    <xf numFmtId="172" fontId="5" fillId="38" borderId="1" xfId="0" applyNumberFormat="1" applyFont="1" applyFill="1" applyBorder="1"/>
    <xf numFmtId="9" fontId="20" fillId="38" borderId="1" xfId="0" applyNumberFormat="1" applyFont="1" applyFill="1" applyBorder="1" applyAlignment="1">
      <alignment horizontal="center"/>
    </xf>
    <xf numFmtId="0" fontId="5" fillId="3" borderId="1" xfId="0" applyFont="1" applyFill="1" applyBorder="1"/>
    <xf numFmtId="2" fontId="5" fillId="3" borderId="1" xfId="0" applyNumberFormat="1" applyFont="1" applyFill="1" applyBorder="1"/>
    <xf numFmtId="2" fontId="20" fillId="38" borderId="1" xfId="0" applyNumberFormat="1" applyFont="1" applyFill="1" applyBorder="1"/>
    <xf numFmtId="0" fontId="66" fillId="0" borderId="0" xfId="0" applyFont="1" applyAlignment="1">
      <alignment horizontal="right" vertical="top"/>
    </xf>
    <xf numFmtId="0" fontId="5" fillId="13" borderId="0" xfId="0" applyFont="1" applyFill="1"/>
    <xf numFmtId="2" fontId="104" fillId="0" borderId="1" xfId="0" applyNumberFormat="1" applyFont="1" applyBorder="1" applyAlignment="1">
      <alignment horizontal="center"/>
    </xf>
    <xf numFmtId="0" fontId="86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/>
    </xf>
    <xf numFmtId="172" fontId="152" fillId="0" borderId="0" xfId="0" applyNumberFormat="1" applyFont="1" applyAlignment="1">
      <alignment horizontal="left" wrapText="1"/>
    </xf>
    <xf numFmtId="165" fontId="28" fillId="26" borderId="1" xfId="0" applyNumberFormat="1" applyFont="1" applyFill="1" applyBorder="1"/>
    <xf numFmtId="0" fontId="28" fillId="13" borderId="0" xfId="0" applyFont="1" applyFill="1"/>
    <xf numFmtId="0" fontId="111" fillId="13" borderId="0" xfId="0" applyFont="1" applyFill="1"/>
    <xf numFmtId="9" fontId="86" fillId="26" borderId="1" xfId="2" applyFont="1" applyFill="1" applyBorder="1"/>
    <xf numFmtId="0" fontId="156" fillId="0" borderId="0" xfId="0" applyFont="1" applyAlignment="1">
      <alignment vertical="top"/>
    </xf>
    <xf numFmtId="0" fontId="91" fillId="0" borderId="0" xfId="0" applyFont="1" applyAlignment="1">
      <alignment horizontal="right"/>
    </xf>
    <xf numFmtId="173" fontId="5" fillId="13" borderId="0" xfId="0" applyNumberFormat="1" applyFont="1" applyFill="1"/>
    <xf numFmtId="0" fontId="5" fillId="0" borderId="0" xfId="0" applyFont="1" applyAlignment="1">
      <alignment horizontal="right"/>
    </xf>
    <xf numFmtId="0" fontId="5" fillId="2" borderId="1" xfId="0" applyFont="1" applyFill="1" applyBorder="1"/>
    <xf numFmtId="172" fontId="5" fillId="30" borderId="1" xfId="0" applyNumberFormat="1" applyFont="1" applyFill="1" applyBorder="1"/>
    <xf numFmtId="9" fontId="20" fillId="30" borderId="1" xfId="0" applyNumberFormat="1" applyFont="1" applyFill="1" applyBorder="1" applyAlignment="1">
      <alignment horizontal="center"/>
    </xf>
    <xf numFmtId="0" fontId="5" fillId="28" borderId="1" xfId="0" applyFont="1" applyFill="1" applyBorder="1"/>
    <xf numFmtId="2" fontId="5" fillId="28" borderId="1" xfId="0" applyNumberFormat="1" applyFont="1" applyFill="1" applyBorder="1"/>
    <xf numFmtId="2" fontId="20" fillId="30" borderId="1" xfId="0" applyNumberFormat="1" applyFont="1" applyFill="1" applyBorder="1"/>
    <xf numFmtId="165" fontId="5" fillId="28" borderId="1" xfId="0" applyNumberFormat="1" applyFont="1" applyFill="1" applyBorder="1"/>
    <xf numFmtId="0" fontId="5" fillId="2" borderId="1" xfId="0" applyFont="1" applyFill="1" applyBorder="1" applyAlignment="1">
      <alignment horizontal="right"/>
    </xf>
    <xf numFmtId="9" fontId="28" fillId="0" borderId="0" xfId="2" applyFont="1"/>
    <xf numFmtId="0" fontId="26" fillId="0" borderId="0" xfId="0" applyFont="1" applyAlignment="1">
      <alignment horizontal="right" wrapText="1"/>
    </xf>
    <xf numFmtId="2" fontId="26" fillId="0" borderId="0" xfId="0" applyNumberFormat="1" applyFont="1" applyAlignment="1">
      <alignment wrapText="1"/>
    </xf>
    <xf numFmtId="0" fontId="86" fillId="26" borderId="1" xfId="0" applyFont="1" applyFill="1" applyBorder="1" applyAlignment="1">
      <alignment horizontal="center"/>
    </xf>
    <xf numFmtId="2" fontId="5" fillId="13" borderId="0" xfId="0" applyNumberFormat="1" applyFont="1" applyFill="1"/>
    <xf numFmtId="165" fontId="5" fillId="3" borderId="1" xfId="0" applyNumberFormat="1" applyFont="1" applyFill="1" applyBorder="1"/>
    <xf numFmtId="2" fontId="5" fillId="0" borderId="0" xfId="0" applyNumberFormat="1" applyFont="1"/>
    <xf numFmtId="9" fontId="6" fillId="0" borderId="0" xfId="0" applyNumberFormat="1" applyFont="1"/>
    <xf numFmtId="172" fontId="158" fillId="0" borderId="0" xfId="0" applyNumberFormat="1" applyFont="1"/>
    <xf numFmtId="0" fontId="159" fillId="0" borderId="0" xfId="0" applyFont="1"/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right"/>
    </xf>
    <xf numFmtId="0" fontId="147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60" fillId="0" borderId="0" xfId="0" applyFont="1"/>
    <xf numFmtId="0" fontId="26" fillId="0" borderId="1" xfId="0" applyFont="1" applyBorder="1"/>
    <xf numFmtId="0" fontId="26" fillId="0" borderId="1" xfId="0" applyFont="1" applyBorder="1" applyAlignment="1">
      <alignment horizontal="center"/>
    </xf>
    <xf numFmtId="2" fontId="26" fillId="0" borderId="1" xfId="0" applyNumberFormat="1" applyFont="1" applyBorder="1" applyAlignment="1">
      <alignment horizontal="center"/>
    </xf>
    <xf numFmtId="2" fontId="26" fillId="0" borderId="1" xfId="0" applyNumberFormat="1" applyFont="1" applyBorder="1"/>
    <xf numFmtId="1" fontId="26" fillId="0" borderId="1" xfId="0" applyNumberFormat="1" applyFont="1" applyBorder="1"/>
    <xf numFmtId="9" fontId="26" fillId="0" borderId="1" xfId="2" applyFont="1" applyBorder="1"/>
    <xf numFmtId="174" fontId="26" fillId="0" borderId="1" xfId="0" applyNumberFormat="1" applyFont="1" applyBorder="1"/>
    <xf numFmtId="9" fontId="26" fillId="0" borderId="1" xfId="2" applyFont="1" applyFill="1" applyBorder="1"/>
    <xf numFmtId="0" fontId="114" fillId="13" borderId="0" xfId="0" applyFont="1" applyFill="1"/>
    <xf numFmtId="1" fontId="139" fillId="0" borderId="0" xfId="0" applyNumberFormat="1" applyFont="1" applyAlignment="1">
      <alignment horizontal="center"/>
    </xf>
    <xf numFmtId="0" fontId="139" fillId="0" borderId="0" xfId="0" applyFont="1" applyAlignment="1">
      <alignment horizontal="center"/>
    </xf>
    <xf numFmtId="0" fontId="139" fillId="0" borderId="0" xfId="0" applyFont="1"/>
    <xf numFmtId="0" fontId="47" fillId="0" borderId="0" xfId="0" applyFont="1" applyAlignment="1">
      <alignment horizontal="center"/>
    </xf>
    <xf numFmtId="0" fontId="114" fillId="0" borderId="0" xfId="0" applyFont="1" applyAlignment="1">
      <alignment horizontal="left"/>
    </xf>
    <xf numFmtId="0" fontId="161" fillId="0" borderId="0" xfId="0" applyFont="1"/>
    <xf numFmtId="0" fontId="162" fillId="0" borderId="0" xfId="0" applyFont="1" applyAlignment="1">
      <alignment horizontal="center"/>
    </xf>
    <xf numFmtId="165" fontId="163" fillId="9" borderId="1" xfId="0" applyNumberFormat="1" applyFont="1" applyFill="1" applyBorder="1"/>
    <xf numFmtId="0" fontId="152" fillId="0" borderId="0" xfId="0" applyFont="1" applyAlignment="1">
      <alignment horizontal="left"/>
    </xf>
    <xf numFmtId="0" fontId="164" fillId="0" borderId="0" xfId="0" applyFont="1" applyAlignment="1">
      <alignment horizontal="center"/>
    </xf>
    <xf numFmtId="0" fontId="165" fillId="0" borderId="0" xfId="0" applyFont="1" applyAlignment="1">
      <alignment horizontal="left"/>
    </xf>
    <xf numFmtId="0" fontId="66" fillId="0" borderId="0" xfId="0" applyFont="1"/>
    <xf numFmtId="0" fontId="152" fillId="0" borderId="0" xfId="0" applyFont="1" applyAlignment="1">
      <alignment horizontal="center"/>
    </xf>
    <xf numFmtId="0" fontId="152" fillId="0" borderId="0" xfId="0" applyFont="1" applyAlignment="1">
      <alignment horizontal="right"/>
    </xf>
    <xf numFmtId="165" fontId="152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52" fillId="0" borderId="0" xfId="0" applyFont="1"/>
    <xf numFmtId="0" fontId="7" fillId="12" borderId="1" xfId="0" applyFont="1" applyFill="1" applyBorder="1"/>
    <xf numFmtId="0" fontId="0" fillId="12" borderId="1" xfId="0" applyFill="1" applyBorder="1"/>
    <xf numFmtId="9" fontId="0" fillId="0" borderId="1" xfId="0" applyNumberFormat="1" applyBorder="1" applyAlignment="1">
      <alignment horizontal="left"/>
    </xf>
    <xf numFmtId="0" fontId="152" fillId="26" borderId="1" xfId="0" applyFont="1" applyFill="1" applyBorder="1"/>
    <xf numFmtId="2" fontId="0" fillId="0" borderId="1" xfId="0" applyNumberFormat="1" applyBorder="1"/>
    <xf numFmtId="165" fontId="152" fillId="26" borderId="1" xfId="0" applyNumberFormat="1" applyFont="1" applyFill="1" applyBorder="1"/>
    <xf numFmtId="0" fontId="36" fillId="0" borderId="0" xfId="0" applyFont="1" applyAlignment="1">
      <alignment horizontal="right"/>
    </xf>
    <xf numFmtId="0" fontId="166" fillId="24" borderId="0" xfId="0" applyFont="1" applyFill="1"/>
    <xf numFmtId="0" fontId="59" fillId="24" borderId="0" xfId="0" applyFont="1" applyFill="1"/>
    <xf numFmtId="0" fontId="167" fillId="26" borderId="0" xfId="0" applyFont="1" applyFill="1" applyAlignment="1">
      <alignment horizontal="left"/>
    </xf>
    <xf numFmtId="2" fontId="87" fillId="0" borderId="1" xfId="0" applyNumberFormat="1" applyFont="1" applyBorder="1"/>
    <xf numFmtId="43" fontId="62" fillId="9" borderId="1" xfId="1" applyFont="1" applyFill="1" applyBorder="1"/>
    <xf numFmtId="0" fontId="168" fillId="0" borderId="0" xfId="0" applyFont="1" applyAlignment="1">
      <alignment horizontal="center"/>
    </xf>
    <xf numFmtId="0" fontId="110" fillId="0" borderId="1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91" fillId="0" borderId="1" xfId="0" applyFont="1" applyBorder="1" applyAlignment="1">
      <alignment horizontal="left"/>
    </xf>
    <xf numFmtId="0" fontId="36" fillId="0" borderId="0" xfId="0" quotePrefix="1" applyFont="1" applyAlignment="1">
      <alignment horizontal="right"/>
    </xf>
    <xf numFmtId="9" fontId="147" fillId="0" borderId="1" xfId="2" applyFont="1" applyBorder="1" applyAlignment="1">
      <alignment horizontal="left"/>
    </xf>
    <xf numFmtId="0" fontId="105" fillId="13" borderId="0" xfId="0" applyFont="1" applyFill="1"/>
    <xf numFmtId="9" fontId="62" fillId="9" borderId="1" xfId="2" applyFont="1" applyFill="1" applyBorder="1"/>
    <xf numFmtId="0" fontId="147" fillId="0" borderId="1" xfId="2" applyNumberFormat="1" applyFont="1" applyBorder="1" applyAlignment="1">
      <alignment horizontal="center"/>
    </xf>
    <xf numFmtId="0" fontId="105" fillId="13" borderId="0" xfId="0" quotePrefix="1" applyFont="1" applyFill="1"/>
    <xf numFmtId="0" fontId="26" fillId="37" borderId="0" xfId="0" applyFont="1" applyFill="1"/>
    <xf numFmtId="0" fontId="101" fillId="37" borderId="0" xfId="0" applyFont="1" applyFill="1"/>
    <xf numFmtId="1" fontId="139" fillId="0" borderId="0" xfId="0" applyNumberFormat="1" applyFont="1"/>
    <xf numFmtId="0" fontId="26" fillId="25" borderId="0" xfId="0" applyFont="1" applyFill="1" applyAlignment="1">
      <alignment horizontal="center"/>
    </xf>
    <xf numFmtId="0" fontId="3" fillId="0" borderId="1" xfId="0" applyFont="1" applyBorder="1" applyAlignment="1">
      <alignment vertical="center" wrapText="1"/>
    </xf>
    <xf numFmtId="0" fontId="169" fillId="25" borderId="1" xfId="0" applyFont="1" applyFill="1" applyBorder="1" applyAlignment="1">
      <alignment horizontal="center"/>
    </xf>
    <xf numFmtId="0" fontId="169" fillId="25" borderId="0" xfId="0" applyFont="1" applyFill="1" applyAlignment="1">
      <alignment horizontal="left"/>
    </xf>
    <xf numFmtId="0" fontId="169" fillId="25" borderId="0" xfId="0" applyFont="1" applyFill="1" applyAlignment="1">
      <alignment horizontal="center"/>
    </xf>
    <xf numFmtId="0" fontId="131" fillId="25" borderId="0" xfId="0" applyFont="1" applyFill="1"/>
    <xf numFmtId="0" fontId="5" fillId="25" borderId="0" xfId="0" applyFont="1" applyFill="1" applyAlignment="1">
      <alignment vertical="center" wrapText="1"/>
    </xf>
    <xf numFmtId="0" fontId="5" fillId="25" borderId="0" xfId="0" applyFont="1" applyFill="1"/>
    <xf numFmtId="0" fontId="5" fillId="25" borderId="0" xfId="0" applyFont="1" applyFill="1" applyAlignment="1">
      <alignment horizontal="center"/>
    </xf>
    <xf numFmtId="0" fontId="168" fillId="25" borderId="0" xfId="0" applyFont="1" applyFill="1" applyAlignment="1">
      <alignment horizontal="right"/>
    </xf>
    <xf numFmtId="0" fontId="168" fillId="25" borderId="0" xfId="0" applyFont="1" applyFill="1"/>
    <xf numFmtId="0" fontId="8" fillId="25" borderId="0" xfId="0" applyFont="1" applyFill="1" applyAlignment="1">
      <alignment horizontal="left"/>
    </xf>
    <xf numFmtId="0" fontId="131" fillId="25" borderId="0" xfId="0" applyFont="1" applyFill="1" applyAlignment="1">
      <alignment horizontal="center"/>
    </xf>
    <xf numFmtId="0" fontId="170" fillId="25" borderId="0" xfId="0" applyFont="1" applyFill="1" applyAlignment="1">
      <alignment horizontal="left"/>
    </xf>
    <xf numFmtId="0" fontId="170" fillId="25" borderId="0" xfId="0" applyFont="1" applyFill="1" applyAlignment="1">
      <alignment horizontal="center"/>
    </xf>
    <xf numFmtId="0" fontId="45" fillId="25" borderId="0" xfId="0" applyFont="1" applyFill="1" applyAlignment="1">
      <alignment horizontal="center"/>
    </xf>
    <xf numFmtId="0" fontId="115" fillId="39" borderId="0" xfId="0" applyFont="1" applyFill="1" applyAlignment="1">
      <alignment horizontal="right"/>
    </xf>
    <xf numFmtId="0" fontId="12" fillId="39" borderId="24" xfId="0" applyFont="1" applyFill="1" applyBorder="1"/>
    <xf numFmtId="0" fontId="46" fillId="39" borderId="24" xfId="0" applyFont="1" applyFill="1" applyBorder="1"/>
    <xf numFmtId="0" fontId="56" fillId="39" borderId="24" xfId="0" applyFont="1" applyFill="1" applyBorder="1"/>
    <xf numFmtId="0" fontId="146" fillId="39" borderId="24" xfId="0" applyFont="1" applyFill="1" applyBorder="1"/>
    <xf numFmtId="0" fontId="14" fillId="0" borderId="0" xfId="0" applyFont="1"/>
    <xf numFmtId="0" fontId="7" fillId="0" borderId="0" xfId="0" applyFont="1" applyAlignment="1">
      <alignment horizontal="right"/>
    </xf>
    <xf numFmtId="0" fontId="17" fillId="0" borderId="0" xfId="0" applyFont="1"/>
    <xf numFmtId="0" fontId="126" fillId="2" borderId="0" xfId="0" applyFont="1" applyFill="1"/>
    <xf numFmtId="0" fontId="126" fillId="2" borderId="0" xfId="0" applyFont="1" applyFill="1" applyAlignment="1">
      <alignment horizontal="right"/>
    </xf>
    <xf numFmtId="0" fontId="126" fillId="13" borderId="0" xfId="0" applyFont="1" applyFill="1"/>
    <xf numFmtId="0" fontId="11" fillId="13" borderId="0" xfId="0" applyFont="1" applyFill="1" applyAlignment="1">
      <alignment horizontal="left"/>
    </xf>
    <xf numFmtId="0" fontId="12" fillId="0" borderId="0" xfId="0" applyFont="1"/>
    <xf numFmtId="9" fontId="172" fillId="12" borderId="1" xfId="0" applyNumberFormat="1" applyFont="1" applyFill="1" applyBorder="1"/>
    <xf numFmtId="0" fontId="173" fillId="0" borderId="0" xfId="0" applyFont="1"/>
    <xf numFmtId="0" fontId="105" fillId="0" borderId="0" xfId="0" applyFont="1"/>
    <xf numFmtId="171" fontId="62" fillId="9" borderId="9" xfId="0" applyNumberFormat="1" applyFont="1" applyFill="1" applyBorder="1"/>
    <xf numFmtId="0" fontId="174" fillId="9" borderId="50" xfId="0" applyFont="1" applyFill="1" applyBorder="1"/>
    <xf numFmtId="165" fontId="174" fillId="9" borderId="50" xfId="0" applyNumberFormat="1" applyFont="1" applyFill="1" applyBorder="1"/>
    <xf numFmtId="165" fontId="62" fillId="9" borderId="7" xfId="0" applyNumberFormat="1" applyFont="1" applyFill="1" applyBorder="1"/>
    <xf numFmtId="0" fontId="61" fillId="24" borderId="0" xfId="0" applyFont="1" applyFill="1" applyAlignment="1">
      <alignment horizontal="right"/>
    </xf>
    <xf numFmtId="0" fontId="105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75" fillId="0" borderId="0" xfId="0" applyFont="1"/>
    <xf numFmtId="0" fontId="176" fillId="0" borderId="0" xfId="0" applyFont="1" applyAlignment="1">
      <alignment horizontal="left"/>
    </xf>
    <xf numFmtId="0" fontId="110" fillId="0" borderId="0" xfId="0" applyFont="1"/>
    <xf numFmtId="165" fontId="0" fillId="12" borderId="0" xfId="0" applyNumberFormat="1" applyFill="1"/>
    <xf numFmtId="9" fontId="61" fillId="24" borderId="0" xfId="2" applyFont="1" applyFill="1" applyAlignment="1">
      <alignment horizontal="right"/>
    </xf>
    <xf numFmtId="2" fontId="62" fillId="12" borderId="1" xfId="0" applyNumberFormat="1" applyFont="1" applyFill="1" applyBorder="1"/>
    <xf numFmtId="165" fontId="62" fillId="12" borderId="1" xfId="0" applyNumberFormat="1" applyFont="1" applyFill="1" applyBorder="1"/>
    <xf numFmtId="9" fontId="62" fillId="9" borderId="9" xfId="2" applyFont="1" applyFill="1" applyBorder="1"/>
    <xf numFmtId="0" fontId="11" fillId="0" borderId="0" xfId="0" applyFont="1" applyAlignment="1">
      <alignment horizontal="right"/>
    </xf>
    <xf numFmtId="0" fontId="12" fillId="32" borderId="0" xfId="0" applyFont="1" applyFill="1"/>
    <xf numFmtId="0" fontId="7" fillId="32" borderId="0" xfId="0" applyFont="1" applyFill="1" applyAlignment="1">
      <alignment horizontal="right"/>
    </xf>
    <xf numFmtId="0" fontId="40" fillId="32" borderId="0" xfId="0" applyFont="1" applyFill="1"/>
    <xf numFmtId="0" fontId="11" fillId="0" borderId="0" xfId="0" applyFont="1"/>
    <xf numFmtId="0" fontId="14" fillId="0" borderId="0" xfId="0" applyFont="1" applyAlignment="1">
      <alignment vertical="center"/>
    </xf>
    <xf numFmtId="165" fontId="62" fillId="9" borderId="1" xfId="0" applyNumberFormat="1" applyFont="1" applyFill="1" applyBorder="1" applyAlignment="1">
      <alignment horizontal="center"/>
    </xf>
    <xf numFmtId="0" fontId="0" fillId="40" borderId="0" xfId="0" applyFill="1"/>
    <xf numFmtId="0" fontId="170" fillId="40" borderId="0" xfId="0" applyFont="1" applyFill="1"/>
    <xf numFmtId="0" fontId="178" fillId="40" borderId="0" xfId="0" applyFont="1" applyFill="1"/>
    <xf numFmtId="0" fontId="179" fillId="40" borderId="0" xfId="0" applyFont="1" applyFill="1"/>
    <xf numFmtId="0" fontId="180" fillId="41" borderId="1" xfId="0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12" borderId="0" xfId="0" quotePrefix="1" applyFill="1" applyAlignment="1">
      <alignment horizontal="center"/>
    </xf>
    <xf numFmtId="0" fontId="131" fillId="12" borderId="0" xfId="0" applyFont="1" applyFill="1" applyAlignment="1">
      <alignment horizontal="left"/>
    </xf>
    <xf numFmtId="0" fontId="0" fillId="0" borderId="0" xfId="0" applyAlignment="1">
      <alignment horizontal="left"/>
    </xf>
    <xf numFmtId="170" fontId="44" fillId="12" borderId="1" xfId="0" applyNumberFormat="1" applyFont="1" applyFill="1" applyBorder="1" applyAlignment="1">
      <alignment horizontal="center"/>
    </xf>
    <xf numFmtId="170" fontId="0" fillId="12" borderId="0" xfId="0" applyNumberFormat="1" applyFill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0" fillId="2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181" fillId="0" borderId="0" xfId="0" applyFont="1" applyAlignment="1">
      <alignment horizontal="center"/>
    </xf>
    <xf numFmtId="0" fontId="182" fillId="0" borderId="0" xfId="0" applyFont="1"/>
    <xf numFmtId="0" fontId="183" fillId="0" borderId="0" xfId="0" applyFont="1"/>
    <xf numFmtId="0" fontId="60" fillId="16" borderId="9" xfId="0" applyFont="1" applyFill="1" applyBorder="1" applyAlignment="1">
      <alignment horizontal="center"/>
    </xf>
    <xf numFmtId="0" fontId="184" fillId="16" borderId="9" xfId="0" applyFont="1" applyFill="1" applyBorder="1" applyAlignment="1">
      <alignment horizontal="center"/>
    </xf>
    <xf numFmtId="0" fontId="184" fillId="16" borderId="1" xfId="0" applyFont="1" applyFill="1" applyBorder="1" applyAlignment="1">
      <alignment horizontal="center"/>
    </xf>
    <xf numFmtId="0" fontId="185" fillId="16" borderId="1" xfId="0" applyFont="1" applyFill="1" applyBorder="1" applyAlignment="1">
      <alignment horizontal="center"/>
    </xf>
    <xf numFmtId="0" fontId="60" fillId="16" borderId="1" xfId="0" applyFont="1" applyFill="1" applyBorder="1" applyAlignment="1">
      <alignment horizontal="center"/>
    </xf>
    <xf numFmtId="0" fontId="186" fillId="16" borderId="1" xfId="0" applyFont="1" applyFill="1" applyBorder="1" applyAlignment="1">
      <alignment horizontal="center"/>
    </xf>
    <xf numFmtId="164" fontId="0" fillId="0" borderId="1" xfId="0" applyNumberFormat="1" applyBorder="1"/>
    <xf numFmtId="164" fontId="3" fillId="0" borderId="1" xfId="0" applyNumberFormat="1" applyFont="1" applyBorder="1"/>
    <xf numFmtId="0" fontId="187" fillId="0" borderId="1" xfId="0" applyFont="1" applyBorder="1" applyAlignment="1">
      <alignment horizontal="center"/>
    </xf>
    <xf numFmtId="0" fontId="7" fillId="24" borderId="0" xfId="0" applyFont="1" applyFill="1" applyAlignment="1">
      <alignment horizontal="center"/>
    </xf>
    <xf numFmtId="164" fontId="14" fillId="0" borderId="0" xfId="0" applyNumberFormat="1" applyFont="1"/>
    <xf numFmtId="0" fontId="66" fillId="16" borderId="1" xfId="0" applyFont="1" applyFill="1" applyBorder="1" applyAlignment="1">
      <alignment horizontal="right"/>
    </xf>
    <xf numFmtId="0" fontId="0" fillId="22" borderId="1" xfId="0" applyFill="1" applyBorder="1" applyAlignment="1">
      <alignment horizontal="right"/>
    </xf>
    <xf numFmtId="164" fontId="94" fillId="0" borderId="0" xfId="0" applyNumberFormat="1" applyFont="1"/>
    <xf numFmtId="0" fontId="0" fillId="3" borderId="1" xfId="0" applyFill="1" applyBorder="1" applyAlignment="1">
      <alignment horizontal="right"/>
    </xf>
    <xf numFmtId="164" fontId="91" fillId="0" borderId="0" xfId="0" applyNumberFormat="1" applyFont="1"/>
    <xf numFmtId="0" fontId="0" fillId="19" borderId="1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26" borderId="0" xfId="0" applyFill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0" fillId="25" borderId="0" xfId="0" applyFill="1" applyAlignment="1">
      <alignment horizontal="left"/>
    </xf>
    <xf numFmtId="0" fontId="28" fillId="25" borderId="0" xfId="0" applyFont="1" applyFill="1" applyAlignment="1">
      <alignment horizontal="left"/>
    </xf>
    <xf numFmtId="0" fontId="67" fillId="26" borderId="0" xfId="0" applyFont="1" applyFill="1" applyAlignment="1">
      <alignment horizontal="center"/>
    </xf>
    <xf numFmtId="0" fontId="40" fillId="16" borderId="0" xfId="0" applyFont="1" applyFill="1" applyAlignment="1">
      <alignment horizontal="center"/>
    </xf>
    <xf numFmtId="0" fontId="0" fillId="25" borderId="0" xfId="0" applyFill="1" applyAlignment="1">
      <alignment horizontal="left" vertical="top" wrapText="1"/>
    </xf>
    <xf numFmtId="0" fontId="40" fillId="7" borderId="0" xfId="0" applyFont="1" applyFill="1" applyAlignment="1">
      <alignment horizontal="center"/>
    </xf>
    <xf numFmtId="0" fontId="61" fillId="24" borderId="0" xfId="0" applyFont="1" applyFill="1" applyAlignment="1">
      <alignment horizontal="left"/>
    </xf>
    <xf numFmtId="0" fontId="14" fillId="0" borderId="53" xfId="0" applyFont="1" applyBorder="1" applyAlignment="1">
      <alignment horizontal="left" vertical="center" wrapText="1"/>
    </xf>
    <xf numFmtId="0" fontId="14" fillId="0" borderId="54" xfId="0" applyFont="1" applyBorder="1" applyAlignment="1">
      <alignment horizontal="left" vertical="center" wrapText="1"/>
    </xf>
    <xf numFmtId="0" fontId="14" fillId="0" borderId="55" xfId="0" applyFont="1" applyBorder="1" applyAlignment="1">
      <alignment horizontal="left" vertical="center" wrapText="1"/>
    </xf>
    <xf numFmtId="0" fontId="14" fillId="0" borderId="56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top" wrapText="1"/>
    </xf>
    <xf numFmtId="165" fontId="62" fillId="9" borderId="51" xfId="0" applyNumberFormat="1" applyFont="1" applyFill="1" applyBorder="1" applyAlignment="1">
      <alignment horizontal="center"/>
    </xf>
    <xf numFmtId="165" fontId="62" fillId="9" borderId="52" xfId="0" applyNumberFormat="1" applyFont="1" applyFill="1" applyBorder="1" applyAlignment="1">
      <alignment horizontal="center"/>
    </xf>
    <xf numFmtId="0" fontId="100" fillId="25" borderId="0" xfId="0" applyFont="1" applyFill="1" applyAlignment="1">
      <alignment horizontal="center"/>
    </xf>
    <xf numFmtId="0" fontId="100" fillId="25" borderId="30" xfId="0" applyFont="1" applyFill="1" applyBorder="1" applyAlignment="1">
      <alignment horizontal="center"/>
    </xf>
    <xf numFmtId="9" fontId="128" fillId="16" borderId="0" xfId="0" applyNumberFormat="1" applyFont="1" applyFill="1" applyAlignment="1">
      <alignment horizontal="center" vertical="center"/>
    </xf>
    <xf numFmtId="9" fontId="129" fillId="36" borderId="0" xfId="2" applyFont="1" applyFill="1" applyAlignment="1">
      <alignment horizontal="center" vertical="center"/>
    </xf>
    <xf numFmtId="0" fontId="133" fillId="25" borderId="0" xfId="0" applyFont="1" applyFill="1" applyAlignment="1">
      <alignment horizontal="center"/>
    </xf>
    <xf numFmtId="0" fontId="13" fillId="9" borderId="3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3" fillId="9" borderId="5" xfId="0" applyFont="1" applyFill="1" applyBorder="1" applyAlignment="1">
      <alignment horizontal="center"/>
    </xf>
    <xf numFmtId="0" fontId="29" fillId="5" borderId="2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12" fillId="7" borderId="3" xfId="0" applyFont="1" applyFill="1" applyBorder="1" applyAlignment="1">
      <alignment horizontal="center"/>
    </xf>
    <xf numFmtId="0" fontId="12" fillId="7" borderId="5" xfId="0" applyFont="1" applyFill="1" applyBorder="1" applyAlignment="1">
      <alignment horizontal="center"/>
    </xf>
    <xf numFmtId="0" fontId="144" fillId="0" borderId="46" xfId="0" applyFont="1" applyBorder="1" applyAlignment="1">
      <alignment horizontal="center" vertical="center" wrapText="1"/>
    </xf>
    <xf numFmtId="0" fontId="144" fillId="0" borderId="45" xfId="0" applyFont="1" applyBorder="1" applyAlignment="1">
      <alignment horizontal="center" vertical="center" wrapText="1"/>
    </xf>
    <xf numFmtId="0" fontId="144" fillId="0" borderId="42" xfId="0" applyFont="1" applyBorder="1" applyAlignment="1">
      <alignment horizontal="center" vertical="center" wrapText="1"/>
    </xf>
    <xf numFmtId="0" fontId="144" fillId="0" borderId="43" xfId="0" applyFont="1" applyBorder="1" applyAlignment="1">
      <alignment horizontal="center" vertical="center" wrapText="1"/>
    </xf>
    <xf numFmtId="0" fontId="144" fillId="0" borderId="44" xfId="0" applyFont="1" applyBorder="1" applyAlignment="1">
      <alignment horizontal="center" vertical="center" wrapText="1"/>
    </xf>
    <xf numFmtId="0" fontId="142" fillId="27" borderId="42" xfId="0" applyFont="1" applyFill="1" applyBorder="1" applyAlignment="1">
      <alignment horizontal="center" vertical="center" wrapText="1"/>
    </xf>
    <xf numFmtId="0" fontId="142" fillId="27" borderId="43" xfId="0" applyFont="1" applyFill="1" applyBorder="1" applyAlignment="1">
      <alignment horizontal="center" vertical="center" wrapText="1"/>
    </xf>
    <xf numFmtId="0" fontId="142" fillId="27" borderId="44" xfId="0" applyFont="1" applyFill="1" applyBorder="1" applyAlignment="1">
      <alignment horizontal="center" vertical="center" wrapText="1"/>
    </xf>
    <xf numFmtId="0" fontId="144" fillId="0" borderId="40" xfId="0" applyFont="1" applyBorder="1" applyAlignment="1">
      <alignment horizontal="center" vertical="center" wrapText="1"/>
    </xf>
    <xf numFmtId="0" fontId="144" fillId="0" borderId="37" xfId="0" applyFont="1" applyBorder="1" applyAlignment="1">
      <alignment horizontal="center" vertical="center" wrapText="1"/>
    </xf>
    <xf numFmtId="0" fontId="144" fillId="0" borderId="38" xfId="0" applyFont="1" applyBorder="1" applyAlignment="1">
      <alignment horizontal="center" vertical="center" wrapText="1"/>
    </xf>
    <xf numFmtId="0" fontId="144" fillId="0" borderId="39" xfId="0" applyFont="1" applyBorder="1" applyAlignment="1">
      <alignment horizontal="center" vertical="center" wrapText="1"/>
    </xf>
    <xf numFmtId="0" fontId="142" fillId="0" borderId="37" xfId="0" applyFont="1" applyBorder="1" applyAlignment="1">
      <alignment horizontal="center" vertical="center" wrapText="1"/>
    </xf>
    <xf numFmtId="0" fontId="142" fillId="0" borderId="38" xfId="0" applyFont="1" applyBorder="1" applyAlignment="1">
      <alignment horizontal="center" vertical="center" wrapText="1"/>
    </xf>
    <xf numFmtId="0" fontId="142" fillId="0" borderId="39" xfId="0" applyFont="1" applyBorder="1" applyAlignment="1">
      <alignment horizontal="center" vertical="center" wrapText="1"/>
    </xf>
    <xf numFmtId="0" fontId="144" fillId="0" borderId="47" xfId="0" applyFont="1" applyBorder="1" applyAlignment="1">
      <alignment horizontal="center" vertical="center" wrapText="1"/>
    </xf>
    <xf numFmtId="0" fontId="144" fillId="0" borderId="48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/>
    <xf numFmtId="1" fontId="139" fillId="0" borderId="0" xfId="0" applyNumberFormat="1" applyFont="1" applyAlignment="1">
      <alignment horizontal="center"/>
    </xf>
    <xf numFmtId="0" fontId="139" fillId="0" borderId="0" xfId="0" applyFont="1" applyAlignment="1">
      <alignment horizontal="center"/>
    </xf>
    <xf numFmtId="0" fontId="161" fillId="37" borderId="0" xfId="0" applyFont="1" applyFill="1" applyAlignment="1">
      <alignment horizontal="center" vertical="center"/>
    </xf>
    <xf numFmtId="0" fontId="0" fillId="0" borderId="1" xfId="0" applyBorder="1" applyAlignment="1">
      <alignment horizontal="center"/>
    </xf>
    <xf numFmtId="0" fontId="103" fillId="26" borderId="1" xfId="0" applyFont="1" applyFill="1" applyBorder="1" applyAlignment="1">
      <alignment horizontal="center" vertical="center" wrapText="1"/>
    </xf>
    <xf numFmtId="0" fontId="132" fillId="38" borderId="49" xfId="0" applyFont="1" applyFill="1" applyBorder="1" applyAlignment="1">
      <alignment horizontal="center" vertical="center" textRotation="90"/>
    </xf>
    <xf numFmtId="0" fontId="157" fillId="30" borderId="49" xfId="0" applyFont="1" applyFill="1" applyBorder="1" applyAlignment="1">
      <alignment horizontal="center" vertical="center"/>
    </xf>
    <xf numFmtId="0" fontId="159" fillId="0" borderId="0" xfId="0" applyFont="1" applyAlignment="1">
      <alignment horizontal="left" vertical="top" wrapText="1"/>
    </xf>
  </cellXfs>
  <cellStyles count="4">
    <cellStyle name="Comma" xfId="1" builtinId="3"/>
    <cellStyle name="Hyperlink 2" xfId="3" xr:uid="{BDF9F7B5-0567-494C-A1AB-E574211D515F}"/>
    <cellStyle name="Normal" xfId="0" builtinId="0"/>
    <cellStyle name="Percent" xfId="2" builtinId="5"/>
  </cellStyles>
  <dxfs count="21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fgColor theme="0"/>
          <bgColor theme="0"/>
        </patternFill>
      </fill>
    </dxf>
    <dxf>
      <font>
        <color theme="1"/>
      </font>
      <fill>
        <patternFill>
          <fgColor theme="0"/>
          <bgColor theme="0"/>
        </patternFill>
      </fill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numFmt numFmtId="0" formatCode="General"/>
    </dxf>
    <dxf>
      <numFmt numFmtId="0" formatCode="General"/>
    </dxf>
    <dxf>
      <numFmt numFmtId="164" formatCode="&quot;$&quot;#,##0.00"/>
    </dxf>
    <dxf>
      <font>
        <strike val="0"/>
        <outline val="0"/>
        <shadow val="0"/>
        <u val="none"/>
        <vertAlign val="baseline"/>
        <sz val="11"/>
        <color rgb="FF7030A0"/>
        <name val="Calibri"/>
        <family val="2"/>
        <scheme val="minor"/>
      </font>
      <numFmt numFmtId="164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Estaimated</a:t>
            </a:r>
            <a:r>
              <a:rPr lang="en-AU" baseline="0"/>
              <a:t> Power Generation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Solar Gen'd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'Calcs.2'!$N$21:$Z$21</c15:sqref>
                  </c15:fullRef>
                </c:ext>
              </c:extLst>
              <c:f>'Calcs.2'!$N$21:$Y$21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'Calcs.2'!$N$25:$Z$25</c15:sqref>
                  </c15:fullRef>
                </c:ext>
              </c:extLst>
              <c:f>'Calcs.2'!$N$25:$Y$25</c:f>
              <c:numCache>
                <c:formatCode>0.0</c:formatCode>
                <c:ptCount val="12"/>
                <c:pt idx="0">
                  <c:v>16.342285139730087</c:v>
                </c:pt>
                <c:pt idx="1">
                  <c:v>15.097777639768321</c:v>
                </c:pt>
                <c:pt idx="2">
                  <c:v>13.648660589522702</c:v>
                </c:pt>
                <c:pt idx="3">
                  <c:v>11.152424076059727</c:v>
                </c:pt>
                <c:pt idx="4">
                  <c:v>8.8102465181045986</c:v>
                </c:pt>
                <c:pt idx="5">
                  <c:v>6.9206171419537483</c:v>
                </c:pt>
                <c:pt idx="6">
                  <c:v>7.7607198837074405</c:v>
                </c:pt>
                <c:pt idx="7">
                  <c:v>9.6575707733977172</c:v>
                </c:pt>
                <c:pt idx="8">
                  <c:v>12.331937954166632</c:v>
                </c:pt>
                <c:pt idx="9">
                  <c:v>14.202309960879003</c:v>
                </c:pt>
                <c:pt idx="10">
                  <c:v>14.934089999541236</c:v>
                </c:pt>
                <c:pt idx="11">
                  <c:v>16.209890724840545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9-4855-A111-E1FF90BA9BAF}"/>
            </c:ext>
          </c:extLst>
        </c:ser>
        <c:ser>
          <c:idx val="1"/>
          <c:order val="1"/>
          <c:tx>
            <c:v>Daily Use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'Calcs.2'!$N$21:$Z$21</c15:sqref>
                  </c15:fullRef>
                </c:ext>
              </c:extLst>
              <c:f>'Calcs.2'!$N$21:$Y$21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'Calcs.2'!$N$29:$Z$29</c15:sqref>
                  </c15:fullRef>
                </c:ext>
              </c:extLst>
              <c:f>'Calcs.2'!$N$29:$Y$29</c:f>
              <c:numCache>
                <c:formatCode>0.00</c:formatCode>
                <c:ptCount val="12"/>
                <c:pt idx="0">
                  <c:v>31.7</c:v>
                </c:pt>
                <c:pt idx="1">
                  <c:v>31.7</c:v>
                </c:pt>
                <c:pt idx="2">
                  <c:v>29.271124999999998</c:v>
                </c:pt>
                <c:pt idx="3">
                  <c:v>23.603749999999998</c:v>
                </c:pt>
                <c:pt idx="4">
                  <c:v>18.260224999999998</c:v>
                </c:pt>
                <c:pt idx="5">
                  <c:v>15.507499999999999</c:v>
                </c:pt>
                <c:pt idx="6">
                  <c:v>15.507499999999999</c:v>
                </c:pt>
                <c:pt idx="7">
                  <c:v>18.260224999999998</c:v>
                </c:pt>
                <c:pt idx="8">
                  <c:v>23.603749999999998</c:v>
                </c:pt>
                <c:pt idx="9">
                  <c:v>29.271124999999998</c:v>
                </c:pt>
                <c:pt idx="10">
                  <c:v>31.700000000000003</c:v>
                </c:pt>
                <c:pt idx="11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9-4855-A111-E1FF90BA9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marker val="1"/>
        <c:smooth val="0"/>
        <c:axId val="1415362448"/>
        <c:axId val="1687290720"/>
      </c:lineChart>
      <c:catAx>
        <c:axId val="141536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</a:t>
                </a:r>
                <a:r>
                  <a:rPr lang="en-AU" baseline="0"/>
                  <a:t> #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7290720"/>
        <c:crosses val="autoZero"/>
        <c:auto val="1"/>
        <c:lblAlgn val="ctr"/>
        <c:lblOffset val="100"/>
        <c:noMultiLvlLbl val="0"/>
      </c:catAx>
      <c:valAx>
        <c:axId val="168729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KWh</a:t>
                </a:r>
              </a:p>
            </c:rich>
          </c:tx>
          <c:layout>
            <c:manualLayout>
              <c:xMode val="edge"/>
              <c:yMode val="edge"/>
              <c:x val="2.8985513861808482E-3"/>
              <c:y val="0.327966100074019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3624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Estaimated</a:t>
            </a:r>
            <a:r>
              <a:rPr lang="en-AU" baseline="0"/>
              <a:t> Power Generation</a:t>
            </a:r>
            <a:endParaRPr lang="en-A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Solar Gen'd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Calcs!$N$23:$Z$23</c15:sqref>
                  </c15:fullRef>
                </c:ext>
              </c:extLst>
              <c:f>Calcs!$N$23:$Y$23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Calcs!$N$27:$Z$27</c15:sqref>
                  </c15:fullRef>
                </c:ext>
              </c:extLst>
              <c:f>Calcs!$N$27:$Y$27</c:f>
              <c:numCache>
                <c:formatCode>0.0</c:formatCode>
                <c:ptCount val="12"/>
                <c:pt idx="0">
                  <c:v>16.315215851223002</c:v>
                </c:pt>
                <c:pt idx="1">
                  <c:v>15.893056536960001</c:v>
                </c:pt>
                <c:pt idx="2">
                  <c:v>15.689426750080202</c:v>
                </c:pt>
                <c:pt idx="3">
                  <c:v>14.152270188146097</c:v>
                </c:pt>
                <c:pt idx="4">
                  <c:v>12.292285915304999</c:v>
                </c:pt>
                <c:pt idx="5">
                  <c:v>10.052358259627198</c:v>
                </c:pt>
                <c:pt idx="6">
                  <c:v>11.169838797382202</c:v>
                </c:pt>
                <c:pt idx="7">
                  <c:v>12.664779427889998</c:v>
                </c:pt>
                <c:pt idx="8">
                  <c:v>14.706043876855801</c:v>
                </c:pt>
                <c:pt idx="9">
                  <c:v>15.530496184710605</c:v>
                </c:pt>
                <c:pt idx="10">
                  <c:v>15.242434534978196</c:v>
                </c:pt>
                <c:pt idx="11">
                  <c:v>16.171185026356806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1-4D2D-9806-FCCF5AC344FA}"/>
            </c:ext>
          </c:extLst>
        </c:ser>
        <c:ser>
          <c:idx val="1"/>
          <c:order val="1"/>
          <c:tx>
            <c:v>Daily Use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Calcs!$N$23:$Z$23</c15:sqref>
                  </c15:fullRef>
                </c:ext>
              </c:extLst>
              <c:f>Calcs!$N$23:$Y$23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Calcs!$N$31:$Z$31</c15:sqref>
                  </c15:fullRef>
                </c:ext>
              </c:extLst>
              <c:f>Calcs!$N$31:$Y$31</c:f>
              <c:numCache>
                <c:formatCode>0.00</c:formatCode>
                <c:ptCount val="12"/>
                <c:pt idx="0">
                  <c:v>31.7</c:v>
                </c:pt>
                <c:pt idx="1">
                  <c:v>31.7</c:v>
                </c:pt>
                <c:pt idx="2">
                  <c:v>29.271124999999998</c:v>
                </c:pt>
                <c:pt idx="3">
                  <c:v>23.603749999999998</c:v>
                </c:pt>
                <c:pt idx="4">
                  <c:v>18.260224999999998</c:v>
                </c:pt>
                <c:pt idx="5">
                  <c:v>15.507499999999999</c:v>
                </c:pt>
                <c:pt idx="6">
                  <c:v>15.507499999999999</c:v>
                </c:pt>
                <c:pt idx="7">
                  <c:v>18.260224999999998</c:v>
                </c:pt>
                <c:pt idx="8">
                  <c:v>23.603749999999998</c:v>
                </c:pt>
                <c:pt idx="9">
                  <c:v>29.271124999999998</c:v>
                </c:pt>
                <c:pt idx="10">
                  <c:v>31.700000000000003</c:v>
                </c:pt>
                <c:pt idx="11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1-4D2D-9806-FCCF5AC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marker val="1"/>
        <c:smooth val="0"/>
        <c:axId val="1415362448"/>
        <c:axId val="1687290720"/>
      </c:lineChart>
      <c:catAx>
        <c:axId val="141536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</a:t>
                </a:r>
                <a:r>
                  <a:rPr lang="en-AU" baseline="0"/>
                  <a:t> #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7290720"/>
        <c:crosses val="autoZero"/>
        <c:auto val="1"/>
        <c:lblAlgn val="ctr"/>
        <c:lblOffset val="100"/>
        <c:noMultiLvlLbl val="0"/>
      </c:catAx>
      <c:valAx>
        <c:axId val="168729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KWh</a:t>
                </a:r>
              </a:p>
            </c:rich>
          </c:tx>
          <c:layout>
            <c:manualLayout>
              <c:xMode val="edge"/>
              <c:yMode val="edge"/>
              <c:x val="2.8985513861808482E-3"/>
              <c:y val="0.327966100074019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3624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b="1"/>
              <a:t>Estimated Power Generation+Use /day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197278451781515E-2"/>
          <c:y val="0.12164848484848485"/>
          <c:w val="0.87982036580191425"/>
          <c:h val="0.56972827487473165"/>
        </c:manualLayout>
      </c:layout>
      <c:areaChart>
        <c:grouping val="standard"/>
        <c:varyColors val="0"/>
        <c:ser>
          <c:idx val="5"/>
          <c:order val="4"/>
          <c:tx>
            <c:v>Solar2</c:v>
          </c:tx>
          <c:spPr>
            <a:solidFill>
              <a:srgbClr val="FFD13F">
                <a:alpha val="69804"/>
              </a:srgbClr>
            </a:solidFill>
            <a:ln>
              <a:noFill/>
            </a:ln>
            <a:effectLst/>
          </c:spPr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Ave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'[1]Calcs.2'!$N$25:$Y$25</c15:sqref>
                  </c15:fullRef>
                </c:ext>
              </c:extLst>
              <c:f>'[1]Calcs.2'!$N$25:$Y$25</c:f>
              <c:numCache>
                <c:formatCode>General</c:formatCode>
                <c:ptCount val="12"/>
                <c:pt idx="0">
                  <c:v>16.342285139730087</c:v>
                </c:pt>
                <c:pt idx="1">
                  <c:v>15.097777639768321</c:v>
                </c:pt>
                <c:pt idx="2">
                  <c:v>13.648660589522702</c:v>
                </c:pt>
                <c:pt idx="3">
                  <c:v>11.152424076059727</c:v>
                </c:pt>
                <c:pt idx="4">
                  <c:v>8.8102465181045986</c:v>
                </c:pt>
                <c:pt idx="5">
                  <c:v>6.9206171419537483</c:v>
                </c:pt>
                <c:pt idx="6">
                  <c:v>7.7607198837074405</c:v>
                </c:pt>
                <c:pt idx="7">
                  <c:v>9.6575707733977172</c:v>
                </c:pt>
                <c:pt idx="8">
                  <c:v>12.331937954166632</c:v>
                </c:pt>
                <c:pt idx="9">
                  <c:v>14.202309960879003</c:v>
                </c:pt>
                <c:pt idx="10">
                  <c:v>14.934089999541236</c:v>
                </c:pt>
                <c:pt idx="11">
                  <c:v>16.209890724840545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01E7-4A5D-8BA1-AA9DBD8026B9}"/>
            </c:ext>
          </c:extLst>
        </c:ser>
        <c:ser>
          <c:idx val="2"/>
          <c:order val="5"/>
          <c:tx>
            <c:v>Solar 1+2</c:v>
          </c:tx>
          <c:spPr>
            <a:solidFill>
              <a:srgbClr val="FBE64B">
                <a:alpha val="69804"/>
              </a:srgbClr>
            </a:solidFill>
            <a:ln>
              <a:noFill/>
            </a:ln>
            <a:effectLst/>
          </c:spPr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Ave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[1]Calculator!$M$16:$X$16</c15:sqref>
                  </c15:fullRef>
                </c:ext>
              </c:extLst>
              <c:f>[1]Calculator!$M$16:$X$16</c:f>
              <c:numCache>
                <c:formatCode>General</c:formatCode>
                <c:ptCount val="12"/>
                <c:pt idx="0">
                  <c:v>38.821026979192887</c:v>
                </c:pt>
                <c:pt idx="1">
                  <c:v>35.864704848062729</c:v>
                </c:pt>
                <c:pt idx="2">
                  <c:v>32.422333623806708</c:v>
                </c:pt>
                <c:pt idx="3">
                  <c:v>26.492534687671323</c:v>
                </c:pt>
                <c:pt idx="4">
                  <c:v>20.928702127536599</c:v>
                </c:pt>
                <c:pt idx="5">
                  <c:v>16.439895796903748</c:v>
                </c:pt>
                <c:pt idx="6">
                  <c:v>18.435556191032241</c:v>
                </c:pt>
                <c:pt idx="7">
                  <c:v>22.941517195540115</c:v>
                </c:pt>
                <c:pt idx="8">
                  <c:v>29.294464753926235</c:v>
                </c:pt>
                <c:pt idx="9">
                  <c:v>33.737525287559009</c:v>
                </c:pt>
                <c:pt idx="10">
                  <c:v>35.475865573562032</c:v>
                </c:pt>
                <c:pt idx="11">
                  <c:v>38.506524624817345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7-4A5D-8BA1-AA9DBD80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362448"/>
        <c:axId val="1687290720"/>
        <c:extLst/>
      </c:areaChart>
      <c:lineChart>
        <c:grouping val="standard"/>
        <c:varyColors val="0"/>
        <c:ser>
          <c:idx val="0"/>
          <c:order val="1"/>
          <c:tx>
            <c:v>Solar Pwr Array 2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[1]Calculator!$M$17:$Y$17</c15:sqref>
                  </c15:fullRef>
                </c:ext>
              </c:extLst>
              <c:f>[1]Calculator!$M$17:$X$17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Ave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'[1]Calcs.2'!$N$25:$Y$25</c15:sqref>
                  </c15:fullRef>
                </c:ext>
              </c:extLst>
              <c:f>'[1]Calcs.2'!$N$25:$Y$25</c:f>
              <c:numCache>
                <c:formatCode>General</c:formatCode>
                <c:ptCount val="12"/>
                <c:pt idx="0">
                  <c:v>16.342285139730087</c:v>
                </c:pt>
                <c:pt idx="1">
                  <c:v>15.097777639768321</c:v>
                </c:pt>
                <c:pt idx="2">
                  <c:v>13.648660589522702</c:v>
                </c:pt>
                <c:pt idx="3">
                  <c:v>11.152424076059727</c:v>
                </c:pt>
                <c:pt idx="4">
                  <c:v>8.8102465181045986</c:v>
                </c:pt>
                <c:pt idx="5">
                  <c:v>6.9206171419537483</c:v>
                </c:pt>
                <c:pt idx="6">
                  <c:v>7.7607198837074405</c:v>
                </c:pt>
                <c:pt idx="7">
                  <c:v>9.6575707733977172</c:v>
                </c:pt>
                <c:pt idx="8">
                  <c:v>12.331937954166632</c:v>
                </c:pt>
                <c:pt idx="9">
                  <c:v>14.202309960879003</c:v>
                </c:pt>
                <c:pt idx="10">
                  <c:v>14.934089999541236</c:v>
                </c:pt>
                <c:pt idx="11">
                  <c:v>16.209890724840545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1E7-4A5D-8BA1-AA9DBD8026B9}"/>
            </c:ext>
          </c:extLst>
        </c:ser>
        <c:ser>
          <c:idx val="3"/>
          <c:order val="2"/>
          <c:tx>
            <c:v>Solar Pwr Array 1+2</c:v>
          </c:tx>
          <c:spPr>
            <a:ln w="28575" cap="rnd">
              <a:solidFill>
                <a:srgbClr val="D6A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6A3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6A3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Ave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[1]Calcs!$N$28:$Y$28</c15:sqref>
                  </c15:fullRef>
                </c:ext>
              </c:extLst>
              <c:f>[1]Calcs!$N$28:$Y$28</c:f>
              <c:numCache>
                <c:formatCode>General</c:formatCode>
                <c:ptCount val="12"/>
                <c:pt idx="0">
                  <c:v>38.821026979192887</c:v>
                </c:pt>
                <c:pt idx="1">
                  <c:v>35.864704848062729</c:v>
                </c:pt>
                <c:pt idx="2">
                  <c:v>32.422333623806708</c:v>
                </c:pt>
                <c:pt idx="3">
                  <c:v>26.492534687671323</c:v>
                </c:pt>
                <c:pt idx="4">
                  <c:v>20.928702127536599</c:v>
                </c:pt>
                <c:pt idx="5">
                  <c:v>16.439895796903748</c:v>
                </c:pt>
                <c:pt idx="6">
                  <c:v>18.435556191032241</c:v>
                </c:pt>
                <c:pt idx="7">
                  <c:v>22.941517195540115</c:v>
                </c:pt>
                <c:pt idx="8">
                  <c:v>29.294464753926235</c:v>
                </c:pt>
                <c:pt idx="9">
                  <c:v>33.737525287559009</c:v>
                </c:pt>
                <c:pt idx="10">
                  <c:v>35.475865573562032</c:v>
                </c:pt>
                <c:pt idx="11">
                  <c:v>38.506524624817345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E7-4A5D-8BA1-AA9DBD8026B9}"/>
            </c:ext>
          </c:extLst>
        </c:ser>
        <c:ser>
          <c:idx val="1"/>
          <c:order val="3"/>
          <c:tx>
            <c:v>Daily Pwr Use</c:v>
          </c:tx>
          <c:spPr>
            <a:ln w="44450" cap="rnd">
              <a:solidFill>
                <a:schemeClr val="accent2">
                  <a:alpha val="6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[1]Calculator!$M$17:$Y$17</c15:sqref>
                  </c15:fullRef>
                </c:ext>
              </c:extLst>
              <c:f>[1]Calculator!$M$17:$X$17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[1]Calcs!$N$31:$Z$31</c15:sqref>
                  </c15:fullRef>
                </c:ext>
              </c:extLst>
              <c:f>[1]Calcs!$N$31:$Y$31</c:f>
              <c:numCache>
                <c:formatCode>General</c:formatCode>
                <c:ptCount val="12"/>
                <c:pt idx="0">
                  <c:v>31.7</c:v>
                </c:pt>
                <c:pt idx="1">
                  <c:v>31.7</c:v>
                </c:pt>
                <c:pt idx="2">
                  <c:v>29.271124999999998</c:v>
                </c:pt>
                <c:pt idx="3">
                  <c:v>23.603749999999998</c:v>
                </c:pt>
                <c:pt idx="4">
                  <c:v>18.260224999999998</c:v>
                </c:pt>
                <c:pt idx="5">
                  <c:v>15.507499999999999</c:v>
                </c:pt>
                <c:pt idx="6">
                  <c:v>15.507499999999999</c:v>
                </c:pt>
                <c:pt idx="7">
                  <c:v>18.260224999999998</c:v>
                </c:pt>
                <c:pt idx="8">
                  <c:v>23.603749999999998</c:v>
                </c:pt>
                <c:pt idx="9">
                  <c:v>29.271124999999998</c:v>
                </c:pt>
                <c:pt idx="10">
                  <c:v>31.700000000000003</c:v>
                </c:pt>
                <c:pt idx="11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E7-4A5D-8BA1-AA9DBD8026B9}"/>
            </c:ext>
          </c:extLst>
        </c:ser>
        <c:ser>
          <c:idx val="7"/>
          <c:order val="6"/>
          <c:tx>
            <c:v>Temp-Min</c:v>
          </c:tx>
          <c:spPr>
            <a:ln w="19050" cap="rnd">
              <a:solidFill>
                <a:srgbClr val="2C4D75">
                  <a:alpha val="65000"/>
                </a:srgbClr>
              </a:solidFill>
              <a:prstDash val="sysDot"/>
              <a:round/>
            </a:ln>
            <a:effectLst/>
          </c:spPr>
          <c:marker>
            <c:symbol val="circle"/>
            <c:size val="3"/>
            <c:spPr>
              <a:solidFill>
                <a:srgbClr val="2C4D75">
                  <a:alpha val="65000"/>
                </a:srgbClr>
              </a:solidFill>
              <a:ln w="9525">
                <a:solidFill>
                  <a:srgbClr val="2C4D75">
                    <a:alpha val="65000"/>
                  </a:srgbClr>
                </a:solidFill>
              </a:ln>
              <a:effectLst/>
            </c:spPr>
          </c:marker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Ave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[1]Loads!$B$92:$M$92</c15:sqref>
                  </c15:fullRef>
                </c:ext>
              </c:extLst>
              <c:f>[1]Loads!$B$92:$M$92</c:f>
              <c:numCache>
                <c:formatCode>General</c:formatCode>
                <c:ptCount val="12"/>
                <c:pt idx="0">
                  <c:v>24.9</c:v>
                </c:pt>
                <c:pt idx="1">
                  <c:v>24.8</c:v>
                </c:pt>
                <c:pt idx="2">
                  <c:v>24.4</c:v>
                </c:pt>
                <c:pt idx="3">
                  <c:v>22.8</c:v>
                </c:pt>
                <c:pt idx="4">
                  <c:v>20.6</c:v>
                </c:pt>
                <c:pt idx="5">
                  <c:v>18.899999999999999</c:v>
                </c:pt>
                <c:pt idx="6">
                  <c:v>18</c:v>
                </c:pt>
                <c:pt idx="7">
                  <c:v>18.5</c:v>
                </c:pt>
                <c:pt idx="8">
                  <c:v>20.2</c:v>
                </c:pt>
                <c:pt idx="9">
                  <c:v>22.1</c:v>
                </c:pt>
                <c:pt idx="10">
                  <c:v>23.4</c:v>
                </c:pt>
                <c:pt idx="11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7-4A5D-8BA1-AA9DBD8026B9}"/>
            </c:ext>
          </c:extLst>
        </c:ser>
        <c:ser>
          <c:idx val="6"/>
          <c:order val="7"/>
          <c:tx>
            <c:v>Temp-Max</c:v>
          </c:tx>
          <c:spPr>
            <a:ln w="19050" cap="rnd">
              <a:solidFill>
                <a:srgbClr val="772C2A">
                  <a:alpha val="65000"/>
                </a:srgbClr>
              </a:solidFill>
              <a:prstDash val="sysDot"/>
              <a:round/>
            </a:ln>
            <a:effectLst/>
          </c:spPr>
          <c:marker>
            <c:symbol val="circle"/>
            <c:size val="3"/>
            <c:spPr>
              <a:solidFill>
                <a:srgbClr val="772C2A">
                  <a:alpha val="64706"/>
                </a:srgbClr>
              </a:solidFill>
              <a:ln w="9525">
                <a:noFill/>
              </a:ln>
              <a:effectLst/>
            </c:spPr>
          </c:marker>
          <c:cat>
            <c:strLit>
              <c:ptCount val="12"/>
              <c:pt idx="0">
                <c:v>Jan</c:v>
              </c:pt>
              <c:pt idx="1">
                <c:v>Feb</c:v>
              </c:pt>
              <c:pt idx="2">
                <c:v>Mar</c:v>
              </c:pt>
              <c:pt idx="3">
                <c:v>Apr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Aug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Dec</c:v>
              </c:pt>
              <c:pt idx="12">
                <c:v>Ave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[1]Loads!$B$91:$M$91</c15:sqref>
                  </c15:fullRef>
                </c:ext>
              </c:extLst>
              <c:f>[1]Loads!$B$91:$M$91</c:f>
              <c:numCache>
                <c:formatCode>General</c:formatCode>
                <c:ptCount val="12"/>
                <c:pt idx="0">
                  <c:v>29.9</c:v>
                </c:pt>
                <c:pt idx="1">
                  <c:v>29.7</c:v>
                </c:pt>
                <c:pt idx="2">
                  <c:v>28.9</c:v>
                </c:pt>
                <c:pt idx="3">
                  <c:v>27</c:v>
                </c:pt>
                <c:pt idx="4">
                  <c:v>24.3</c:v>
                </c:pt>
                <c:pt idx="5">
                  <c:v>22.3</c:v>
                </c:pt>
                <c:pt idx="6">
                  <c:v>21.5</c:v>
                </c:pt>
                <c:pt idx="7">
                  <c:v>22.9</c:v>
                </c:pt>
                <c:pt idx="8">
                  <c:v>25.3</c:v>
                </c:pt>
                <c:pt idx="9">
                  <c:v>27.4</c:v>
                </c:pt>
                <c:pt idx="10">
                  <c:v>28.7</c:v>
                </c:pt>
                <c:pt idx="11">
                  <c:v>29.9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E7-4A5D-8BA1-AA9DBD80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marker val="1"/>
        <c:smooth val="0"/>
        <c:axId val="1415362448"/>
        <c:axId val="1687290720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v>Sola Pwr Array 1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ullRef>
                          <c15:sqref>[1]Calculator!$M$16:$X$16</c15:sqref>
                        </c15:fullRef>
                        <c15:formulaRef>
                          <c15:sqref>[1]Calculator!$M$16:$X$16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38.821026979192887</c:v>
                      </c:pt>
                      <c:pt idx="1">
                        <c:v>35.864704848062729</c:v>
                      </c:pt>
                      <c:pt idx="2">
                        <c:v>32.422333623806708</c:v>
                      </c:pt>
                      <c:pt idx="3">
                        <c:v>26.492534687671323</c:v>
                      </c:pt>
                      <c:pt idx="4">
                        <c:v>20.928702127536599</c:v>
                      </c:pt>
                      <c:pt idx="5">
                        <c:v>16.439895796903748</c:v>
                      </c:pt>
                      <c:pt idx="6">
                        <c:v>18.435556191032241</c:v>
                      </c:pt>
                      <c:pt idx="7">
                        <c:v>22.941517195540115</c:v>
                      </c:pt>
                      <c:pt idx="8">
                        <c:v>29.294464753926235</c:v>
                      </c:pt>
                      <c:pt idx="9">
                        <c:v>33.737525287559009</c:v>
                      </c:pt>
                      <c:pt idx="10">
                        <c:v>35.475865573562032</c:v>
                      </c:pt>
                      <c:pt idx="11">
                        <c:v>38.506524624817345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01E7-4A5D-8BA1-AA9DBD8026B9}"/>
                  </c:ext>
                </c:extLst>
              </c15:ser>
            </c15:filteredLineSeries>
          </c:ext>
        </c:extLst>
      </c:lineChart>
      <c:catAx>
        <c:axId val="141536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Month</a:t>
                </a:r>
              </a:p>
            </c:rich>
          </c:tx>
          <c:layout>
            <c:manualLayout>
              <c:xMode val="edge"/>
              <c:yMode val="edge"/>
              <c:x val="6.0828509973371234E-2"/>
              <c:y val="0.731125936530661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7290720"/>
        <c:crosses val="autoZero"/>
        <c:auto val="1"/>
        <c:lblAlgn val="ctr"/>
        <c:lblOffset val="100"/>
        <c:noMultiLvlLbl val="0"/>
      </c:catAx>
      <c:valAx>
        <c:axId val="168729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KWh</a:t>
                </a:r>
              </a:p>
            </c:rich>
          </c:tx>
          <c:layout>
            <c:manualLayout>
              <c:xMode val="edge"/>
              <c:yMode val="edge"/>
              <c:x val="2.8985513861808482E-3"/>
              <c:y val="0.327966100074019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3624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6299475441106339E-3"/>
          <c:y val="0.82107792889525177"/>
          <c:w val="0.94630604650813499"/>
          <c:h val="0.14498258349676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2200" b="0"/>
              <a:t>Estimated PV Generation+Use /day</a:t>
            </a:r>
          </a:p>
        </c:rich>
      </c:tx>
      <c:layout>
        <c:manualLayout>
          <c:xMode val="edge"/>
          <c:yMode val="edge"/>
          <c:x val="0.22221911892664167"/>
          <c:y val="7.734266959542114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57659351244118E-2"/>
          <c:y val="0.1491449814126394"/>
          <c:w val="0.87710018512351717"/>
          <c:h val="0.5839980458449533"/>
        </c:manualLayout>
      </c:layout>
      <c:areaChart>
        <c:grouping val="standard"/>
        <c:varyColors val="0"/>
        <c:ser>
          <c:idx val="5"/>
          <c:order val="6"/>
          <c:tx>
            <c:v>Solar.1+2</c:v>
          </c:tx>
          <c:spPr>
            <a:solidFill>
              <a:srgbClr val="FFFF66"/>
            </a:solidFill>
            <a:ln>
              <a:noFill/>
            </a:ln>
            <a:effectLst/>
          </c:spPr>
          <c:val>
            <c:numRef>
              <c:f>Calculator!$M$16:$X$16</c:f>
              <c:numCache>
                <c:formatCode>0.0</c:formatCode>
                <c:ptCount val="12"/>
                <c:pt idx="0">
                  <c:v>38.821026979192887</c:v>
                </c:pt>
                <c:pt idx="1">
                  <c:v>35.864704848062729</c:v>
                </c:pt>
                <c:pt idx="2">
                  <c:v>32.422333623806708</c:v>
                </c:pt>
                <c:pt idx="3">
                  <c:v>26.492534687671323</c:v>
                </c:pt>
                <c:pt idx="4">
                  <c:v>20.928702127536599</c:v>
                </c:pt>
                <c:pt idx="5">
                  <c:v>16.439895796903748</c:v>
                </c:pt>
                <c:pt idx="6">
                  <c:v>18.435556191032241</c:v>
                </c:pt>
                <c:pt idx="7">
                  <c:v>22.941517195540115</c:v>
                </c:pt>
                <c:pt idx="8">
                  <c:v>29.294464753926235</c:v>
                </c:pt>
                <c:pt idx="9">
                  <c:v>33.737525287559009</c:v>
                </c:pt>
                <c:pt idx="10">
                  <c:v>35.475865573562032</c:v>
                </c:pt>
                <c:pt idx="11">
                  <c:v>38.506524624817345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3DD-4B1A-B0FB-D17606FC36A2}"/>
            </c:ext>
          </c:extLst>
        </c:ser>
        <c:ser>
          <c:idx val="2"/>
          <c:order val="7"/>
          <c:tx>
            <c:v>Solar.2</c:v>
          </c:tx>
          <c:spPr>
            <a:solidFill>
              <a:srgbClr val="FFC000">
                <a:alpha val="50000"/>
              </a:srgbClr>
            </a:solidFill>
            <a:ln>
              <a:noFill/>
            </a:ln>
            <a:effectLst/>
          </c:spPr>
          <c:val>
            <c:numRef>
              <c:f>'[1]Calcs.2'!$N$25:$Y$25</c:f>
              <c:numCache>
                <c:formatCode>General</c:formatCode>
                <c:ptCount val="12"/>
                <c:pt idx="0">
                  <c:v>16.342285139730087</c:v>
                </c:pt>
                <c:pt idx="1">
                  <c:v>15.097777639768321</c:v>
                </c:pt>
                <c:pt idx="2">
                  <c:v>13.648660589522702</c:v>
                </c:pt>
                <c:pt idx="3">
                  <c:v>11.152424076059727</c:v>
                </c:pt>
                <c:pt idx="4">
                  <c:v>8.8102465181045986</c:v>
                </c:pt>
                <c:pt idx="5">
                  <c:v>6.9206171419537483</c:v>
                </c:pt>
                <c:pt idx="6">
                  <c:v>7.7607198837074405</c:v>
                </c:pt>
                <c:pt idx="7">
                  <c:v>9.6575707733977172</c:v>
                </c:pt>
                <c:pt idx="8">
                  <c:v>12.331937954166632</c:v>
                </c:pt>
                <c:pt idx="9">
                  <c:v>14.202309960879003</c:v>
                </c:pt>
                <c:pt idx="10">
                  <c:v>14.934089999541236</c:v>
                </c:pt>
                <c:pt idx="11">
                  <c:v>16.209890724840545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3DD-4B1A-B0FB-D17606FC3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362448"/>
        <c:axId val="1687290720"/>
        <c:extLst/>
      </c:areaChart>
      <c:lineChart>
        <c:grouping val="standard"/>
        <c:varyColors val="0"/>
        <c:ser>
          <c:idx val="4"/>
          <c:order val="0"/>
          <c:tx>
            <c:v>Sola Pwr Array 1</c:v>
          </c:tx>
          <c:spPr>
            <a:ln w="31750" cap="rnd">
              <a:solidFill>
                <a:srgbClr val="FFC000">
                  <a:alpha val="70000"/>
                </a:srgb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C000"/>
              </a:solidFill>
              <a:ln w="31750">
                <a:solidFill>
                  <a:srgbClr val="FFC000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D6A3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Calculator!$M$16:$X$16</c:f>
              <c:numCache>
                <c:formatCode>0.0</c:formatCode>
                <c:ptCount val="12"/>
                <c:pt idx="0">
                  <c:v>38.821026979192887</c:v>
                </c:pt>
                <c:pt idx="1">
                  <c:v>35.864704848062729</c:v>
                </c:pt>
                <c:pt idx="2">
                  <c:v>32.422333623806708</c:v>
                </c:pt>
                <c:pt idx="3">
                  <c:v>26.492534687671323</c:v>
                </c:pt>
                <c:pt idx="4">
                  <c:v>20.928702127536599</c:v>
                </c:pt>
                <c:pt idx="5">
                  <c:v>16.439895796903748</c:v>
                </c:pt>
                <c:pt idx="6">
                  <c:v>18.435556191032241</c:v>
                </c:pt>
                <c:pt idx="7">
                  <c:v>22.941517195540115</c:v>
                </c:pt>
                <c:pt idx="8">
                  <c:v>29.294464753926235</c:v>
                </c:pt>
                <c:pt idx="9">
                  <c:v>33.737525287559009</c:v>
                </c:pt>
                <c:pt idx="10">
                  <c:v>35.475865573562032</c:v>
                </c:pt>
                <c:pt idx="11">
                  <c:v>38.506524624817345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3DD-4B1A-B0FB-D17606FC36A2}"/>
            </c:ext>
          </c:extLst>
        </c:ser>
        <c:ser>
          <c:idx val="0"/>
          <c:order val="1"/>
          <c:tx>
            <c:v>Solar Pwr Array 2</c:v>
          </c:tx>
          <c:spPr>
            <a:ln w="28575" cap="rnd">
              <a:solidFill>
                <a:srgbClr val="D6A300">
                  <a:alpha val="70000"/>
                </a:srgb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C000"/>
              </a:solidFill>
              <a:ln w="9525">
                <a:solidFill>
                  <a:srgbClr val="D6A300"/>
                </a:solidFill>
              </a:ln>
              <a:effectLst/>
            </c:spPr>
          </c:marker>
          <c:cat>
            <c:strRef>
              <c:f>Calculator!$M$17:$Y$17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Ave</c:v>
                </c:pt>
              </c:strCache>
            </c:strRef>
          </c:cat>
          <c:val>
            <c:numRef>
              <c:f>'[1]Calcs.2'!$N$25:$Y$25</c:f>
              <c:numCache>
                <c:formatCode>General</c:formatCode>
                <c:ptCount val="12"/>
                <c:pt idx="0">
                  <c:v>16.342285139730087</c:v>
                </c:pt>
                <c:pt idx="1">
                  <c:v>15.097777639768321</c:v>
                </c:pt>
                <c:pt idx="2">
                  <c:v>13.648660589522702</c:v>
                </c:pt>
                <c:pt idx="3">
                  <c:v>11.152424076059727</c:v>
                </c:pt>
                <c:pt idx="4">
                  <c:v>8.8102465181045986</c:v>
                </c:pt>
                <c:pt idx="5">
                  <c:v>6.9206171419537483</c:v>
                </c:pt>
                <c:pt idx="6">
                  <c:v>7.7607198837074405</c:v>
                </c:pt>
                <c:pt idx="7">
                  <c:v>9.6575707733977172</c:v>
                </c:pt>
                <c:pt idx="8">
                  <c:v>12.331937954166632</c:v>
                </c:pt>
                <c:pt idx="9">
                  <c:v>14.202309960879003</c:v>
                </c:pt>
                <c:pt idx="10">
                  <c:v>14.934089999541236</c:v>
                </c:pt>
                <c:pt idx="11">
                  <c:v>16.209890724840545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3DD-4B1A-B0FB-D17606FC36A2}"/>
            </c:ext>
          </c:extLst>
        </c:ser>
        <c:ser>
          <c:idx val="6"/>
          <c:order val="2"/>
          <c:tx>
            <c:v>Temp-Max</c:v>
          </c:tx>
          <c:spPr>
            <a:ln w="19050" cap="rnd">
              <a:solidFill>
                <a:srgbClr val="772C2A">
                  <a:alpha val="64706"/>
                </a:srgbClr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772C2A">
                  <a:alpha val="64706"/>
                </a:srgbClr>
              </a:solidFill>
              <a:ln w="9525">
                <a:solidFill>
                  <a:srgbClr val="772C2A">
                    <a:alpha val="64706"/>
                  </a:srgbClr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D-4B1A-B0FB-D17606FC36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D-4B1A-B0FB-D17606FC36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D-4B1A-B0FB-D17606FC36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D-4B1A-B0FB-D17606FC36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DD-4B1A-B0FB-D17606FC36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DD-4B1A-B0FB-D17606FC36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DD-4B1A-B0FB-D17606FC36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DD-4B1A-B0FB-D17606FC36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DD-4B1A-B0FB-D17606FC36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DD-4B1A-B0FB-D17606FC36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DD-4B1A-B0FB-D17606FC36A2}"/>
                </c:ext>
              </c:extLst>
            </c:dLbl>
            <c:dLbl>
              <c:idx val="11"/>
              <c:layout>
                <c:manualLayout>
                  <c:x val="-7.9259794492703248E-2"/>
                  <c:y val="-1.8018011627292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accent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DD-4B1A-B0FB-D17606FC3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[1]Loads!$B$91:$M$91</c:f>
              <c:numCache>
                <c:formatCode>General</c:formatCode>
                <c:ptCount val="12"/>
                <c:pt idx="0">
                  <c:v>29.9</c:v>
                </c:pt>
                <c:pt idx="1">
                  <c:v>29.7</c:v>
                </c:pt>
                <c:pt idx="2">
                  <c:v>28.9</c:v>
                </c:pt>
                <c:pt idx="3">
                  <c:v>27</c:v>
                </c:pt>
                <c:pt idx="4">
                  <c:v>24.3</c:v>
                </c:pt>
                <c:pt idx="5">
                  <c:v>22.3</c:v>
                </c:pt>
                <c:pt idx="6">
                  <c:v>21.5</c:v>
                </c:pt>
                <c:pt idx="7">
                  <c:v>22.9</c:v>
                </c:pt>
                <c:pt idx="8">
                  <c:v>25.3</c:v>
                </c:pt>
                <c:pt idx="9">
                  <c:v>27.4</c:v>
                </c:pt>
                <c:pt idx="10">
                  <c:v>28.7</c:v>
                </c:pt>
                <c:pt idx="11">
                  <c:v>29.9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DD-4B1A-B0FB-D17606FC36A2}"/>
            </c:ext>
          </c:extLst>
        </c:ser>
        <c:ser>
          <c:idx val="7"/>
          <c:order val="3"/>
          <c:tx>
            <c:v>Temp-Min</c:v>
          </c:tx>
          <c:spPr>
            <a:ln w="19050" cap="rnd">
              <a:solidFill>
                <a:schemeClr val="tx2">
                  <a:lumMod val="75000"/>
                  <a:alpha val="64706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2C4D75">
                  <a:alpha val="65000"/>
                </a:srgbClr>
              </a:solidFill>
              <a:ln w="9525">
                <a:solidFill>
                  <a:schemeClr val="tx2">
                    <a:lumMod val="75000"/>
                    <a:alpha val="64706"/>
                  </a:schemeClr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DD-4B1A-B0FB-D17606FC36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DD-4B1A-B0FB-D17606FC36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DD-4B1A-B0FB-D17606FC36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DD-4B1A-B0FB-D17606FC36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DD-4B1A-B0FB-D17606FC36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DD-4B1A-B0FB-D17606FC36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DD-4B1A-B0FB-D17606FC36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DD-4B1A-B0FB-D17606FC36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DD-4B1A-B0FB-D17606FC36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DD-4B1A-B0FB-D17606FC36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DD-4B1A-B0FB-D17606FC36A2}"/>
                </c:ext>
              </c:extLst>
            </c:dLbl>
            <c:dLbl>
              <c:idx val="11"/>
              <c:layout>
                <c:manualLayout>
                  <c:x val="-8.3154751045421055E-2"/>
                  <c:y val="4.50450290682311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accent5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DD-4B1A-B0FB-D17606FC3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[1]Loads!$B$92:$M$92</c:f>
              <c:numCache>
                <c:formatCode>General</c:formatCode>
                <c:ptCount val="12"/>
                <c:pt idx="0">
                  <c:v>24.9</c:v>
                </c:pt>
                <c:pt idx="1">
                  <c:v>24.8</c:v>
                </c:pt>
                <c:pt idx="2">
                  <c:v>24.4</c:v>
                </c:pt>
                <c:pt idx="3">
                  <c:v>22.8</c:v>
                </c:pt>
                <c:pt idx="4">
                  <c:v>20.6</c:v>
                </c:pt>
                <c:pt idx="5">
                  <c:v>18.899999999999999</c:v>
                </c:pt>
                <c:pt idx="6">
                  <c:v>18</c:v>
                </c:pt>
                <c:pt idx="7">
                  <c:v>18.5</c:v>
                </c:pt>
                <c:pt idx="8">
                  <c:v>20.2</c:v>
                </c:pt>
                <c:pt idx="9">
                  <c:v>22.1</c:v>
                </c:pt>
                <c:pt idx="10">
                  <c:v>23.4</c:v>
                </c:pt>
                <c:pt idx="11">
                  <c:v>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DD-4B1A-B0FB-D17606FC36A2}"/>
            </c:ext>
          </c:extLst>
        </c:ser>
        <c:ser>
          <c:idx val="1"/>
          <c:order val="5"/>
          <c:tx>
            <c:v>Daily Pwr Use</c:v>
          </c:tx>
          <c:spPr>
            <a:ln w="38100" cap="rnd">
              <a:solidFill>
                <a:schemeClr val="accent2">
                  <a:alpha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strRef>
              <c:f>Calculator!$M$17:$Y$17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Ave</c:v>
                </c:pt>
              </c:strCache>
            </c:strRef>
          </c:cat>
          <c:val>
            <c:numRef>
              <c:f>[1]Calcs!$N$31:$Z$31</c:f>
              <c:numCache>
                <c:formatCode>General</c:formatCode>
                <c:ptCount val="13"/>
                <c:pt idx="0">
                  <c:v>31.7</c:v>
                </c:pt>
                <c:pt idx="1">
                  <c:v>31.7</c:v>
                </c:pt>
                <c:pt idx="2">
                  <c:v>29.271124999999998</c:v>
                </c:pt>
                <c:pt idx="3">
                  <c:v>23.603749999999998</c:v>
                </c:pt>
                <c:pt idx="4">
                  <c:v>18.260224999999998</c:v>
                </c:pt>
                <c:pt idx="5">
                  <c:v>15.507499999999999</c:v>
                </c:pt>
                <c:pt idx="6">
                  <c:v>15.507499999999999</c:v>
                </c:pt>
                <c:pt idx="7">
                  <c:v>18.260224999999998</c:v>
                </c:pt>
                <c:pt idx="8">
                  <c:v>23.603749999999998</c:v>
                </c:pt>
                <c:pt idx="9">
                  <c:v>29.271124999999998</c:v>
                </c:pt>
                <c:pt idx="10">
                  <c:v>31.700000000000003</c:v>
                </c:pt>
                <c:pt idx="11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DD-4B1A-B0FB-D17606FC36A2}"/>
            </c:ext>
          </c:extLst>
        </c:ser>
        <c:ser>
          <c:idx val="8"/>
          <c:order val="8"/>
          <c:tx>
            <c:strRef>
              <c:f>Calculator!$AH$25</c:f>
              <c:strCache>
                <c:ptCount val="1"/>
                <c:pt idx="0">
                  <c:v>Solar.KWh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6A3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Calculator!$AH$12:$AH$23</c:f>
              <c:numCache>
                <c:formatCode>General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 formatCode="0.00">
                  <c:v>38.506524624817345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DD-4B1A-B0FB-D17606FC36A2}"/>
            </c:ext>
          </c:extLst>
        </c:ser>
        <c:ser>
          <c:idx val="9"/>
          <c:order val="9"/>
          <c:tx>
            <c:strRef>
              <c:f>Calculator!$AG$28</c:f>
              <c:strCache>
                <c:ptCount val="1"/>
                <c:pt idx="0">
                  <c:v>Pwr-Use.KWh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dLbl>
              <c:idx val="11"/>
              <c:layout>
                <c:manualLayout>
                  <c:x val="-5.4570259208731242E-3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DD-4B1A-B0FB-D17606FC3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Calculator!$AG$15:$AG$26</c:f>
              <c:numCache>
                <c:formatCode>General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 formatCode="0.00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3DD-4B1A-B0FB-D17606FC3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rgbClr val="FFC000"/>
              </a:solidFill>
              <a:round/>
            </a:ln>
            <a:effectLst/>
          </c:spPr>
        </c:hiLowLines>
        <c:marker val="1"/>
        <c:smooth val="0"/>
        <c:axId val="1415362448"/>
        <c:axId val="1687290720"/>
        <c:extLst>
          <c:ext xmlns:c15="http://schemas.microsoft.com/office/drawing/2012/chart" uri="{02D57815-91ED-43cb-92C2-25804820EDAC}">
            <c15:filteredLineSeries>
              <c15:ser>
                <c:idx val="3"/>
                <c:order val="4"/>
                <c:tx>
                  <c:v>Solar Pwr Array 1+2</c:v>
                </c:tx>
                <c:spPr>
                  <a:ln w="28575" cap="rnd">
                    <a:solidFill>
                      <a:srgbClr val="D6A3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D6A300"/>
                    </a:solidFill>
                    <a:ln w="9525">
                      <a:noFill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D6A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[1]Calcs!$N$28:$Y$28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38.821026979192887</c:v>
                      </c:pt>
                      <c:pt idx="1">
                        <c:v>35.864704848062729</c:v>
                      </c:pt>
                      <c:pt idx="2">
                        <c:v>32.422333623806708</c:v>
                      </c:pt>
                      <c:pt idx="3">
                        <c:v>26.492534687671323</c:v>
                      </c:pt>
                      <c:pt idx="4">
                        <c:v>20.928702127536599</c:v>
                      </c:pt>
                      <c:pt idx="5">
                        <c:v>16.439895796903748</c:v>
                      </c:pt>
                      <c:pt idx="6">
                        <c:v>18.435556191032241</c:v>
                      </c:pt>
                      <c:pt idx="7">
                        <c:v>22.941517195540115</c:v>
                      </c:pt>
                      <c:pt idx="8">
                        <c:v>29.294464753926235</c:v>
                      </c:pt>
                      <c:pt idx="9">
                        <c:v>33.737525287559009</c:v>
                      </c:pt>
                      <c:pt idx="10">
                        <c:v>35.475865573562032</c:v>
                      </c:pt>
                      <c:pt idx="11">
                        <c:v>38.506524624817345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93DD-4B1A-B0FB-D17606FC36A2}"/>
                  </c:ext>
                </c:extLst>
              </c15:ser>
            </c15:filteredLineSeries>
          </c:ext>
        </c:extLst>
      </c:lineChart>
      <c:catAx>
        <c:axId val="1415362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800"/>
                  <a:t>Month</a:t>
                </a:r>
              </a:p>
            </c:rich>
          </c:tx>
          <c:layout>
            <c:manualLayout>
              <c:xMode val="edge"/>
              <c:yMode val="edge"/>
              <c:x val="6.1508989411794203E-2"/>
              <c:y val="0.78612080975649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7290720"/>
        <c:crosses val="autoZero"/>
        <c:auto val="1"/>
        <c:lblAlgn val="ctr"/>
        <c:lblOffset val="100"/>
        <c:noMultiLvlLbl val="0"/>
      </c:catAx>
      <c:valAx>
        <c:axId val="168729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100"/>
                  <a:t>KWh</a:t>
                </a:r>
              </a:p>
            </c:rich>
          </c:tx>
          <c:layout>
            <c:manualLayout>
              <c:xMode val="edge"/>
              <c:yMode val="edge"/>
              <c:x val="2.8985513861808482E-3"/>
              <c:y val="0.327966100074019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3624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8.6712858027807899E-2"/>
          <c:y val="0.85943766948812961"/>
          <c:w val="0.80838419754147373"/>
          <c:h val="0.12364370126204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Day/Night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[1]Loads!$M$15</c:f>
              <c:strCache>
                <c:ptCount val="1"/>
                <c:pt idx="0">
                  <c:v>KWh Daytime use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KWe</c:v>
              </c:pt>
            </c:strLit>
          </c:cat>
          <c:val>
            <c:numRef>
              <c:f>[1]Loads!$M$16</c:f>
              <c:numCache>
                <c:formatCode>General</c:formatCode>
                <c:ptCount val="1"/>
                <c:pt idx="0">
                  <c:v>17.817132452719999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BE2-8D22-C19333D67824}"/>
            </c:ext>
          </c:extLst>
        </c:ser>
        <c:ser>
          <c:idx val="1"/>
          <c:order val="1"/>
          <c:tx>
            <c:strRef>
              <c:f>[1]Loads!$M$27</c:f>
              <c:strCache>
                <c:ptCount val="1"/>
                <c:pt idx="0">
                  <c:v>KWh Night use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KWe</c:v>
              </c:pt>
            </c:strLit>
          </c:cat>
          <c:val>
            <c:numRef>
              <c:f>[1]Loads!$M$28</c:f>
              <c:numCache>
                <c:formatCode>General</c:formatCode>
                <c:ptCount val="1"/>
                <c:pt idx="0">
                  <c:v>13.876702681347375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BE2-8D22-C19333D67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8478440"/>
        <c:axId val="918476472"/>
      </c:barChart>
      <c:catAx>
        <c:axId val="91847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476472"/>
        <c:crosses val="autoZero"/>
        <c:auto val="1"/>
        <c:lblAlgn val="ctr"/>
        <c:lblOffset val="100"/>
        <c:noMultiLvlLbl val="0"/>
      </c:catAx>
      <c:valAx>
        <c:axId val="918476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847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903676674562022E-2"/>
          <c:y val="0.83481532199779374"/>
          <c:w val="0.89167232144762387"/>
          <c:h val="0.14581193655140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600" b="1"/>
              <a:t>Load Limits &amp; Peaking</a:t>
            </a:r>
          </a:p>
        </c:rich>
      </c:tx>
      <c:layout>
        <c:manualLayout>
          <c:xMode val="edge"/>
          <c:yMode val="edge"/>
          <c:x val="0.10080352808563506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3"/>
          <c:order val="0"/>
          <c:tx>
            <c:v>"Peak.2"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strRef>
              <c:f>[1]Loads!$V$10:$V$34</c:f>
              <c:strCache>
                <c:ptCount val="25"/>
                <c:pt idx="0">
                  <c:v>12am</c:v>
                </c:pt>
                <c:pt idx="1">
                  <c:v>1am</c:v>
                </c:pt>
                <c:pt idx="2">
                  <c:v>2am</c:v>
                </c:pt>
                <c:pt idx="3">
                  <c:v>3am</c:v>
                </c:pt>
                <c:pt idx="4">
                  <c:v>4am</c:v>
                </c:pt>
                <c:pt idx="5">
                  <c:v>5am </c:v>
                </c:pt>
                <c:pt idx="6">
                  <c:v>6am</c:v>
                </c:pt>
                <c:pt idx="7">
                  <c:v>7am</c:v>
                </c:pt>
                <c:pt idx="8">
                  <c:v>8am</c:v>
                </c:pt>
                <c:pt idx="9">
                  <c:v>9am</c:v>
                </c:pt>
                <c:pt idx="10">
                  <c:v>10am</c:v>
                </c:pt>
                <c:pt idx="11">
                  <c:v>11am</c:v>
                </c:pt>
                <c:pt idx="12">
                  <c:v>12pm</c:v>
                </c:pt>
                <c:pt idx="13">
                  <c:v>1pm</c:v>
                </c:pt>
                <c:pt idx="14">
                  <c:v>2pm</c:v>
                </c:pt>
                <c:pt idx="15">
                  <c:v>3pm</c:v>
                </c:pt>
                <c:pt idx="16">
                  <c:v>4pm</c:v>
                </c:pt>
                <c:pt idx="17">
                  <c:v>5pm</c:v>
                </c:pt>
                <c:pt idx="18">
                  <c:v>6pm</c:v>
                </c:pt>
                <c:pt idx="19">
                  <c:v>7pm</c:v>
                </c:pt>
                <c:pt idx="20">
                  <c:v>8pm</c:v>
                </c:pt>
                <c:pt idx="21">
                  <c:v>9pm</c:v>
                </c:pt>
                <c:pt idx="22">
                  <c:v>10pm</c:v>
                </c:pt>
                <c:pt idx="23">
                  <c:v>11pm</c:v>
                </c:pt>
                <c:pt idx="24">
                  <c:v>12pm</c:v>
                </c:pt>
              </c:strCache>
            </c:strRef>
          </c:cat>
          <c:val>
            <c:numRef>
              <c:f>[1]Loads!$T$10:$T$34</c:f>
              <c:numCache>
                <c:formatCode>General</c:formatCode>
                <c:ptCount val="2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41D-B630-91CE65794651}"/>
            </c:ext>
          </c:extLst>
        </c:ser>
        <c:ser>
          <c:idx val="2"/>
          <c:order val="1"/>
          <c:tx>
            <c:v/>
          </c:tx>
          <c:spPr>
            <a:solidFill>
              <a:schemeClr val="accent5">
                <a:lumMod val="75000"/>
                <a:alpha val="50000"/>
              </a:schemeClr>
            </a:solidFill>
            <a:ln>
              <a:noFill/>
            </a:ln>
            <a:effectLst/>
          </c:spPr>
          <c:cat>
            <c:strRef>
              <c:f>[1]Loads!$V$10:$V$34</c:f>
              <c:strCache>
                <c:ptCount val="25"/>
                <c:pt idx="0">
                  <c:v>12am</c:v>
                </c:pt>
                <c:pt idx="1">
                  <c:v>1am</c:v>
                </c:pt>
                <c:pt idx="2">
                  <c:v>2am</c:v>
                </c:pt>
                <c:pt idx="3">
                  <c:v>3am</c:v>
                </c:pt>
                <c:pt idx="4">
                  <c:v>4am</c:v>
                </c:pt>
                <c:pt idx="5">
                  <c:v>5am </c:v>
                </c:pt>
                <c:pt idx="6">
                  <c:v>6am</c:v>
                </c:pt>
                <c:pt idx="7">
                  <c:v>7am</c:v>
                </c:pt>
                <c:pt idx="8">
                  <c:v>8am</c:v>
                </c:pt>
                <c:pt idx="9">
                  <c:v>9am</c:v>
                </c:pt>
                <c:pt idx="10">
                  <c:v>10am</c:v>
                </c:pt>
                <c:pt idx="11">
                  <c:v>11am</c:v>
                </c:pt>
                <c:pt idx="12">
                  <c:v>12pm</c:v>
                </c:pt>
                <c:pt idx="13">
                  <c:v>1pm</c:v>
                </c:pt>
                <c:pt idx="14">
                  <c:v>2pm</c:v>
                </c:pt>
                <c:pt idx="15">
                  <c:v>3pm</c:v>
                </c:pt>
                <c:pt idx="16">
                  <c:v>4pm</c:v>
                </c:pt>
                <c:pt idx="17">
                  <c:v>5pm</c:v>
                </c:pt>
                <c:pt idx="18">
                  <c:v>6pm</c:v>
                </c:pt>
                <c:pt idx="19">
                  <c:v>7pm</c:v>
                </c:pt>
                <c:pt idx="20">
                  <c:v>8pm</c:v>
                </c:pt>
                <c:pt idx="21">
                  <c:v>9pm</c:v>
                </c:pt>
                <c:pt idx="22">
                  <c:v>10pm</c:v>
                </c:pt>
                <c:pt idx="23">
                  <c:v>11pm</c:v>
                </c:pt>
                <c:pt idx="24">
                  <c:v>12pm</c:v>
                </c:pt>
              </c:strCache>
            </c:strRef>
          </c:cat>
          <c:val>
            <c:numRef>
              <c:f>[1]Loads!$P$10:$P$34</c:f>
              <c:numCache>
                <c:formatCode>General</c:formatCode>
                <c:ptCount val="25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41D-B630-91CE6579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61824"/>
        <c:axId val="486815760"/>
      </c:areaChart>
      <c:barChart>
        <c:barDir val="col"/>
        <c:grouping val="clustered"/>
        <c:varyColors val="0"/>
        <c:ser>
          <c:idx val="4"/>
          <c:order val="4"/>
          <c:tx>
            <c:strRef>
              <c:f>[1]Loads!$U$7</c:f>
              <c:strCache>
                <c:ptCount val="1"/>
                <c:pt idx="0">
                  <c:v>Daytime Peak:</c:v>
                </c:pt>
              </c:strCache>
            </c:strRef>
          </c:tx>
          <c:spPr>
            <a:solidFill>
              <a:srgbClr val="C00000">
                <a:alpha val="50000"/>
              </a:srgbClr>
            </a:solidFill>
            <a:ln w="6350">
              <a:solidFill>
                <a:srgbClr val="FF0000"/>
              </a:solidFill>
            </a:ln>
            <a:effectLst/>
          </c:spPr>
          <c:invertIfNegative val="0"/>
          <c:dLbls>
            <c:dLbl>
              <c:idx val="9"/>
              <c:layout>
                <c:manualLayout>
                  <c:x val="1.474460242232754E-2"/>
                  <c:y val="6.93751822688829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8-441D-B630-91CE65794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[1]Loads!$V$10:$V$34</c:f>
              <c:strCache>
                <c:ptCount val="25"/>
                <c:pt idx="0">
                  <c:v>12am</c:v>
                </c:pt>
                <c:pt idx="1">
                  <c:v>1am</c:v>
                </c:pt>
                <c:pt idx="2">
                  <c:v>2am</c:v>
                </c:pt>
                <c:pt idx="3">
                  <c:v>3am</c:v>
                </c:pt>
                <c:pt idx="4">
                  <c:v>4am</c:v>
                </c:pt>
                <c:pt idx="5">
                  <c:v>5am </c:v>
                </c:pt>
                <c:pt idx="6">
                  <c:v>6am</c:v>
                </c:pt>
                <c:pt idx="7">
                  <c:v>7am</c:v>
                </c:pt>
                <c:pt idx="8">
                  <c:v>8am</c:v>
                </c:pt>
                <c:pt idx="9">
                  <c:v>9am</c:v>
                </c:pt>
                <c:pt idx="10">
                  <c:v>10am</c:v>
                </c:pt>
                <c:pt idx="11">
                  <c:v>11am</c:v>
                </c:pt>
                <c:pt idx="12">
                  <c:v>12pm</c:v>
                </c:pt>
                <c:pt idx="13">
                  <c:v>1pm</c:v>
                </c:pt>
                <c:pt idx="14">
                  <c:v>2pm</c:v>
                </c:pt>
                <c:pt idx="15">
                  <c:v>3pm</c:v>
                </c:pt>
                <c:pt idx="16">
                  <c:v>4pm</c:v>
                </c:pt>
                <c:pt idx="17">
                  <c:v>5pm</c:v>
                </c:pt>
                <c:pt idx="18">
                  <c:v>6pm</c:v>
                </c:pt>
                <c:pt idx="19">
                  <c:v>7pm</c:v>
                </c:pt>
                <c:pt idx="20">
                  <c:v>8pm</c:v>
                </c:pt>
                <c:pt idx="21">
                  <c:v>9pm</c:v>
                </c:pt>
                <c:pt idx="22">
                  <c:v>10pm</c:v>
                </c:pt>
                <c:pt idx="23">
                  <c:v>11pm</c:v>
                </c:pt>
                <c:pt idx="24">
                  <c:v>12pm</c:v>
                </c:pt>
              </c:strCache>
            </c:strRef>
          </c:cat>
          <c:val>
            <c:numRef>
              <c:f>[1]Loads!$U$10:$U$34</c:f>
              <c:numCache>
                <c:formatCode>General</c:formatCode>
                <c:ptCount val="25"/>
                <c:pt idx="0">
                  <c:v>1.5449999999999999</c:v>
                </c:pt>
                <c:pt idx="1">
                  <c:v>1.5449999999999999</c:v>
                </c:pt>
                <c:pt idx="2">
                  <c:v>0.87000000000000011</c:v>
                </c:pt>
                <c:pt idx="3">
                  <c:v>0.87000000000000011</c:v>
                </c:pt>
                <c:pt idx="4">
                  <c:v>0.87000000000000011</c:v>
                </c:pt>
                <c:pt idx="5">
                  <c:v>1.5449999999999999</c:v>
                </c:pt>
                <c:pt idx="6">
                  <c:v>1.5449999999999999</c:v>
                </c:pt>
                <c:pt idx="7">
                  <c:v>1.6950000000000003</c:v>
                </c:pt>
                <c:pt idx="8">
                  <c:v>1.8450000000000002</c:v>
                </c:pt>
                <c:pt idx="9">
                  <c:v>1.6950000000000003</c:v>
                </c:pt>
                <c:pt idx="10">
                  <c:v>1.845</c:v>
                </c:pt>
                <c:pt idx="11">
                  <c:v>3.0449999999999999</c:v>
                </c:pt>
                <c:pt idx="12">
                  <c:v>2.82</c:v>
                </c:pt>
                <c:pt idx="13">
                  <c:v>3.0449999999999999</c:v>
                </c:pt>
                <c:pt idx="14">
                  <c:v>2.2949999999999999</c:v>
                </c:pt>
                <c:pt idx="15">
                  <c:v>1.77</c:v>
                </c:pt>
                <c:pt idx="16">
                  <c:v>1.845</c:v>
                </c:pt>
                <c:pt idx="17">
                  <c:v>1.6500000000000001</c:v>
                </c:pt>
                <c:pt idx="18">
                  <c:v>3.24</c:v>
                </c:pt>
                <c:pt idx="19">
                  <c:v>2.1150000000000002</c:v>
                </c:pt>
                <c:pt idx="20">
                  <c:v>2.1150000000000002</c:v>
                </c:pt>
                <c:pt idx="21">
                  <c:v>1.7400000000000002</c:v>
                </c:pt>
                <c:pt idx="22">
                  <c:v>1.5449999999999999</c:v>
                </c:pt>
                <c:pt idx="23">
                  <c:v>1.5449999999999999</c:v>
                </c:pt>
                <c:pt idx="24">
                  <c:v>1.5449999999999999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98-441D-B630-91CE6579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axId val="856961824"/>
        <c:axId val="486815760"/>
      </c:barChart>
      <c:lineChart>
        <c:grouping val="standard"/>
        <c:varyColors val="0"/>
        <c:ser>
          <c:idx val="0"/>
          <c:order val="2"/>
          <c:tx>
            <c:strRef>
              <c:f>[1]Loads!$P$8</c:f>
              <c:strCache>
                <c:ptCount val="1"/>
                <c:pt idx="0">
                  <c:v>Nom.Load</c:v>
                </c:pt>
              </c:strCache>
            </c:strRef>
          </c:tx>
          <c:spPr>
            <a:ln w="15875" cap="rnd">
              <a:solidFill>
                <a:schemeClr val="accent5">
                  <a:lumMod val="50000"/>
                  <a:alpha val="6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[1]Loads!$V$10:$V$34</c:f>
              <c:strCache>
                <c:ptCount val="25"/>
                <c:pt idx="0">
                  <c:v>12am</c:v>
                </c:pt>
                <c:pt idx="1">
                  <c:v>1am</c:v>
                </c:pt>
                <c:pt idx="2">
                  <c:v>2am</c:v>
                </c:pt>
                <c:pt idx="3">
                  <c:v>3am</c:v>
                </c:pt>
                <c:pt idx="4">
                  <c:v>4am</c:v>
                </c:pt>
                <c:pt idx="5">
                  <c:v>5am </c:v>
                </c:pt>
                <c:pt idx="6">
                  <c:v>6am</c:v>
                </c:pt>
                <c:pt idx="7">
                  <c:v>7am</c:v>
                </c:pt>
                <c:pt idx="8">
                  <c:v>8am</c:v>
                </c:pt>
                <c:pt idx="9">
                  <c:v>9am</c:v>
                </c:pt>
                <c:pt idx="10">
                  <c:v>10am</c:v>
                </c:pt>
                <c:pt idx="11">
                  <c:v>11am</c:v>
                </c:pt>
                <c:pt idx="12">
                  <c:v>12pm</c:v>
                </c:pt>
                <c:pt idx="13">
                  <c:v>1pm</c:v>
                </c:pt>
                <c:pt idx="14">
                  <c:v>2pm</c:v>
                </c:pt>
                <c:pt idx="15">
                  <c:v>3pm</c:v>
                </c:pt>
                <c:pt idx="16">
                  <c:v>4pm</c:v>
                </c:pt>
                <c:pt idx="17">
                  <c:v>5pm</c:v>
                </c:pt>
                <c:pt idx="18">
                  <c:v>6pm</c:v>
                </c:pt>
                <c:pt idx="19">
                  <c:v>7pm</c:v>
                </c:pt>
                <c:pt idx="20">
                  <c:v>8pm</c:v>
                </c:pt>
                <c:pt idx="21">
                  <c:v>9pm</c:v>
                </c:pt>
                <c:pt idx="22">
                  <c:v>10pm</c:v>
                </c:pt>
                <c:pt idx="23">
                  <c:v>11pm</c:v>
                </c:pt>
                <c:pt idx="24">
                  <c:v>12pm</c:v>
                </c:pt>
              </c:strCache>
            </c:strRef>
          </c:cat>
          <c:val>
            <c:numRef>
              <c:f>[1]Loads!$P$10:$P$34</c:f>
              <c:numCache>
                <c:formatCode>General</c:formatCode>
                <c:ptCount val="25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98-441D-B630-91CE65794651}"/>
            </c:ext>
          </c:extLst>
        </c:ser>
        <c:ser>
          <c:idx val="1"/>
          <c:order val="3"/>
          <c:tx>
            <c:strRef>
              <c:f>[1]Loads!$S$8</c:f>
              <c:strCache>
                <c:ptCount val="1"/>
                <c:pt idx="0">
                  <c:v>Load.Peak</c:v>
                </c:pt>
              </c:strCache>
            </c:strRef>
          </c:tx>
          <c:spPr>
            <a:ln w="19050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[1]Loads!$V$10:$V$34</c:f>
              <c:strCache>
                <c:ptCount val="25"/>
                <c:pt idx="0">
                  <c:v>12am</c:v>
                </c:pt>
                <c:pt idx="1">
                  <c:v>1am</c:v>
                </c:pt>
                <c:pt idx="2">
                  <c:v>2am</c:v>
                </c:pt>
                <c:pt idx="3">
                  <c:v>3am</c:v>
                </c:pt>
                <c:pt idx="4">
                  <c:v>4am</c:v>
                </c:pt>
                <c:pt idx="5">
                  <c:v>5am </c:v>
                </c:pt>
                <c:pt idx="6">
                  <c:v>6am</c:v>
                </c:pt>
                <c:pt idx="7">
                  <c:v>7am</c:v>
                </c:pt>
                <c:pt idx="8">
                  <c:v>8am</c:v>
                </c:pt>
                <c:pt idx="9">
                  <c:v>9am</c:v>
                </c:pt>
                <c:pt idx="10">
                  <c:v>10am</c:v>
                </c:pt>
                <c:pt idx="11">
                  <c:v>11am</c:v>
                </c:pt>
                <c:pt idx="12">
                  <c:v>12pm</c:v>
                </c:pt>
                <c:pt idx="13">
                  <c:v>1pm</c:v>
                </c:pt>
                <c:pt idx="14">
                  <c:v>2pm</c:v>
                </c:pt>
                <c:pt idx="15">
                  <c:v>3pm</c:v>
                </c:pt>
                <c:pt idx="16">
                  <c:v>4pm</c:v>
                </c:pt>
                <c:pt idx="17">
                  <c:v>5pm</c:v>
                </c:pt>
                <c:pt idx="18">
                  <c:v>6pm</c:v>
                </c:pt>
                <c:pt idx="19">
                  <c:v>7pm</c:v>
                </c:pt>
                <c:pt idx="20">
                  <c:v>8pm</c:v>
                </c:pt>
                <c:pt idx="21">
                  <c:v>9pm</c:v>
                </c:pt>
                <c:pt idx="22">
                  <c:v>10pm</c:v>
                </c:pt>
                <c:pt idx="23">
                  <c:v>11pm</c:v>
                </c:pt>
                <c:pt idx="24">
                  <c:v>12pm</c:v>
                </c:pt>
              </c:strCache>
            </c:strRef>
          </c:cat>
          <c:val>
            <c:numRef>
              <c:f>[1]Loads!$S$10:$S$34</c:f>
              <c:numCache>
                <c:formatCode>General</c:formatCode>
                <c:ptCount val="25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8-441D-B630-91CE65794651}"/>
            </c:ext>
          </c:extLst>
        </c:ser>
        <c:ser>
          <c:idx val="5"/>
          <c:order val="5"/>
          <c:tx>
            <c:v>Ave Pwr Use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[1]Loads!$O$10:$O$34</c:f>
              <c:numCache>
                <c:formatCode>General</c:formatCode>
                <c:ptCount val="25"/>
                <c:pt idx="0">
                  <c:v>1.03</c:v>
                </c:pt>
                <c:pt idx="1">
                  <c:v>1.03</c:v>
                </c:pt>
                <c:pt idx="2">
                  <c:v>0.58000000000000007</c:v>
                </c:pt>
                <c:pt idx="3">
                  <c:v>0.58000000000000007</c:v>
                </c:pt>
                <c:pt idx="4">
                  <c:v>0.58000000000000007</c:v>
                </c:pt>
                <c:pt idx="5">
                  <c:v>1.03</c:v>
                </c:pt>
                <c:pt idx="6">
                  <c:v>1.03</c:v>
                </c:pt>
                <c:pt idx="7">
                  <c:v>1.1300000000000001</c:v>
                </c:pt>
                <c:pt idx="8">
                  <c:v>1.2300000000000002</c:v>
                </c:pt>
                <c:pt idx="9">
                  <c:v>1.1300000000000001</c:v>
                </c:pt>
                <c:pt idx="10">
                  <c:v>1.23</c:v>
                </c:pt>
                <c:pt idx="11">
                  <c:v>2.0299999999999998</c:v>
                </c:pt>
                <c:pt idx="12">
                  <c:v>1.88</c:v>
                </c:pt>
                <c:pt idx="13">
                  <c:v>2.0299999999999998</c:v>
                </c:pt>
                <c:pt idx="14">
                  <c:v>1.53</c:v>
                </c:pt>
                <c:pt idx="15">
                  <c:v>1.18</c:v>
                </c:pt>
                <c:pt idx="16">
                  <c:v>1.23</c:v>
                </c:pt>
                <c:pt idx="17">
                  <c:v>1.1000000000000001</c:v>
                </c:pt>
                <c:pt idx="18">
                  <c:v>2.16</c:v>
                </c:pt>
                <c:pt idx="19">
                  <c:v>1.4100000000000001</c:v>
                </c:pt>
                <c:pt idx="20">
                  <c:v>1.4100000000000001</c:v>
                </c:pt>
                <c:pt idx="21">
                  <c:v>1.1600000000000001</c:v>
                </c:pt>
                <c:pt idx="22">
                  <c:v>1.03</c:v>
                </c:pt>
                <c:pt idx="23">
                  <c:v>1.03</c:v>
                </c:pt>
                <c:pt idx="24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98-441D-B630-91CE65794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961824"/>
        <c:axId val="486815760"/>
      </c:lineChart>
      <c:catAx>
        <c:axId val="856961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Time Night-Day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815760"/>
        <c:crosses val="autoZero"/>
        <c:auto val="1"/>
        <c:lblAlgn val="ctr"/>
        <c:lblOffset val="100"/>
        <c:noMultiLvlLbl val="0"/>
      </c:catAx>
      <c:valAx>
        <c:axId val="48681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Power 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96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8266688227952549"/>
          <c:y val="0.16245370370370371"/>
          <c:w val="0.81733311772047457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E10" fmlaRange="UserProfiles" sel="0" val="0"/>
</file>

<file path=xl/ctrlProps/ctrlProp10.xml><?xml version="1.0" encoding="utf-8"?>
<formControlPr xmlns="http://schemas.microsoft.com/office/spreadsheetml/2009/9/main" objectType="Spin" dx="22" fmlaLink="AB22" inc="10" max="40" page="10" val="40"/>
</file>

<file path=xl/ctrlProps/ctrlProp11.xml><?xml version="1.0" encoding="utf-8"?>
<formControlPr xmlns="http://schemas.microsoft.com/office/spreadsheetml/2009/9/main" objectType="CheckBox" fmlaLink="AA26" lockText="1"/>
</file>

<file path=xl/ctrlProps/ctrlProp12.xml><?xml version="1.0" encoding="utf-8"?>
<formControlPr xmlns="http://schemas.microsoft.com/office/spreadsheetml/2009/9/main" objectType="CheckBox" checked="Checked" fmlaLink="AA27" lockText="1"/>
</file>

<file path=xl/ctrlProps/ctrlProp2.xml><?xml version="1.0" encoding="utf-8"?>
<formControlPr xmlns="http://schemas.microsoft.com/office/spreadsheetml/2009/9/main" objectType="Drop" dropStyle="combo" dx="22" fmlaLink="AA20" fmlaRange="Solar_Arrays" sel="5" val="4"/>
</file>

<file path=xl/ctrlProps/ctrlProp3.xml><?xml version="1.0" encoding="utf-8"?>
<formControlPr xmlns="http://schemas.microsoft.com/office/spreadsheetml/2009/9/main" objectType="Drop" dropStyle="combo" dx="22" fmlaLink="AA21" fmlaRange="Solar_Arrays" sel="2" val="0"/>
</file>

<file path=xl/ctrlProps/ctrlProp4.xml><?xml version="1.0" encoding="utf-8"?>
<formControlPr xmlns="http://schemas.microsoft.com/office/spreadsheetml/2009/9/main" objectType="Drop" dropLines="10" dropStyle="combo" dx="22" fmlaLink="AA23" fmlaRange="Locations" sel="5" val="0"/>
</file>

<file path=xl/ctrlProps/ctrlProp5.xml><?xml version="1.0" encoding="utf-8"?>
<formControlPr xmlns="http://schemas.microsoft.com/office/spreadsheetml/2009/9/main" objectType="Spin" dx="22" fmlaLink="E12" inc="5" max="50" page="10" val="25"/>
</file>

<file path=xl/ctrlProps/ctrlProp6.xml><?xml version="1.0" encoding="utf-8"?>
<formControlPr xmlns="http://schemas.microsoft.com/office/spreadsheetml/2009/9/main" objectType="Drop" dropStyle="combo" dx="22" fmlaLink="AA24" fmlaRange="Inverter_Chargers" sel="8" val="0"/>
</file>

<file path=xl/ctrlProps/ctrlProp7.xml><?xml version="1.0" encoding="utf-8"?>
<formControlPr xmlns="http://schemas.microsoft.com/office/spreadsheetml/2009/9/main" objectType="Spin" dx="22" fmlaLink="E15" max="50" min="2" page="10" val="10"/>
</file>

<file path=xl/ctrlProps/ctrlProp8.xml><?xml version="1.0" encoding="utf-8"?>
<formControlPr xmlns="http://schemas.microsoft.com/office/spreadsheetml/2009/9/main" objectType="Drop" dropStyle="combo" dx="22" fmlaLink="AA25" fmlaRange="Battery_Banks" sel="6" val="0"/>
</file>

<file path=xl/ctrlProps/ctrlProp9.xml><?xml version="1.0" encoding="utf-8"?>
<formControlPr xmlns="http://schemas.microsoft.com/office/spreadsheetml/2009/9/main" objectType="Spin" dx="22" fmlaLink="AA22" inc="10" max="90" page="10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chart" Target="../charts/chart2.xml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chart" Target="../charts/chart3.xml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5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6.png"/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13</xdr:row>
      <xdr:rowOff>28575</xdr:rowOff>
    </xdr:from>
    <xdr:to>
      <xdr:col>15</xdr:col>
      <xdr:colOff>581025</xdr:colOff>
      <xdr:row>15</xdr:row>
      <xdr:rowOff>76200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925425" y="800100"/>
          <a:ext cx="409575" cy="42862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1438275</xdr:colOff>
      <xdr:row>5</xdr:row>
      <xdr:rowOff>9525</xdr:rowOff>
    </xdr:from>
    <xdr:to>
      <xdr:col>6</xdr:col>
      <xdr:colOff>9525</xdr:colOff>
      <xdr:row>11</xdr:row>
      <xdr:rowOff>188119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114425"/>
          <a:ext cx="876300" cy="1378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47626</xdr:colOff>
      <xdr:row>7</xdr:row>
      <xdr:rowOff>130970</xdr:rowOff>
    </xdr:from>
    <xdr:to>
      <xdr:col>24</xdr:col>
      <xdr:colOff>0</xdr:colOff>
      <xdr:row>18</xdr:row>
      <xdr:rowOff>114896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169333</xdr:colOff>
      <xdr:row>16</xdr:row>
      <xdr:rowOff>62270</xdr:rowOff>
    </xdr:from>
    <xdr:to>
      <xdr:col>5</xdr:col>
      <xdr:colOff>2116667</xdr:colOff>
      <xdr:row>26</xdr:row>
      <xdr:rowOff>35759</xdr:rowOff>
    </xdr:to>
    <xdr:pic>
      <xdr:nvPicPr>
        <xdr:cNvPr id="4" name="Picture 3" descr="Azimuth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5558" y="3319820"/>
          <a:ext cx="1947334" cy="18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295275</xdr:colOff>
      <xdr:row>1</xdr:row>
      <xdr:rowOff>171450</xdr:rowOff>
    </xdr:from>
    <xdr:to>
      <xdr:col>40</xdr:col>
      <xdr:colOff>66675</xdr:colOff>
      <xdr:row>14</xdr:row>
      <xdr:rowOff>114300</xdr:rowOff>
    </xdr:to>
    <xdr:pic>
      <xdr:nvPicPr>
        <xdr:cNvPr id="5" name="datagraph" descr="port hedland airport (004032) 2020 graph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0" y="361950"/>
          <a:ext cx="52578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1438275</xdr:colOff>
      <xdr:row>7</xdr:row>
      <xdr:rowOff>9525</xdr:rowOff>
    </xdr:from>
    <xdr:to>
      <xdr:col>6</xdr:col>
      <xdr:colOff>9525</xdr:colOff>
      <xdr:row>13</xdr:row>
      <xdr:rowOff>188119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409700"/>
          <a:ext cx="876300" cy="1378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47626</xdr:colOff>
      <xdr:row>9</xdr:row>
      <xdr:rowOff>130970</xdr:rowOff>
    </xdr:from>
    <xdr:to>
      <xdr:col>24</xdr:col>
      <xdr:colOff>0</xdr:colOff>
      <xdr:row>20</xdr:row>
      <xdr:rowOff>114896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169333</xdr:colOff>
      <xdr:row>18</xdr:row>
      <xdr:rowOff>62270</xdr:rowOff>
    </xdr:from>
    <xdr:to>
      <xdr:col>5</xdr:col>
      <xdr:colOff>2116667</xdr:colOff>
      <xdr:row>28</xdr:row>
      <xdr:rowOff>35759</xdr:rowOff>
    </xdr:to>
    <xdr:pic>
      <xdr:nvPicPr>
        <xdr:cNvPr id="4" name="Picture 3" descr="Azimuth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5558" y="3615095"/>
          <a:ext cx="1947334" cy="187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295275</xdr:colOff>
      <xdr:row>1</xdr:row>
      <xdr:rowOff>171450</xdr:rowOff>
    </xdr:from>
    <xdr:to>
      <xdr:col>40</xdr:col>
      <xdr:colOff>66675</xdr:colOff>
      <xdr:row>15</xdr:row>
      <xdr:rowOff>9525</xdr:rowOff>
    </xdr:to>
    <xdr:pic>
      <xdr:nvPicPr>
        <xdr:cNvPr id="5" name="datagraph" descr="port hedland airport (004032) 2020 graph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45725" y="361950"/>
          <a:ext cx="52578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66676</xdr:colOff>
      <xdr:row>3</xdr:row>
      <xdr:rowOff>38100</xdr:rowOff>
    </xdr:from>
    <xdr:ext cx="509324" cy="3143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76275"/>
          <a:ext cx="509324" cy="314325"/>
        </a:xfrm>
        <a:prstGeom prst="rect">
          <a:avLst/>
        </a:prstGeom>
      </xdr:spPr>
    </xdr:pic>
    <xdr:clientData/>
  </xdr:oneCellAnchor>
  <xdr:twoCellAnchor editAs="oneCell">
    <xdr:from>
      <xdr:col>8</xdr:col>
      <xdr:colOff>28575</xdr:colOff>
      <xdr:row>26</xdr:row>
      <xdr:rowOff>47625</xdr:rowOff>
    </xdr:from>
    <xdr:to>
      <xdr:col>16</xdr:col>
      <xdr:colOff>495300</xdr:colOff>
      <xdr:row>42</xdr:row>
      <xdr:rowOff>20840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5067300"/>
          <a:ext cx="5343525" cy="302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5</xdr:col>
      <xdr:colOff>2419350</xdr:colOff>
      <xdr:row>177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257175</xdr:colOff>
      <xdr:row>30</xdr:row>
      <xdr:rowOff>28575</xdr:rowOff>
    </xdr:from>
    <xdr:to>
      <xdr:col>5</xdr:col>
      <xdr:colOff>1762125</xdr:colOff>
      <xdr:row>35</xdr:row>
      <xdr:rowOff>25092</xdr:rowOff>
    </xdr:to>
    <xdr:grpSp>
      <xdr:nvGrpSpPr>
        <xdr:cNvPr id="5" name="Group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>
          <a:grpSpLocks/>
        </xdr:cNvGrpSpPr>
      </xdr:nvGrpSpPr>
      <xdr:grpSpPr bwMode="auto">
        <a:xfrm>
          <a:off x="4381500" y="5810250"/>
          <a:ext cx="1504950" cy="949017"/>
          <a:chOff x="114282439" y="109061780"/>
          <a:chExt cx="2549179" cy="1603676"/>
        </a:xfrm>
      </xdr:grpSpPr>
      <xdr:grpSp>
        <xdr:nvGrpSpPr>
          <xdr:cNvPr id="6" name="Group 11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GrpSpPr>
            <a:grpSpLocks/>
          </xdr:cNvGrpSpPr>
        </xdr:nvGrpSpPr>
        <xdr:grpSpPr bwMode="auto">
          <a:xfrm>
            <a:off x="114382597" y="109118841"/>
            <a:ext cx="2449021" cy="1546615"/>
            <a:chOff x="-103996664" y="-105880453"/>
            <a:chExt cx="10605" cy="7215"/>
          </a:xfrm>
        </xdr:grpSpPr>
        <xdr:sp macro="" textlink="">
          <xdr:nvSpPr>
            <xdr:cNvPr id="11" name="Rectangle: Rounded Corners 5">
              <a:extLst>
                <a:ext uri="{FF2B5EF4-FFF2-40B4-BE49-F238E27FC236}">
                  <a16:creationId xmlns:a16="http://schemas.microsoft.com/office/drawing/2014/main" id="{00000000-0008-0000-07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-103996664" y="-105874324"/>
              <a:ext cx="10599" cy="1086"/>
            </a:xfrm>
            <a:prstGeom prst="roundRect">
              <a:avLst>
                <a:gd name="adj" fmla="val 16667"/>
              </a:avLst>
            </a:prstGeom>
            <a:solidFill>
              <a:srgbClr val="767171">
                <a:alpha val="14902"/>
              </a:srgbClr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2" name="Rectangle: Rounded Corners 7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-103986517" y="-105880453"/>
              <a:ext cx="458" cy="6129"/>
            </a:xfrm>
            <a:prstGeom prst="roundRect">
              <a:avLst>
                <a:gd name="adj" fmla="val 16667"/>
              </a:avLst>
            </a:prstGeom>
            <a:solidFill>
              <a:srgbClr val="767171">
                <a:alpha val="14902"/>
              </a:srgbClr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grpSp>
        <xdr:nvGrpSpPr>
          <xdr:cNvPr id="7" name="Group 5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GrpSpPr>
            <a:grpSpLocks/>
          </xdr:cNvGrpSpPr>
        </xdr:nvGrpSpPr>
        <xdr:grpSpPr bwMode="auto">
          <a:xfrm>
            <a:off x="114282439" y="109061780"/>
            <a:ext cx="2493535" cy="1452788"/>
            <a:chOff x="99819007" y="104831580"/>
            <a:chExt cx="2493535" cy="1452788"/>
          </a:xfrm>
        </xdr:grpSpPr>
        <xdr:sp macro="" textlink="">
          <xdr:nvSpPr>
            <xdr:cNvPr id="9" name="AutoShape 6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9819007" y="104831580"/>
              <a:ext cx="2493535" cy="1452788"/>
            </a:xfrm>
            <a:prstGeom prst="roundRect">
              <a:avLst>
                <a:gd name="adj" fmla="val 7046"/>
              </a:avLst>
            </a:prstGeom>
            <a:solidFill>
              <a:srgbClr val="262626"/>
            </a:solidFill>
            <a:ln w="9525" algn="ctr">
              <a:solidFill>
                <a:srgbClr val="141414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9988033" y="104927176"/>
              <a:ext cx="2160407" cy="126118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pic>
      </xdr:grpSp>
      <xdr:sp macro="" textlink="">
        <xdr:nvSpPr>
          <xdr:cNvPr id="8" name="Rectangle 8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14451519" y="109164540"/>
            <a:ext cx="2160407" cy="1246484"/>
          </a:xfrm>
          <a:prstGeom prst="rect">
            <a:avLst/>
          </a:prstGeom>
          <a:solidFill>
            <a:srgbClr val="9999FF">
              <a:alpha val="20000"/>
            </a:srgbClr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31750" algn="ctr">
                <a:solidFill>
                  <a:srgbClr val="CCCCCC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68686"/>
                  </a:outerShdw>
                </a:effectLst>
              </a14:hiddenEffects>
            </a:ext>
          </a:extLst>
        </xdr:spPr>
      </xdr:sp>
    </xdr:grpSp>
    <xdr:clientData/>
  </xdr:twoCellAnchor>
  <xdr:twoCellAnchor editAs="oneCell">
    <xdr:from>
      <xdr:col>5</xdr:col>
      <xdr:colOff>245739</xdr:colOff>
      <xdr:row>64</xdr:row>
      <xdr:rowOff>9525</xdr:rowOff>
    </xdr:from>
    <xdr:to>
      <xdr:col>5</xdr:col>
      <xdr:colOff>2114551</xdr:colOff>
      <xdr:row>72</xdr:row>
      <xdr:rowOff>14461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064" y="12296775"/>
          <a:ext cx="1868812" cy="1528936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107</xdr:row>
      <xdr:rowOff>95250</xdr:rowOff>
    </xdr:from>
    <xdr:to>
      <xdr:col>15</xdr:col>
      <xdr:colOff>562708</xdr:colOff>
      <xdr:row>109</xdr:row>
      <xdr:rowOff>171514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81875" y="20574000"/>
          <a:ext cx="5249008" cy="457264"/>
        </a:xfrm>
        <a:prstGeom prst="rect">
          <a:avLst/>
        </a:prstGeom>
      </xdr:spPr>
    </xdr:pic>
    <xdr:clientData/>
  </xdr:twoCellAnchor>
  <xdr:twoCellAnchor>
    <xdr:from>
      <xdr:col>5</xdr:col>
      <xdr:colOff>108</xdr:colOff>
      <xdr:row>0</xdr:row>
      <xdr:rowOff>-63045183</xdr:rowOff>
    </xdr:from>
    <xdr:to>
      <xdr:col>7</xdr:col>
      <xdr:colOff>519001</xdr:colOff>
      <xdr:row>0</xdr:row>
      <xdr:rowOff>-63014277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pSpPr>
          <a:grpSpLocks/>
        </xdr:cNvGrpSpPr>
      </xdr:nvGrpSpPr>
      <xdr:grpSpPr bwMode="auto">
        <a:xfrm>
          <a:off x="4124433" y="-63045183"/>
          <a:ext cx="3585943" cy="30906"/>
          <a:chOff x="1015349" y="1082863"/>
          <a:chExt cx="38163" cy="30906"/>
        </a:xfrm>
      </xdr:grpSpPr>
      <xdr:cxnSp macro="">
        <xdr:nvCxnSpPr>
          <xdr:cNvPr id="16" name="AutoShape 21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7844" y="1108077"/>
            <a:ext cx="3647" cy="0"/>
          </a:xfrm>
          <a:prstGeom prst="straightConnector1">
            <a:avLst/>
          </a:prstGeom>
          <a:noFill/>
          <a:ln w="57150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dk1">
                      <a:lumMod val="0"/>
                      <a:lumOff val="0"/>
                    </a:schemeClr>
                  </a:outerShdw>
                </a:effectLst>
              </a14:hiddenEffects>
            </a:ext>
          </a:extLst>
        </xdr:spPr>
      </xdr:cxnSp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GrpSpPr>
            <a:grpSpLocks/>
          </xdr:cNvGrpSpPr>
        </xdr:nvGrpSpPr>
        <xdr:grpSpPr bwMode="auto">
          <a:xfrm>
            <a:off x="1015349" y="1082863"/>
            <a:ext cx="38163" cy="27415"/>
            <a:chOff x="1015349" y="1082903"/>
            <a:chExt cx="38163" cy="27415"/>
          </a:xfrm>
        </xdr:grpSpPr>
        <xdr:cxnSp macro="">
          <xdr:nvCxnSpPr>
            <xdr:cNvPr id="25" name="AutoShape 23">
              <a:extLst>
                <a:ext uri="{FF2B5EF4-FFF2-40B4-BE49-F238E27FC236}">
                  <a16:creationId xmlns:a16="http://schemas.microsoft.com/office/drawing/2014/main" id="{00000000-0008-0000-0700-00001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34298" y="1098944"/>
              <a:ext cx="8862" cy="0"/>
            </a:xfrm>
            <a:prstGeom prst="straightConnector1">
              <a:avLst/>
            </a:prstGeom>
            <a:noFill/>
            <a:ln w="57150">
              <a:solidFill>
                <a:srgbClr val="3D87FF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cxnSp macro="">
          <xdr:nvCxnSpPr>
            <xdr:cNvPr id="26" name="AutoShape 24">
              <a:extLst>
                <a:ext uri="{FF2B5EF4-FFF2-40B4-BE49-F238E27FC236}">
                  <a16:creationId xmlns:a16="http://schemas.microsoft.com/office/drawing/2014/main" id="{00000000-0008-0000-0700-00001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593" y="1092436"/>
              <a:ext cx="0" cy="6752"/>
            </a:xfrm>
            <a:prstGeom prst="straightConnector1">
              <a:avLst/>
            </a:prstGeom>
            <a:noFill/>
            <a:ln w="57150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grpSp>
          <xdr:nvGrpSpPr>
            <xdr:cNvPr id="27" name="Group 26">
              <a:extLst>
                <a:ext uri="{FF2B5EF4-FFF2-40B4-BE49-F238E27FC236}">
                  <a16:creationId xmlns:a16="http://schemas.microsoft.com/office/drawing/2014/main" id="{00000000-0008-0000-0700-00001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9949" y="1095521"/>
              <a:ext cx="21384" cy="14797"/>
              <a:chOff x="1021736" y="1076131"/>
              <a:chExt cx="21383" cy="14797"/>
            </a:xfrm>
          </xdr:grpSpPr>
          <xdr:sp macro="" textlink="">
            <xdr:nvSpPr>
              <xdr:cNvPr id="40" name="AutoShape 26">
                <a:extLst>
                  <a:ext uri="{FF2B5EF4-FFF2-40B4-BE49-F238E27FC236}">
                    <a16:creationId xmlns:a16="http://schemas.microsoft.com/office/drawing/2014/main" id="{00000000-0008-0000-0700-000028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 rot="16200000">
                <a:off x="1025029" y="1072838"/>
                <a:ext cx="14797" cy="21383"/>
              </a:xfrm>
              <a:prstGeom prst="rightArrow">
                <a:avLst>
                  <a:gd name="adj1" fmla="val 74083"/>
                  <a:gd name="adj2" fmla="val 49324"/>
                </a:avLst>
              </a:prstGeom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sp macro="" textlink="">
            <xdr:nvSpPr>
              <xdr:cNvPr id="41" name="Rectangle 40">
                <a:extLst>
                  <a:ext uri="{FF2B5EF4-FFF2-40B4-BE49-F238E27FC236}">
                    <a16:creationId xmlns:a16="http://schemas.microsoft.com/office/drawing/2014/main" id="{00000000-0008-0000-0700-00002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30458" y="1085863"/>
                <a:ext cx="4059" cy="5065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</xdr:grpSp>
        <xdr:cxnSp macro="">
          <xdr:nvCxnSpPr>
            <xdr:cNvPr id="28" name="AutoShape 28">
              <a:extLst>
                <a:ext uri="{FF2B5EF4-FFF2-40B4-BE49-F238E27FC236}">
                  <a16:creationId xmlns:a16="http://schemas.microsoft.com/office/drawing/2014/main" id="{00000000-0008-0000-0700-00001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306" y="1085203"/>
              <a:ext cx="0" cy="3181"/>
            </a:xfrm>
            <a:prstGeom prst="straightConnector1">
              <a:avLst/>
            </a:prstGeom>
            <a:noFill/>
            <a:ln w="25400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</xdr:cxnSp>
        <xdr:grpSp>
          <xdr:nvGrpSpPr>
            <xdr:cNvPr id="29" name="Group 28">
              <a:extLst>
                <a:ext uri="{FF2B5EF4-FFF2-40B4-BE49-F238E27FC236}">
                  <a16:creationId xmlns:a16="http://schemas.microsoft.com/office/drawing/2014/main" id="{00000000-0008-0000-0700-00001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5349" y="1082903"/>
              <a:ext cx="19968" cy="2938"/>
              <a:chOff x="1079967" y="1081760"/>
              <a:chExt cx="19968" cy="2937"/>
            </a:xfrm>
          </xdr:grpSpPr>
          <xdr:sp macro="" textlink="">
            <xdr:nvSpPr>
              <xdr:cNvPr id="37" name="AutoShape 30">
                <a:extLst>
                  <a:ext uri="{FF2B5EF4-FFF2-40B4-BE49-F238E27FC236}">
                    <a16:creationId xmlns:a16="http://schemas.microsoft.com/office/drawing/2014/main" id="{00000000-0008-0000-0700-00002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" y="1081760"/>
                <a:ext cx="19968" cy="2937"/>
              </a:xfrm>
              <a:prstGeom prst="roundRect">
                <a:avLst>
                  <a:gd name="adj" fmla="val 17384"/>
                </a:avLst>
              </a:prstGeom>
              <a:solidFill>
                <a:srgbClr val="F5B183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pic>
            <xdr:nvPicPr>
              <xdr:cNvPr id="38" name="Picture 37">
                <a:extLst>
                  <a:ext uri="{FF2B5EF4-FFF2-40B4-BE49-F238E27FC236}">
                    <a16:creationId xmlns:a16="http://schemas.microsoft.com/office/drawing/2014/main" id="{00000000-0008-0000-0700-000026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3" y="1077613"/>
                <a:ext cx="1829" cy="11218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39" name="Picture 38">
                <a:extLst>
                  <a:ext uri="{FF2B5EF4-FFF2-40B4-BE49-F238E27FC236}">
                    <a16:creationId xmlns:a16="http://schemas.microsoft.com/office/drawing/2014/main" id="{00000000-0008-0000-0700-000027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7" y="1079566"/>
                <a:ext cx="1968" cy="7449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00000000-0008-0000-0700-00001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1979" y="1086714"/>
              <a:ext cx="6427" cy="916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  <xdr:cxnSp macro="">
          <xdr:nvCxnSpPr>
            <xdr:cNvPr id="31" name="AutoShape 34">
              <a:extLst>
                <a:ext uri="{FF2B5EF4-FFF2-40B4-BE49-F238E27FC236}">
                  <a16:creationId xmlns:a16="http://schemas.microsoft.com/office/drawing/2014/main" id="{00000000-0008-0000-0700-00001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8030" y="1098752"/>
              <a:ext cx="3180" cy="0"/>
            </a:xfrm>
            <a:prstGeom prst="straightConnector1">
              <a:avLst/>
            </a:prstGeom>
            <a:noFill/>
            <a:ln w="25400">
              <a:solidFill>
                <a:srgbClr val="00B0F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</xdr:cxnSp>
        <xdr:grpSp>
          <xdr:nvGrpSpPr>
            <xdr:cNvPr id="32" name="Group 31">
              <a:extLst>
                <a:ext uri="{FF2B5EF4-FFF2-40B4-BE49-F238E27FC236}">
                  <a16:creationId xmlns:a16="http://schemas.microsoft.com/office/drawing/2014/main" id="{00000000-0008-0000-0700-000020000000}"/>
                </a:ext>
              </a:extLst>
            </xdr:cNvPr>
            <xdr:cNvGrpSpPr>
              <a:grpSpLocks/>
            </xdr:cNvGrpSpPr>
          </xdr:nvGrpSpPr>
          <xdr:grpSpPr bwMode="auto">
            <a:xfrm rot="5400000">
              <a:off x="1042058" y="1097310"/>
              <a:ext cx="19969" cy="2938"/>
              <a:chOff x="1079967" y="1081760"/>
              <a:chExt cx="19968" cy="2937"/>
            </a:xfrm>
          </xdr:grpSpPr>
          <xdr:sp macro="" textlink="">
            <xdr:nvSpPr>
              <xdr:cNvPr id="34" name="AutoShape 36">
                <a:extLst>
                  <a:ext uri="{FF2B5EF4-FFF2-40B4-BE49-F238E27FC236}">
                    <a16:creationId xmlns:a16="http://schemas.microsoft.com/office/drawing/2014/main" id="{00000000-0008-0000-0700-00002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" y="1081760"/>
                <a:ext cx="19968" cy="2937"/>
              </a:xfrm>
              <a:prstGeom prst="roundRect">
                <a:avLst>
                  <a:gd name="adj" fmla="val 17384"/>
                </a:avLst>
              </a:prstGeom>
              <a:solidFill>
                <a:srgbClr val="00B0F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pic>
            <xdr:nvPicPr>
              <xdr:cNvPr id="35" name="Picture 34">
                <a:extLst>
                  <a:ext uri="{FF2B5EF4-FFF2-40B4-BE49-F238E27FC236}">
                    <a16:creationId xmlns:a16="http://schemas.microsoft.com/office/drawing/2014/main" id="{00000000-0008-0000-0700-000023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3" y="1077613"/>
                <a:ext cx="1829" cy="11218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36" name="Picture 35">
                <a:extLst>
                  <a:ext uri="{FF2B5EF4-FFF2-40B4-BE49-F238E27FC236}">
                    <a16:creationId xmlns:a16="http://schemas.microsoft.com/office/drawing/2014/main" id="{00000000-0008-0000-0700-000024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7" y="1079566"/>
                <a:ext cx="1968" cy="7449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00000000-0008-0000-0700-000021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39925" y="1095579"/>
              <a:ext cx="9387" cy="62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</xdr:grpSp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GrpSpPr>
            <a:grpSpLocks/>
          </xdr:cNvGrpSpPr>
        </xdr:nvGrpSpPr>
        <xdr:grpSpPr bwMode="auto">
          <a:xfrm>
            <a:off x="1041386" y="1105819"/>
            <a:ext cx="6133" cy="7950"/>
            <a:chOff x="1041386" y="1105819"/>
            <a:chExt cx="6132" cy="7949"/>
          </a:xfrm>
        </xdr:grpSpPr>
        <xdr:sp macro="" textlink="">
          <xdr:nvSpPr>
            <xdr:cNvPr id="19" name="AutoShape 41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" y="1105819"/>
              <a:ext cx="6132" cy="7949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20" name="AutoShape 42">
              <a:extLst>
                <a:ext uri="{FF2B5EF4-FFF2-40B4-BE49-F238E27FC236}">
                  <a16:creationId xmlns:a16="http://schemas.microsoft.com/office/drawing/2014/main" id="{00000000-0008-0000-0700-00001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" y="1107790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21" name="AutoShape 43">
              <a:extLst>
                <a:ext uri="{FF2B5EF4-FFF2-40B4-BE49-F238E27FC236}">
                  <a16:creationId xmlns:a16="http://schemas.microsoft.com/office/drawing/2014/main" id="{00000000-0008-0000-07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" y="1109229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22" name="AutoShape 44">
              <a:extLst>
                <a:ext uri="{FF2B5EF4-FFF2-40B4-BE49-F238E27FC236}">
                  <a16:creationId xmlns:a16="http://schemas.microsoft.com/office/drawing/2014/main" id="{00000000-0008-0000-0700-00001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" y="1110681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23" name="AutoShape 45">
              <a:extLst>
                <a:ext uri="{FF2B5EF4-FFF2-40B4-BE49-F238E27FC236}">
                  <a16:creationId xmlns:a16="http://schemas.microsoft.com/office/drawing/2014/main" id="{00000000-0008-0000-0700-00001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" y="1112085"/>
              <a:ext cx="5158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24" name="AutoShape 46">
              <a:extLst>
                <a:ext uri="{FF2B5EF4-FFF2-40B4-BE49-F238E27FC236}">
                  <a16:creationId xmlns:a16="http://schemas.microsoft.com/office/drawing/2014/main" id="{00000000-0008-0000-0700-00001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" y="1106335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</xdr:grpSp>
    </xdr:grpSp>
    <xdr:clientData/>
  </xdr:twoCellAnchor>
  <xdr:twoCellAnchor>
    <xdr:from>
      <xdr:col>1</xdr:col>
      <xdr:colOff>108</xdr:colOff>
      <xdr:row>0</xdr:row>
      <xdr:rowOff>-63807183</xdr:rowOff>
    </xdr:from>
    <xdr:to>
      <xdr:col>5</xdr:col>
      <xdr:colOff>71326</xdr:colOff>
      <xdr:row>0</xdr:row>
      <xdr:rowOff>-63776277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pSpPr>
          <a:grpSpLocks/>
        </xdr:cNvGrpSpPr>
      </xdr:nvGrpSpPr>
      <xdr:grpSpPr bwMode="auto">
        <a:xfrm>
          <a:off x="609708" y="-63807183"/>
          <a:ext cx="3585943" cy="30906"/>
          <a:chOff x="1015349" y="1082863"/>
          <a:chExt cx="38163" cy="30906"/>
        </a:xfrm>
      </xdr:grpSpPr>
      <xdr:cxnSp macro="">
        <xdr:nvCxnSpPr>
          <xdr:cNvPr id="43" name="AutoShape 21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7844" y="1108077"/>
            <a:ext cx="3647" cy="0"/>
          </a:xfrm>
          <a:prstGeom prst="straightConnector1">
            <a:avLst/>
          </a:prstGeom>
          <a:noFill/>
          <a:ln w="57150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dk1">
                      <a:lumMod val="0"/>
                      <a:lumOff val="0"/>
                    </a:schemeClr>
                  </a:outerShdw>
                </a:effectLst>
              </a14:hiddenEffects>
            </a:ext>
          </a:extLst>
        </xdr:spPr>
      </xdr:cxnSp>
      <xdr:grpSp>
        <xdr:nvGrpSpPr>
          <xdr:cNvPr id="44" name="Group 43">
            <a:extLst>
              <a:ext uri="{FF2B5EF4-FFF2-40B4-BE49-F238E27FC236}">
                <a16:creationId xmlns:a16="http://schemas.microsoft.com/office/drawing/2014/main" id="{00000000-0008-0000-0700-00002C000000}"/>
              </a:ext>
            </a:extLst>
          </xdr:cNvPr>
          <xdr:cNvGrpSpPr>
            <a:grpSpLocks/>
          </xdr:cNvGrpSpPr>
        </xdr:nvGrpSpPr>
        <xdr:grpSpPr bwMode="auto">
          <a:xfrm>
            <a:off x="1015349" y="1082863"/>
            <a:ext cx="38163" cy="27415"/>
            <a:chOff x="1015349" y="1082903"/>
            <a:chExt cx="38163" cy="27415"/>
          </a:xfrm>
        </xdr:grpSpPr>
        <xdr:cxnSp macro="">
          <xdr:nvCxnSpPr>
            <xdr:cNvPr id="52" name="AutoShape 23">
              <a:extLst>
                <a:ext uri="{FF2B5EF4-FFF2-40B4-BE49-F238E27FC236}">
                  <a16:creationId xmlns:a16="http://schemas.microsoft.com/office/drawing/2014/main" id="{00000000-0008-0000-0700-00003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34298" y="1098944"/>
              <a:ext cx="8862" cy="0"/>
            </a:xfrm>
            <a:prstGeom prst="straightConnector1">
              <a:avLst/>
            </a:prstGeom>
            <a:noFill/>
            <a:ln w="57150">
              <a:solidFill>
                <a:srgbClr val="3D87FF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cxnSp macro="">
          <xdr:nvCxnSpPr>
            <xdr:cNvPr id="53" name="AutoShape 24">
              <a:extLst>
                <a:ext uri="{FF2B5EF4-FFF2-40B4-BE49-F238E27FC236}">
                  <a16:creationId xmlns:a16="http://schemas.microsoft.com/office/drawing/2014/main" id="{00000000-0008-0000-0700-00003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593" y="1092436"/>
              <a:ext cx="0" cy="6752"/>
            </a:xfrm>
            <a:prstGeom prst="straightConnector1">
              <a:avLst/>
            </a:prstGeom>
            <a:noFill/>
            <a:ln w="57150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grpSp>
          <xdr:nvGrpSpPr>
            <xdr:cNvPr id="54" name="Group 53">
              <a:extLst>
                <a:ext uri="{FF2B5EF4-FFF2-40B4-BE49-F238E27FC236}">
                  <a16:creationId xmlns:a16="http://schemas.microsoft.com/office/drawing/2014/main" id="{00000000-0008-0000-0700-00003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9949" y="1095521"/>
              <a:ext cx="21384" cy="14797"/>
              <a:chOff x="1021736" y="1076131"/>
              <a:chExt cx="21383" cy="14797"/>
            </a:xfrm>
          </xdr:grpSpPr>
          <xdr:sp macro="" textlink="">
            <xdr:nvSpPr>
              <xdr:cNvPr id="67" name="AutoShape 26">
                <a:extLst>
                  <a:ext uri="{FF2B5EF4-FFF2-40B4-BE49-F238E27FC236}">
                    <a16:creationId xmlns:a16="http://schemas.microsoft.com/office/drawing/2014/main" id="{00000000-0008-0000-0700-000043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 rot="16200000">
                <a:off x="1025029" y="1072838"/>
                <a:ext cx="14797" cy="21383"/>
              </a:xfrm>
              <a:prstGeom prst="rightArrow">
                <a:avLst>
                  <a:gd name="adj1" fmla="val 74083"/>
                  <a:gd name="adj2" fmla="val 49324"/>
                </a:avLst>
              </a:prstGeom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sp macro="" textlink="">
            <xdr:nvSpPr>
              <xdr:cNvPr id="68" name="Rectangle 67">
                <a:extLst>
                  <a:ext uri="{FF2B5EF4-FFF2-40B4-BE49-F238E27FC236}">
                    <a16:creationId xmlns:a16="http://schemas.microsoft.com/office/drawing/2014/main" id="{00000000-0008-0000-0700-00004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30458" y="1085863"/>
                <a:ext cx="4059" cy="5065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</xdr:grpSp>
        <xdr:cxnSp macro="">
          <xdr:nvCxnSpPr>
            <xdr:cNvPr id="55" name="AutoShape 28">
              <a:extLst>
                <a:ext uri="{FF2B5EF4-FFF2-40B4-BE49-F238E27FC236}">
                  <a16:creationId xmlns:a16="http://schemas.microsoft.com/office/drawing/2014/main" id="{00000000-0008-0000-0700-00003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306" y="1085203"/>
              <a:ext cx="0" cy="3181"/>
            </a:xfrm>
            <a:prstGeom prst="straightConnector1">
              <a:avLst/>
            </a:prstGeom>
            <a:noFill/>
            <a:ln w="25400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</xdr:cxnSp>
        <xdr:grpSp>
          <xdr:nvGrpSpPr>
            <xdr:cNvPr id="56" name="Group 55">
              <a:extLst>
                <a:ext uri="{FF2B5EF4-FFF2-40B4-BE49-F238E27FC236}">
                  <a16:creationId xmlns:a16="http://schemas.microsoft.com/office/drawing/2014/main" id="{00000000-0008-0000-0700-00003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5349" y="1082903"/>
              <a:ext cx="19968" cy="2938"/>
              <a:chOff x="1079967" y="1081760"/>
              <a:chExt cx="19968" cy="2937"/>
            </a:xfrm>
          </xdr:grpSpPr>
          <xdr:sp macro="" textlink="">
            <xdr:nvSpPr>
              <xdr:cNvPr id="64" name="AutoShape 30">
                <a:extLst>
                  <a:ext uri="{FF2B5EF4-FFF2-40B4-BE49-F238E27FC236}">
                    <a16:creationId xmlns:a16="http://schemas.microsoft.com/office/drawing/2014/main" id="{00000000-0008-0000-0700-00004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" y="1081760"/>
                <a:ext cx="19968" cy="2937"/>
              </a:xfrm>
              <a:prstGeom prst="roundRect">
                <a:avLst>
                  <a:gd name="adj" fmla="val 17384"/>
                </a:avLst>
              </a:prstGeom>
              <a:solidFill>
                <a:srgbClr val="F5B183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pic>
            <xdr:nvPicPr>
              <xdr:cNvPr id="65" name="Picture 64">
                <a:extLst>
                  <a:ext uri="{FF2B5EF4-FFF2-40B4-BE49-F238E27FC236}">
                    <a16:creationId xmlns:a16="http://schemas.microsoft.com/office/drawing/2014/main" id="{00000000-0008-0000-0700-000041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3" y="1077613"/>
                <a:ext cx="1829" cy="11218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66" name="Picture 65">
                <a:extLst>
                  <a:ext uri="{FF2B5EF4-FFF2-40B4-BE49-F238E27FC236}">
                    <a16:creationId xmlns:a16="http://schemas.microsoft.com/office/drawing/2014/main" id="{00000000-0008-0000-0700-000042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7" y="1079566"/>
                <a:ext cx="1968" cy="7449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57" name="Picture 56">
              <a:extLst>
                <a:ext uri="{FF2B5EF4-FFF2-40B4-BE49-F238E27FC236}">
                  <a16:creationId xmlns:a16="http://schemas.microsoft.com/office/drawing/2014/main" id="{00000000-0008-0000-0700-00003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1979" y="1086714"/>
              <a:ext cx="6427" cy="916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  <xdr:cxnSp macro="">
          <xdr:nvCxnSpPr>
            <xdr:cNvPr id="58" name="AutoShape 34">
              <a:extLst>
                <a:ext uri="{FF2B5EF4-FFF2-40B4-BE49-F238E27FC236}">
                  <a16:creationId xmlns:a16="http://schemas.microsoft.com/office/drawing/2014/main" id="{00000000-0008-0000-0700-00003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48030" y="1098752"/>
              <a:ext cx="3180" cy="0"/>
            </a:xfrm>
            <a:prstGeom prst="straightConnector1">
              <a:avLst/>
            </a:prstGeom>
            <a:noFill/>
            <a:ln w="25400">
              <a:solidFill>
                <a:srgbClr val="00B0F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</xdr:cxnSp>
        <xdr:grpSp>
          <xdr:nvGrpSpPr>
            <xdr:cNvPr id="59" name="Group 58">
              <a:extLst>
                <a:ext uri="{FF2B5EF4-FFF2-40B4-BE49-F238E27FC236}">
                  <a16:creationId xmlns:a16="http://schemas.microsoft.com/office/drawing/2014/main" id="{00000000-0008-0000-0700-00003B000000}"/>
                </a:ext>
              </a:extLst>
            </xdr:cNvPr>
            <xdr:cNvGrpSpPr>
              <a:grpSpLocks/>
            </xdr:cNvGrpSpPr>
          </xdr:nvGrpSpPr>
          <xdr:grpSpPr bwMode="auto">
            <a:xfrm rot="5400000">
              <a:off x="1042058" y="1097310"/>
              <a:ext cx="19969" cy="2938"/>
              <a:chOff x="1079967" y="1081760"/>
              <a:chExt cx="19968" cy="2937"/>
            </a:xfrm>
          </xdr:grpSpPr>
          <xdr:sp macro="" textlink="">
            <xdr:nvSpPr>
              <xdr:cNvPr id="61" name="AutoShape 36">
                <a:extLst>
                  <a:ext uri="{FF2B5EF4-FFF2-40B4-BE49-F238E27FC236}">
                    <a16:creationId xmlns:a16="http://schemas.microsoft.com/office/drawing/2014/main" id="{00000000-0008-0000-0700-00003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" y="1081760"/>
                <a:ext cx="19968" cy="2937"/>
              </a:xfrm>
              <a:prstGeom prst="roundRect">
                <a:avLst>
                  <a:gd name="adj" fmla="val 17384"/>
                </a:avLst>
              </a:prstGeom>
              <a:solidFill>
                <a:srgbClr val="00B0F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  <xdr:txBody>
              <a:bodyPr rot="0" vert="horz" wrap="square" lIns="36576" tIns="36576" rIns="36576" bIns="36576" anchor="t" anchorCtr="0" upright="1">
                <a:noAutofit/>
              </a:bodyPr>
              <a:lstStyle/>
              <a:p>
                <a:endParaRPr lang="en-AU"/>
              </a:p>
            </xdr:txBody>
          </xdr:sp>
          <xdr:pic>
            <xdr:nvPicPr>
              <xdr:cNvPr id="62" name="Picture 61">
                <a:extLst>
                  <a:ext uri="{FF2B5EF4-FFF2-40B4-BE49-F238E27FC236}">
                    <a16:creationId xmlns:a16="http://schemas.microsoft.com/office/drawing/2014/main" id="{00000000-0008-0000-0700-00003E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3" y="1077613"/>
                <a:ext cx="1829" cy="11218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63" name="Picture 62">
                <a:extLst>
                  <a:ext uri="{FF2B5EF4-FFF2-40B4-BE49-F238E27FC236}">
                    <a16:creationId xmlns:a16="http://schemas.microsoft.com/office/drawing/2014/main" id="{00000000-0008-0000-0700-00003F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7" y="1079566"/>
                <a:ext cx="1968" cy="7449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>
                    <a:solidFill>
                      <a:schemeClr val="dk1">
                        <a:lumMod val="0"/>
                        <a:lumOff val="0"/>
                      </a:schemeClr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dk1">
                          <a:lumMod val="0"/>
                          <a:lumOff val="0"/>
                        </a:schemeClr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60" name="Picture 59">
              <a:extLst>
                <a:ext uri="{FF2B5EF4-FFF2-40B4-BE49-F238E27FC236}">
                  <a16:creationId xmlns:a16="http://schemas.microsoft.com/office/drawing/2014/main" id="{00000000-0008-0000-0700-00003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39925" y="1095579"/>
              <a:ext cx="9387" cy="62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</xdr:grpSp>
      <xdr:grpSp>
        <xdr:nvGrpSpPr>
          <xdr:cNvPr id="45" name="Group 44">
            <a:extLst>
              <a:ext uri="{FF2B5EF4-FFF2-40B4-BE49-F238E27FC236}">
                <a16:creationId xmlns:a16="http://schemas.microsoft.com/office/drawing/2014/main" id="{00000000-0008-0000-0700-00002D000000}"/>
              </a:ext>
            </a:extLst>
          </xdr:cNvPr>
          <xdr:cNvGrpSpPr>
            <a:grpSpLocks/>
          </xdr:cNvGrpSpPr>
        </xdr:nvGrpSpPr>
        <xdr:grpSpPr bwMode="auto">
          <a:xfrm>
            <a:off x="1041386" y="1105819"/>
            <a:ext cx="6133" cy="7950"/>
            <a:chOff x="1041386" y="1105819"/>
            <a:chExt cx="6132" cy="7949"/>
          </a:xfrm>
        </xdr:grpSpPr>
        <xdr:sp macro="" textlink="">
          <xdr:nvSpPr>
            <xdr:cNvPr id="46" name="AutoShape 41">
              <a:extLst>
                <a:ext uri="{FF2B5EF4-FFF2-40B4-BE49-F238E27FC236}">
                  <a16:creationId xmlns:a16="http://schemas.microsoft.com/office/drawing/2014/main" id="{00000000-0008-0000-0700-00002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" y="1105819"/>
              <a:ext cx="6132" cy="7949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47" name="AutoShape 42">
              <a:extLst>
                <a:ext uri="{FF2B5EF4-FFF2-40B4-BE49-F238E27FC236}">
                  <a16:creationId xmlns:a16="http://schemas.microsoft.com/office/drawing/2014/main" id="{00000000-0008-0000-0700-00002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" y="1107790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48" name="AutoShape 43">
              <a:extLst>
                <a:ext uri="{FF2B5EF4-FFF2-40B4-BE49-F238E27FC236}">
                  <a16:creationId xmlns:a16="http://schemas.microsoft.com/office/drawing/2014/main" id="{00000000-0008-0000-0700-00003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" y="1109229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49" name="AutoShape 44">
              <a:extLst>
                <a:ext uri="{FF2B5EF4-FFF2-40B4-BE49-F238E27FC236}">
                  <a16:creationId xmlns:a16="http://schemas.microsoft.com/office/drawing/2014/main" id="{00000000-0008-0000-07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" y="1110681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50" name="AutoShape 45">
              <a:extLst>
                <a:ext uri="{FF2B5EF4-FFF2-40B4-BE49-F238E27FC236}">
                  <a16:creationId xmlns:a16="http://schemas.microsoft.com/office/drawing/2014/main" id="{00000000-0008-0000-07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" y="1112085"/>
              <a:ext cx="5158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  <xdr:sp macro="" textlink="">
          <xdr:nvSpPr>
            <xdr:cNvPr id="51" name="AutoShape 46">
              <a:extLst>
                <a:ext uri="{FF2B5EF4-FFF2-40B4-BE49-F238E27FC236}">
                  <a16:creationId xmlns:a16="http://schemas.microsoft.com/office/drawing/2014/main" id="{00000000-0008-0000-07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" y="1106335"/>
              <a:ext cx="5157" cy="1110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chemeClr val="dk1">
                      <a:lumMod val="0"/>
                      <a:lumOff val="0"/>
                    </a:schemeClr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dk1">
                        <a:lumMod val="0"/>
                        <a:lumOff val="0"/>
                      </a:schemeClr>
                    </a:outerShdw>
                  </a:effectLst>
                </a14:hiddenEffects>
              </a:ext>
            </a:extLst>
          </xdr:spPr>
          <xdr:txBody>
            <a:bodyPr rot="0" vert="horz" wrap="square" lIns="36576" tIns="36576" rIns="36576" bIns="36576" anchor="t" anchorCtr="0" upright="1">
              <a:noAutofit/>
            </a:bodyPr>
            <a:lstStyle/>
            <a:p>
              <a:endParaRPr lang="en-AU"/>
            </a:p>
          </xdr:txBody>
        </xdr:sp>
      </xdr:grpSp>
    </xdr:grpSp>
    <xdr:clientData/>
  </xdr:twoCellAnchor>
  <xdr:twoCellAnchor>
    <xdr:from>
      <xdr:col>5</xdr:col>
      <xdr:colOff>752476</xdr:colOff>
      <xdr:row>190</xdr:row>
      <xdr:rowOff>123826</xdr:rowOff>
    </xdr:from>
    <xdr:to>
      <xdr:col>5</xdr:col>
      <xdr:colOff>2133600</xdr:colOff>
      <xdr:row>197</xdr:row>
      <xdr:rowOff>50903</xdr:rowOff>
    </xdr:to>
    <xdr:grpSp>
      <xdr:nvGrpSpPr>
        <xdr:cNvPr id="69" name="Group 2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GrpSpPr>
          <a:grpSpLocks/>
        </xdr:cNvGrpSpPr>
      </xdr:nvGrpSpPr>
      <xdr:grpSpPr bwMode="auto">
        <a:xfrm>
          <a:off x="4876801" y="36233101"/>
          <a:ext cx="1381124" cy="1260577"/>
          <a:chOff x="108111063" y="107865359"/>
          <a:chExt cx="3816206" cy="3489722"/>
        </a:xfrm>
      </xdr:grpSpPr>
      <xdr:cxnSp macro="">
        <xdr:nvCxnSpPr>
          <xdr:cNvPr id="70" name="AutoShape 29">
            <a:extLst>
              <a:ext uri="{FF2B5EF4-FFF2-40B4-BE49-F238E27FC236}">
                <a16:creationId xmlns:a16="http://schemas.microsoft.com/office/drawing/2014/main" id="{00000000-0008-0000-0700-00004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0380848" y="110786013"/>
            <a:ext cx="364787" cy="0"/>
          </a:xfrm>
          <a:prstGeom prst="straightConnector1">
            <a:avLst/>
          </a:prstGeom>
          <a:noFill/>
          <a:ln w="57150" algn="ctr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71" name="Group 30">
            <a:extLst>
              <a:ext uri="{FF2B5EF4-FFF2-40B4-BE49-F238E27FC236}">
                <a16:creationId xmlns:a16="http://schemas.microsoft.com/office/drawing/2014/main" id="{00000000-0008-0000-0700-000047000000}"/>
              </a:ext>
            </a:extLst>
          </xdr:cNvPr>
          <xdr:cNvGrpSpPr>
            <a:grpSpLocks/>
          </xdr:cNvGrpSpPr>
        </xdr:nvGrpSpPr>
        <xdr:grpSpPr bwMode="auto">
          <a:xfrm>
            <a:off x="110735118" y="110560225"/>
            <a:ext cx="613176" cy="794856"/>
            <a:chOff x="104138670" y="110581982"/>
            <a:chExt cx="613176" cy="794856"/>
          </a:xfrm>
        </xdr:grpSpPr>
        <xdr:sp macro="" textlink="">
          <xdr:nvSpPr>
            <xdr:cNvPr id="93" name="AutoShape 31">
              <a:extLst>
                <a:ext uri="{FF2B5EF4-FFF2-40B4-BE49-F238E27FC236}">
                  <a16:creationId xmlns:a16="http://schemas.microsoft.com/office/drawing/2014/main" id="{00000000-0008-0000-0700-00005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70" y="110581982"/>
              <a:ext cx="613176" cy="794856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 algn="ctr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4" name="AutoShape 32">
              <a:extLst>
                <a:ext uri="{FF2B5EF4-FFF2-40B4-BE49-F238E27FC236}">
                  <a16:creationId xmlns:a16="http://schemas.microsoft.com/office/drawing/2014/main" id="{00000000-0008-0000-0700-00005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779028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" name="AutoShape 33">
              <a:extLst>
                <a:ext uri="{FF2B5EF4-FFF2-40B4-BE49-F238E27FC236}">
                  <a16:creationId xmlns:a16="http://schemas.microsoft.com/office/drawing/2014/main" id="{00000000-0008-0000-0700-00005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51" y="110922952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6" name="AutoShape 34">
              <a:extLst>
                <a:ext uri="{FF2B5EF4-FFF2-40B4-BE49-F238E27FC236}">
                  <a16:creationId xmlns:a16="http://schemas.microsoft.com/office/drawing/2014/main" id="{00000000-0008-0000-0700-00006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67" y="111068130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7" name="AutoShape 35">
              <a:extLst>
                <a:ext uri="{FF2B5EF4-FFF2-40B4-BE49-F238E27FC236}">
                  <a16:creationId xmlns:a16="http://schemas.microsoft.com/office/drawing/2014/main" id="{00000000-0008-0000-0700-00006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96" y="11120853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8" name="AutoShape 36">
              <a:extLst>
                <a:ext uri="{FF2B5EF4-FFF2-40B4-BE49-F238E27FC236}">
                  <a16:creationId xmlns:a16="http://schemas.microsoft.com/office/drawing/2014/main" id="{00000000-0008-0000-0700-00006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63352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72" name="AutoShape 37">
            <a:extLst>
              <a:ext uri="{FF2B5EF4-FFF2-40B4-BE49-F238E27FC236}">
                <a16:creationId xmlns:a16="http://schemas.microsoft.com/office/drawing/2014/main" id="{00000000-0008-0000-0700-00004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0005982" y="109894420"/>
            <a:ext cx="886265" cy="0"/>
          </a:xfrm>
          <a:prstGeom prst="straightConnector1">
            <a:avLst/>
          </a:prstGeom>
          <a:noFill/>
          <a:ln w="57150" algn="ctr">
            <a:solidFill>
              <a:srgbClr val="3D87FF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cxnSp macro="">
        <xdr:nvCxnSpPr>
          <xdr:cNvPr id="73" name="AutoShape 38">
            <a:extLst>
              <a:ext uri="{FF2B5EF4-FFF2-40B4-BE49-F238E27FC236}">
                <a16:creationId xmlns:a16="http://schemas.microsoft.com/office/drawing/2014/main" id="{00000000-0008-0000-0700-00004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135544" y="109243615"/>
            <a:ext cx="0" cy="675248"/>
          </a:xfrm>
          <a:prstGeom prst="straightConnector1">
            <a:avLst/>
          </a:prstGeom>
          <a:noFill/>
          <a:ln w="5715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grpSp>
        <xdr:nvGrpSpPr>
          <xdr:cNvPr id="74" name="Group 39">
            <a:extLst>
              <a:ext uri="{FF2B5EF4-FFF2-40B4-BE49-F238E27FC236}">
                <a16:creationId xmlns:a16="http://schemas.microsoft.com/office/drawing/2014/main" id="{00000000-0008-0000-0700-00004A000000}"/>
              </a:ext>
            </a:extLst>
          </xdr:cNvPr>
          <xdr:cNvGrpSpPr>
            <a:grpSpLocks/>
          </xdr:cNvGrpSpPr>
        </xdr:nvGrpSpPr>
        <xdr:grpSpPr bwMode="auto">
          <a:xfrm>
            <a:off x="108571078" y="109552126"/>
            <a:ext cx="2138289" cy="1479710"/>
            <a:chOff x="102173649" y="107613179"/>
            <a:chExt cx="2138289" cy="1479710"/>
          </a:xfrm>
        </xdr:grpSpPr>
        <xdr:sp macro="" textlink="">
          <xdr:nvSpPr>
            <xdr:cNvPr id="91" name="AutoShape 40">
              <a:extLst>
                <a:ext uri="{FF2B5EF4-FFF2-40B4-BE49-F238E27FC236}">
                  <a16:creationId xmlns:a16="http://schemas.microsoft.com/office/drawing/2014/main" id="{00000000-0008-0000-0700-00005B00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02502939" y="107283889"/>
              <a:ext cx="1479710" cy="2138289"/>
            </a:xfrm>
            <a:prstGeom prst="rightArrow">
              <a:avLst>
                <a:gd name="adj1" fmla="val 74083"/>
                <a:gd name="adj2" fmla="val 49324"/>
              </a:avLst>
            </a:prstGeom>
            <a:solidFill>
              <a:srgbClr val="FFC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2" name="Rectangle 41">
              <a:extLst>
                <a:ext uri="{FF2B5EF4-FFF2-40B4-BE49-F238E27FC236}">
                  <a16:creationId xmlns:a16="http://schemas.microsoft.com/office/drawing/2014/main" id="{00000000-0008-0000-0700-00005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045846" y="108586303"/>
              <a:ext cx="405899" cy="50658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75" name="AutoShape 42">
            <a:extLst>
              <a:ext uri="{FF2B5EF4-FFF2-40B4-BE49-F238E27FC236}">
                <a16:creationId xmlns:a16="http://schemas.microsoft.com/office/drawing/2014/main" id="{00000000-0008-0000-0700-00004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106804" y="108520395"/>
            <a:ext cx="0" cy="318052"/>
          </a:xfrm>
          <a:prstGeom prst="straightConnector1">
            <a:avLst/>
          </a:prstGeom>
          <a:noFill/>
          <a:ln w="2540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76" name="Group 43">
            <a:extLst>
              <a:ext uri="{FF2B5EF4-FFF2-40B4-BE49-F238E27FC236}">
                <a16:creationId xmlns:a16="http://schemas.microsoft.com/office/drawing/2014/main" id="{00000000-0008-0000-0700-00004C000000}"/>
              </a:ext>
            </a:extLst>
          </xdr:cNvPr>
          <xdr:cNvGrpSpPr>
            <a:grpSpLocks/>
          </xdr:cNvGrpSpPr>
        </xdr:nvGrpSpPr>
        <xdr:grpSpPr bwMode="auto">
          <a:xfrm>
            <a:off x="108111063" y="108290354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88" name="AutoShape 44">
              <a:extLst>
                <a:ext uri="{FF2B5EF4-FFF2-40B4-BE49-F238E27FC236}">
                  <a16:creationId xmlns:a16="http://schemas.microsoft.com/office/drawing/2014/main" id="{00000000-0008-0000-0700-00005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F5B18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89" name="Picture 88">
              <a:extLst>
                <a:ext uri="{FF2B5EF4-FFF2-40B4-BE49-F238E27FC236}">
                  <a16:creationId xmlns:a16="http://schemas.microsoft.com/office/drawing/2014/main" id="{00000000-0008-0000-0700-00005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90" name="Picture 89">
              <a:extLst>
                <a:ext uri="{FF2B5EF4-FFF2-40B4-BE49-F238E27FC236}">
                  <a16:creationId xmlns:a16="http://schemas.microsoft.com/office/drawing/2014/main" id="{00000000-0008-0000-0700-00005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grpSp>
        <xdr:nvGrpSpPr>
          <xdr:cNvPr id="77" name="Group 47">
            <a:extLst>
              <a:ext uri="{FF2B5EF4-FFF2-40B4-BE49-F238E27FC236}">
                <a16:creationId xmlns:a16="http://schemas.microsoft.com/office/drawing/2014/main" id="{00000000-0008-0000-0700-00004D000000}"/>
              </a:ext>
            </a:extLst>
          </xdr:cNvPr>
          <xdr:cNvGrpSpPr>
            <a:grpSpLocks/>
          </xdr:cNvGrpSpPr>
        </xdr:nvGrpSpPr>
        <xdr:grpSpPr bwMode="auto">
          <a:xfrm>
            <a:off x="108111063" y="107865359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85" name="AutoShape 48">
              <a:extLst>
                <a:ext uri="{FF2B5EF4-FFF2-40B4-BE49-F238E27FC236}">
                  <a16:creationId xmlns:a16="http://schemas.microsoft.com/office/drawing/2014/main" id="{00000000-0008-0000-0700-00005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noFill/>
            <a:ln w="28575" algn="ctr">
              <a:solidFill>
                <a:srgbClr val="92D05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86" name="Picture 85">
              <a:extLst>
                <a:ext uri="{FF2B5EF4-FFF2-40B4-BE49-F238E27FC236}">
                  <a16:creationId xmlns:a16="http://schemas.microsoft.com/office/drawing/2014/main" id="{00000000-0008-0000-0700-00005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lum bright="20000" contrast="2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91240B29-F687-4F45-9708-019B960494DF}">
                <a14:hiddenLine xmlns:a14="http://schemas.microsoft.com/office/drawing/2010/main" w="28575" algn="ctr">
                  <a:solidFill>
                    <a:srgbClr val="92D05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87" name="Picture 86">
              <a:extLst>
                <a:ext uri="{FF2B5EF4-FFF2-40B4-BE49-F238E27FC236}">
                  <a16:creationId xmlns:a16="http://schemas.microsoft.com/office/drawing/2014/main" id="{00000000-0008-0000-0700-00005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lum bright="20000" contrast="2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91240B29-F687-4F45-9708-019B960494DF}">
                <a14:hiddenLine xmlns:a14="http://schemas.microsoft.com/office/drawing/2010/main" w="28575" algn="ctr">
                  <a:solidFill>
                    <a:srgbClr val="92D05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78" name="Picture 77">
            <a:extLst>
              <a:ext uri="{FF2B5EF4-FFF2-40B4-BE49-F238E27FC236}">
                <a16:creationId xmlns:a16="http://schemas.microsoft.com/office/drawing/2014/main" id="{00000000-0008-0000-0700-00004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74140" y="108671458"/>
            <a:ext cx="642637" cy="9163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  <xdr:cxnSp macro="">
        <xdr:nvCxnSpPr>
          <xdr:cNvPr id="79" name="AutoShape 52">
            <a:extLst>
              <a:ext uri="{FF2B5EF4-FFF2-40B4-BE49-F238E27FC236}">
                <a16:creationId xmlns:a16="http://schemas.microsoft.com/office/drawing/2014/main" id="{00000000-0008-0000-0700-00004F000000}"/>
              </a:ext>
            </a:extLst>
          </xdr:cNvPr>
          <xdr:cNvCxnSpPr>
            <a:cxnSpLocks noChangeShapeType="1"/>
          </xdr:cNvCxnSpPr>
        </xdr:nvCxnSpPr>
        <xdr:spPr bwMode="auto">
          <a:xfrm rot="5400000" flipV="1">
            <a:off x="111538203" y="109716279"/>
            <a:ext cx="0" cy="318052"/>
          </a:xfrm>
          <a:prstGeom prst="straightConnector1">
            <a:avLst/>
          </a:prstGeom>
          <a:noFill/>
          <a:ln w="25400" algn="ctr">
            <a:solidFill>
              <a:srgbClr val="00B0F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80" name="Group 53">
            <a:extLst>
              <a:ext uri="{FF2B5EF4-FFF2-40B4-BE49-F238E27FC236}">
                <a16:creationId xmlns:a16="http://schemas.microsoft.com/office/drawing/2014/main" id="{00000000-0008-0000-0700-000050000000}"/>
              </a:ext>
            </a:extLst>
          </xdr:cNvPr>
          <xdr:cNvGrpSpPr>
            <a:grpSpLocks/>
          </xdr:cNvGrpSpPr>
        </xdr:nvGrpSpPr>
        <xdr:grpSpPr bwMode="auto">
          <a:xfrm rot="5400000">
            <a:off x="110782050" y="109731086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82" name="AutoShape 54">
              <a:extLst>
                <a:ext uri="{FF2B5EF4-FFF2-40B4-BE49-F238E27FC236}">
                  <a16:creationId xmlns:a16="http://schemas.microsoft.com/office/drawing/2014/main" id="{00000000-0008-0000-0700-00005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00B0F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83" name="Picture 82">
              <a:extLst>
                <a:ext uri="{FF2B5EF4-FFF2-40B4-BE49-F238E27FC236}">
                  <a16:creationId xmlns:a16="http://schemas.microsoft.com/office/drawing/2014/main" id="{00000000-0008-0000-0700-000053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84" name="Picture 83">
              <a:extLst>
                <a:ext uri="{FF2B5EF4-FFF2-40B4-BE49-F238E27FC236}">
                  <a16:creationId xmlns:a16="http://schemas.microsoft.com/office/drawing/2014/main" id="{00000000-0008-0000-0700-00005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81" name="Picture 80">
            <a:extLst>
              <a:ext uri="{FF2B5EF4-FFF2-40B4-BE49-F238E27FC236}">
                <a16:creationId xmlns:a16="http://schemas.microsoft.com/office/drawing/2014/main" id="{00000000-0008-0000-0700-00005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568720" y="109557992"/>
            <a:ext cx="938716" cy="62581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5</xdr:col>
      <xdr:colOff>742329</xdr:colOff>
      <xdr:row>201</xdr:row>
      <xdr:rowOff>47626</xdr:rowOff>
    </xdr:from>
    <xdr:to>
      <xdr:col>5</xdr:col>
      <xdr:colOff>2333832</xdr:colOff>
      <xdr:row>207</xdr:row>
      <xdr:rowOff>66676</xdr:rowOff>
    </xdr:to>
    <xdr:grpSp>
      <xdr:nvGrpSpPr>
        <xdr:cNvPr id="99" name="Group 5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GrpSpPr>
          <a:grpSpLocks/>
        </xdr:cNvGrpSpPr>
      </xdr:nvGrpSpPr>
      <xdr:grpSpPr bwMode="auto">
        <a:xfrm>
          <a:off x="4866654" y="38252401"/>
          <a:ext cx="1591503" cy="1162050"/>
          <a:chOff x="108111063" y="108290354"/>
          <a:chExt cx="4206301" cy="3064727"/>
        </a:xfrm>
      </xdr:grpSpPr>
      <xdr:cxnSp macro="">
        <xdr:nvCxnSpPr>
          <xdr:cNvPr id="100" name="AutoShape 59">
            <a:extLst>
              <a:ext uri="{FF2B5EF4-FFF2-40B4-BE49-F238E27FC236}">
                <a16:creationId xmlns:a16="http://schemas.microsoft.com/office/drawing/2014/main" id="{00000000-0008-0000-0700-00006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0380848" y="110786013"/>
            <a:ext cx="364787" cy="0"/>
          </a:xfrm>
          <a:prstGeom prst="straightConnector1">
            <a:avLst/>
          </a:prstGeom>
          <a:noFill/>
          <a:ln w="57150" algn="ctr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01" name="Group 60">
            <a:extLst>
              <a:ext uri="{FF2B5EF4-FFF2-40B4-BE49-F238E27FC236}">
                <a16:creationId xmlns:a16="http://schemas.microsoft.com/office/drawing/2014/main" id="{00000000-0008-0000-0700-000065000000}"/>
              </a:ext>
            </a:extLst>
          </xdr:cNvPr>
          <xdr:cNvGrpSpPr>
            <a:grpSpLocks/>
          </xdr:cNvGrpSpPr>
        </xdr:nvGrpSpPr>
        <xdr:grpSpPr bwMode="auto">
          <a:xfrm>
            <a:off x="110735118" y="110560225"/>
            <a:ext cx="613176" cy="794856"/>
            <a:chOff x="104138670" y="110581982"/>
            <a:chExt cx="613176" cy="794856"/>
          </a:xfrm>
        </xdr:grpSpPr>
        <xdr:sp macro="" textlink="">
          <xdr:nvSpPr>
            <xdr:cNvPr id="123" name="AutoShape 61">
              <a:extLst>
                <a:ext uri="{FF2B5EF4-FFF2-40B4-BE49-F238E27FC236}">
                  <a16:creationId xmlns:a16="http://schemas.microsoft.com/office/drawing/2014/main" id="{00000000-0008-0000-0700-00007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70" y="110581982"/>
              <a:ext cx="613176" cy="794856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 algn="ctr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4" name="AutoShape 62">
              <a:extLst>
                <a:ext uri="{FF2B5EF4-FFF2-40B4-BE49-F238E27FC236}">
                  <a16:creationId xmlns:a16="http://schemas.microsoft.com/office/drawing/2014/main" id="{00000000-0008-0000-0700-00007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779028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5" name="AutoShape 63">
              <a:extLst>
                <a:ext uri="{FF2B5EF4-FFF2-40B4-BE49-F238E27FC236}">
                  <a16:creationId xmlns:a16="http://schemas.microsoft.com/office/drawing/2014/main" id="{00000000-0008-0000-0700-00007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51" y="110922952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6" name="AutoShape 64">
              <a:extLst>
                <a:ext uri="{FF2B5EF4-FFF2-40B4-BE49-F238E27FC236}">
                  <a16:creationId xmlns:a16="http://schemas.microsoft.com/office/drawing/2014/main" id="{00000000-0008-0000-0700-00007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67" y="111068130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7" name="AutoShape 65">
              <a:extLst>
                <a:ext uri="{FF2B5EF4-FFF2-40B4-BE49-F238E27FC236}">
                  <a16:creationId xmlns:a16="http://schemas.microsoft.com/office/drawing/2014/main" id="{00000000-0008-0000-0700-00007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96" y="11120853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8" name="AutoShape 66">
              <a:extLst>
                <a:ext uri="{FF2B5EF4-FFF2-40B4-BE49-F238E27FC236}">
                  <a16:creationId xmlns:a16="http://schemas.microsoft.com/office/drawing/2014/main" id="{00000000-0008-0000-07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63352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102" name="AutoShape 67">
            <a:extLst>
              <a:ext uri="{FF2B5EF4-FFF2-40B4-BE49-F238E27FC236}">
                <a16:creationId xmlns:a16="http://schemas.microsoft.com/office/drawing/2014/main" id="{00000000-0008-0000-0700-00006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0005982" y="109894420"/>
            <a:ext cx="886265" cy="0"/>
          </a:xfrm>
          <a:prstGeom prst="straightConnector1">
            <a:avLst/>
          </a:prstGeom>
          <a:noFill/>
          <a:ln w="57150" algn="ctr">
            <a:solidFill>
              <a:srgbClr val="3D87FF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cxnSp macro="">
        <xdr:nvCxnSpPr>
          <xdr:cNvPr id="103" name="AutoShape 68">
            <a:extLst>
              <a:ext uri="{FF2B5EF4-FFF2-40B4-BE49-F238E27FC236}">
                <a16:creationId xmlns:a16="http://schemas.microsoft.com/office/drawing/2014/main" id="{00000000-0008-0000-0700-00006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135544" y="109243615"/>
            <a:ext cx="0" cy="675248"/>
          </a:xfrm>
          <a:prstGeom prst="straightConnector1">
            <a:avLst/>
          </a:prstGeom>
          <a:noFill/>
          <a:ln w="5715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grpSp>
        <xdr:nvGrpSpPr>
          <xdr:cNvPr id="104" name="Group 69">
            <a:extLst>
              <a:ext uri="{FF2B5EF4-FFF2-40B4-BE49-F238E27FC236}">
                <a16:creationId xmlns:a16="http://schemas.microsoft.com/office/drawing/2014/main" id="{00000000-0008-0000-0700-000068000000}"/>
              </a:ext>
            </a:extLst>
          </xdr:cNvPr>
          <xdr:cNvGrpSpPr>
            <a:grpSpLocks/>
          </xdr:cNvGrpSpPr>
        </xdr:nvGrpSpPr>
        <xdr:grpSpPr bwMode="auto">
          <a:xfrm>
            <a:off x="108571078" y="109552126"/>
            <a:ext cx="2138289" cy="1479710"/>
            <a:chOff x="102173649" y="107613179"/>
            <a:chExt cx="2138289" cy="1479710"/>
          </a:xfrm>
        </xdr:grpSpPr>
        <xdr:sp macro="" textlink="">
          <xdr:nvSpPr>
            <xdr:cNvPr id="121" name="AutoShape 70">
              <a:extLst>
                <a:ext uri="{FF2B5EF4-FFF2-40B4-BE49-F238E27FC236}">
                  <a16:creationId xmlns:a16="http://schemas.microsoft.com/office/drawing/2014/main" id="{00000000-0008-0000-0700-00007900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02502939" y="107283889"/>
              <a:ext cx="1479710" cy="2138289"/>
            </a:xfrm>
            <a:prstGeom prst="rightArrow">
              <a:avLst>
                <a:gd name="adj1" fmla="val 74083"/>
                <a:gd name="adj2" fmla="val 49324"/>
              </a:avLst>
            </a:prstGeom>
            <a:solidFill>
              <a:srgbClr val="FFC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2" name="Rectangle 71">
              <a:extLst>
                <a:ext uri="{FF2B5EF4-FFF2-40B4-BE49-F238E27FC236}">
                  <a16:creationId xmlns:a16="http://schemas.microsoft.com/office/drawing/2014/main" id="{00000000-0008-0000-0700-00007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045846" y="108586303"/>
              <a:ext cx="405899" cy="50658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105" name="AutoShape 72">
            <a:extLst>
              <a:ext uri="{FF2B5EF4-FFF2-40B4-BE49-F238E27FC236}">
                <a16:creationId xmlns:a16="http://schemas.microsoft.com/office/drawing/2014/main" id="{00000000-0008-0000-0700-00006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9106804" y="108520395"/>
            <a:ext cx="0" cy="318052"/>
          </a:xfrm>
          <a:prstGeom prst="straightConnector1">
            <a:avLst/>
          </a:prstGeom>
          <a:noFill/>
          <a:ln w="2540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06" name="Group 73">
            <a:extLst>
              <a:ext uri="{FF2B5EF4-FFF2-40B4-BE49-F238E27FC236}">
                <a16:creationId xmlns:a16="http://schemas.microsoft.com/office/drawing/2014/main" id="{00000000-0008-0000-0700-00006A000000}"/>
              </a:ext>
            </a:extLst>
          </xdr:cNvPr>
          <xdr:cNvGrpSpPr>
            <a:grpSpLocks/>
          </xdr:cNvGrpSpPr>
        </xdr:nvGrpSpPr>
        <xdr:grpSpPr bwMode="auto">
          <a:xfrm>
            <a:off x="108111063" y="108290354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118" name="AutoShape 74">
              <a:extLst>
                <a:ext uri="{FF2B5EF4-FFF2-40B4-BE49-F238E27FC236}">
                  <a16:creationId xmlns:a16="http://schemas.microsoft.com/office/drawing/2014/main" id="{00000000-0008-0000-0700-00007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F5B18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119" name="Picture 118">
              <a:extLst>
                <a:ext uri="{FF2B5EF4-FFF2-40B4-BE49-F238E27FC236}">
                  <a16:creationId xmlns:a16="http://schemas.microsoft.com/office/drawing/2014/main" id="{00000000-0008-0000-0700-00007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120" name="Picture 119">
              <a:extLst>
                <a:ext uri="{FF2B5EF4-FFF2-40B4-BE49-F238E27FC236}">
                  <a16:creationId xmlns:a16="http://schemas.microsoft.com/office/drawing/2014/main" id="{00000000-0008-0000-0700-000078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107" name="Picture 106">
            <a:extLst>
              <a:ext uri="{FF2B5EF4-FFF2-40B4-BE49-F238E27FC236}">
                <a16:creationId xmlns:a16="http://schemas.microsoft.com/office/drawing/2014/main" id="{00000000-0008-0000-07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74140" y="108671458"/>
            <a:ext cx="642637" cy="9163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  <xdr:cxnSp macro="">
        <xdr:nvCxnSpPr>
          <xdr:cNvPr id="108" name="AutoShape 78">
            <a:extLst>
              <a:ext uri="{FF2B5EF4-FFF2-40B4-BE49-F238E27FC236}">
                <a16:creationId xmlns:a16="http://schemas.microsoft.com/office/drawing/2014/main" id="{00000000-0008-0000-0700-00006C000000}"/>
              </a:ext>
            </a:extLst>
          </xdr:cNvPr>
          <xdr:cNvCxnSpPr>
            <a:cxnSpLocks noChangeShapeType="1"/>
          </xdr:cNvCxnSpPr>
        </xdr:nvCxnSpPr>
        <xdr:spPr bwMode="auto">
          <a:xfrm rot="5400000" flipV="1">
            <a:off x="111538203" y="109716279"/>
            <a:ext cx="0" cy="318052"/>
          </a:xfrm>
          <a:prstGeom prst="straightConnector1">
            <a:avLst/>
          </a:prstGeom>
          <a:noFill/>
          <a:ln w="25400" algn="ctr">
            <a:solidFill>
              <a:srgbClr val="00B0F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09" name="Group 79">
            <a:extLst>
              <a:ext uri="{FF2B5EF4-FFF2-40B4-BE49-F238E27FC236}">
                <a16:creationId xmlns:a16="http://schemas.microsoft.com/office/drawing/2014/main" id="{00000000-0008-0000-0700-00006D000000}"/>
              </a:ext>
            </a:extLst>
          </xdr:cNvPr>
          <xdr:cNvGrpSpPr>
            <a:grpSpLocks/>
          </xdr:cNvGrpSpPr>
        </xdr:nvGrpSpPr>
        <xdr:grpSpPr bwMode="auto">
          <a:xfrm rot="5400000">
            <a:off x="110782050" y="109731086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115" name="AutoShape 80">
              <a:extLst>
                <a:ext uri="{FF2B5EF4-FFF2-40B4-BE49-F238E27FC236}">
                  <a16:creationId xmlns:a16="http://schemas.microsoft.com/office/drawing/2014/main" id="{00000000-0008-0000-0700-00007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00B0F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116" name="Picture 115">
              <a:extLst>
                <a:ext uri="{FF2B5EF4-FFF2-40B4-BE49-F238E27FC236}">
                  <a16:creationId xmlns:a16="http://schemas.microsoft.com/office/drawing/2014/main" id="{00000000-0008-0000-0700-00007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117" name="Picture 116">
              <a:extLst>
                <a:ext uri="{FF2B5EF4-FFF2-40B4-BE49-F238E27FC236}">
                  <a16:creationId xmlns:a16="http://schemas.microsoft.com/office/drawing/2014/main" id="{00000000-0008-0000-0700-00007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grpSp>
        <xdr:nvGrpSpPr>
          <xdr:cNvPr id="110" name="Group 83">
            <a:extLst>
              <a:ext uri="{FF2B5EF4-FFF2-40B4-BE49-F238E27FC236}">
                <a16:creationId xmlns:a16="http://schemas.microsoft.com/office/drawing/2014/main" id="{00000000-0008-0000-0700-00006E000000}"/>
              </a:ext>
            </a:extLst>
          </xdr:cNvPr>
          <xdr:cNvGrpSpPr>
            <a:grpSpLocks/>
          </xdr:cNvGrpSpPr>
        </xdr:nvGrpSpPr>
        <xdr:grpSpPr bwMode="auto">
          <a:xfrm rot="5400000">
            <a:off x="111172145" y="109731086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112" name="AutoShape 84">
              <a:extLst>
                <a:ext uri="{FF2B5EF4-FFF2-40B4-BE49-F238E27FC236}">
                  <a16:creationId xmlns:a16="http://schemas.microsoft.com/office/drawing/2014/main" id="{00000000-0008-0000-0700-00007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noFill/>
            <a:ln w="28575" algn="ctr">
              <a:solidFill>
                <a:srgbClr val="92D05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113" name="Picture 112">
              <a:extLst>
                <a:ext uri="{FF2B5EF4-FFF2-40B4-BE49-F238E27FC236}">
                  <a16:creationId xmlns:a16="http://schemas.microsoft.com/office/drawing/2014/main" id="{00000000-0008-0000-0700-000071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lum bright="20000" contrast="2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91240B29-F687-4F45-9708-019B960494DF}">
                <a14:hiddenLine xmlns:a14="http://schemas.microsoft.com/office/drawing/2010/main" w="28575" algn="ctr">
                  <a:solidFill>
                    <a:srgbClr val="92D05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114" name="Picture 113">
              <a:extLst>
                <a:ext uri="{FF2B5EF4-FFF2-40B4-BE49-F238E27FC236}">
                  <a16:creationId xmlns:a16="http://schemas.microsoft.com/office/drawing/2014/main" id="{00000000-0008-0000-0700-000072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lum bright="20000" contrast="20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92D050"/>
                  </a:solidFill>
                </a14:hiddenFill>
              </a:ext>
              <a:ext uri="{91240B29-F687-4F45-9708-019B960494DF}">
                <a14:hiddenLine xmlns:a14="http://schemas.microsoft.com/office/drawing/2010/main" w="28575" algn="ctr">
                  <a:solidFill>
                    <a:srgbClr val="92D05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111" name="Picture 110">
            <a:extLst>
              <a:ext uri="{FF2B5EF4-FFF2-40B4-BE49-F238E27FC236}">
                <a16:creationId xmlns:a16="http://schemas.microsoft.com/office/drawing/2014/main" id="{00000000-0008-0000-07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568720" y="109557992"/>
            <a:ext cx="938716" cy="62581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5</xdr:col>
      <xdr:colOff>85724</xdr:colOff>
      <xdr:row>91</xdr:row>
      <xdr:rowOff>123825</xdr:rowOff>
    </xdr:from>
    <xdr:to>
      <xdr:col>5</xdr:col>
      <xdr:colOff>2026001</xdr:colOff>
      <xdr:row>99</xdr:row>
      <xdr:rowOff>171450</xdr:rowOff>
    </xdr:to>
    <xdr:grpSp>
      <xdr:nvGrpSpPr>
        <xdr:cNvPr id="129" name="Group 12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GrpSpPr>
          <a:grpSpLocks/>
        </xdr:cNvGrpSpPr>
      </xdr:nvGrpSpPr>
      <xdr:grpSpPr bwMode="auto">
        <a:xfrm>
          <a:off x="4210049" y="17554575"/>
          <a:ext cx="1940277" cy="1571625"/>
          <a:chOff x="101534913" y="108290354"/>
          <a:chExt cx="3816206" cy="3086484"/>
        </a:xfrm>
      </xdr:grpSpPr>
      <xdr:cxnSp macro="">
        <xdr:nvCxnSpPr>
          <xdr:cNvPr id="130" name="AutoShape 2">
            <a:extLst>
              <a:ext uri="{FF2B5EF4-FFF2-40B4-BE49-F238E27FC236}">
                <a16:creationId xmlns:a16="http://schemas.microsoft.com/office/drawing/2014/main" id="{00000000-0008-0000-0700-00008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784400" y="110807770"/>
            <a:ext cx="364787" cy="0"/>
          </a:xfrm>
          <a:prstGeom prst="straightConnector1">
            <a:avLst/>
          </a:prstGeom>
          <a:noFill/>
          <a:ln w="57150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31" name="Group 3">
            <a:extLst>
              <a:ext uri="{FF2B5EF4-FFF2-40B4-BE49-F238E27FC236}">
                <a16:creationId xmlns:a16="http://schemas.microsoft.com/office/drawing/2014/main" id="{00000000-0008-0000-0700-000083000000}"/>
              </a:ext>
            </a:extLst>
          </xdr:cNvPr>
          <xdr:cNvGrpSpPr>
            <a:grpSpLocks/>
          </xdr:cNvGrpSpPr>
        </xdr:nvGrpSpPr>
        <xdr:grpSpPr bwMode="auto">
          <a:xfrm>
            <a:off x="101534913" y="108290354"/>
            <a:ext cx="3816206" cy="2741482"/>
            <a:chOff x="101534913" y="108290354"/>
            <a:chExt cx="3816206" cy="2741482"/>
          </a:xfrm>
        </xdr:grpSpPr>
        <xdr:cxnSp macro="">
          <xdr:nvCxnSpPr>
            <xdr:cNvPr id="139" name="AutoShape 4">
              <a:extLst>
                <a:ext uri="{FF2B5EF4-FFF2-40B4-BE49-F238E27FC236}">
                  <a16:creationId xmlns:a16="http://schemas.microsoft.com/office/drawing/2014/main" id="{00000000-0008-0000-0700-00008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3429832" y="109894420"/>
              <a:ext cx="886265" cy="0"/>
            </a:xfrm>
            <a:prstGeom prst="straightConnector1">
              <a:avLst/>
            </a:prstGeom>
            <a:noFill/>
            <a:ln w="57150" algn="ctr">
              <a:solidFill>
                <a:srgbClr val="3D87FF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cxnSp macro="">
          <xdr:nvCxnSpPr>
            <xdr:cNvPr id="140" name="AutoShape 5">
              <a:extLst>
                <a:ext uri="{FF2B5EF4-FFF2-40B4-BE49-F238E27FC236}">
                  <a16:creationId xmlns:a16="http://schemas.microsoft.com/office/drawing/2014/main" id="{00000000-0008-0000-0700-00008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59394" y="109243615"/>
              <a:ext cx="0" cy="675248"/>
            </a:xfrm>
            <a:prstGeom prst="straightConnector1">
              <a:avLst/>
            </a:prstGeom>
            <a:noFill/>
            <a:ln w="57150" algn="ctr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cxnSp>
        <xdr:grpSp>
          <xdr:nvGrpSpPr>
            <xdr:cNvPr id="141" name="Group 6">
              <a:extLst>
                <a:ext uri="{FF2B5EF4-FFF2-40B4-BE49-F238E27FC236}">
                  <a16:creationId xmlns:a16="http://schemas.microsoft.com/office/drawing/2014/main" id="{00000000-0008-0000-0700-00008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994928" y="109552126"/>
              <a:ext cx="2138289" cy="1479710"/>
              <a:chOff x="102173649" y="107613179"/>
              <a:chExt cx="2138289" cy="1479710"/>
            </a:xfrm>
          </xdr:grpSpPr>
          <xdr:sp macro="" textlink="">
            <xdr:nvSpPr>
              <xdr:cNvPr id="154" name="AutoShape 7">
                <a:extLst>
                  <a:ext uri="{FF2B5EF4-FFF2-40B4-BE49-F238E27FC236}">
                    <a16:creationId xmlns:a16="http://schemas.microsoft.com/office/drawing/2014/main" id="{00000000-0008-0000-0700-00009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 rot="16200000">
                <a:off x="102502939" y="107283889"/>
                <a:ext cx="1479710" cy="2138289"/>
              </a:xfrm>
              <a:prstGeom prst="rightArrow">
                <a:avLst>
                  <a:gd name="adj1" fmla="val 74083"/>
                  <a:gd name="adj2" fmla="val 49324"/>
                </a:avLst>
              </a:prstGeom>
              <a:solidFill>
                <a:srgbClr val="FFC00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155" name="Rectangle 8">
                <a:extLst>
                  <a:ext uri="{FF2B5EF4-FFF2-40B4-BE49-F238E27FC236}">
                    <a16:creationId xmlns:a16="http://schemas.microsoft.com/office/drawing/2014/main" id="{00000000-0008-0000-0700-00009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3045846" y="108586303"/>
                <a:ext cx="405899" cy="506586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FFC000"/>
                      </a:outerShdw>
                    </a:effectLst>
                  </a14:hiddenEffects>
                </a:ext>
              </a:extLst>
            </xdr:spPr>
          </xdr:sp>
        </xdr:grpSp>
        <xdr:cxnSp macro="">
          <xdr:nvCxnSpPr>
            <xdr:cNvPr id="142" name="AutoShape 9">
              <a:extLst>
                <a:ext uri="{FF2B5EF4-FFF2-40B4-BE49-F238E27FC236}">
                  <a16:creationId xmlns:a16="http://schemas.microsoft.com/office/drawing/2014/main" id="{00000000-0008-0000-0700-00008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2530654" y="108520395"/>
              <a:ext cx="0" cy="318052"/>
            </a:xfrm>
            <a:prstGeom prst="straightConnector1">
              <a:avLst/>
            </a:prstGeom>
            <a:noFill/>
            <a:ln w="25400" algn="ctr">
              <a:solidFill>
                <a:srgbClr val="B35E25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cxnSp>
        <xdr:grpSp>
          <xdr:nvGrpSpPr>
            <xdr:cNvPr id="143" name="Group 10">
              <a:extLst>
                <a:ext uri="{FF2B5EF4-FFF2-40B4-BE49-F238E27FC236}">
                  <a16:creationId xmlns:a16="http://schemas.microsoft.com/office/drawing/2014/main" id="{00000000-0008-0000-0700-00008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1534913" y="108290354"/>
              <a:ext cx="1996741" cy="293697"/>
              <a:chOff x="107996763" y="108176054"/>
              <a:chExt cx="1996741" cy="293697"/>
            </a:xfrm>
          </xdr:grpSpPr>
          <xdr:sp macro="" textlink="">
            <xdr:nvSpPr>
              <xdr:cNvPr id="151" name="AutoShape 11">
                <a:extLst>
                  <a:ext uri="{FF2B5EF4-FFF2-40B4-BE49-F238E27FC236}">
                    <a16:creationId xmlns:a16="http://schemas.microsoft.com/office/drawing/2014/main" id="{00000000-0008-0000-0700-00009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63" y="108176054"/>
                <a:ext cx="1996741" cy="293697"/>
              </a:xfrm>
              <a:prstGeom prst="roundRect">
                <a:avLst>
                  <a:gd name="adj" fmla="val 17384"/>
                </a:avLst>
              </a:prstGeom>
              <a:solidFill>
                <a:srgbClr val="F5B183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sp>
          <xdr:pic>
            <xdr:nvPicPr>
              <xdr:cNvPr id="152" name="Picture 151">
                <a:extLst>
                  <a:ext uri="{FF2B5EF4-FFF2-40B4-BE49-F238E27FC236}">
                    <a16:creationId xmlns:a16="http://schemas.microsoft.com/office/drawing/2014/main" id="{00000000-0008-0000-0700-000098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400" y="107761307"/>
                <a:ext cx="182896" cy="112176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153" name="Picture 152">
                <a:extLst>
                  <a:ext uri="{FF2B5EF4-FFF2-40B4-BE49-F238E27FC236}">
                    <a16:creationId xmlns:a16="http://schemas.microsoft.com/office/drawing/2014/main" id="{00000000-0008-0000-0700-000099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9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676" y="107956752"/>
                <a:ext cx="196856" cy="744832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144" name="Picture 143">
              <a:extLst>
                <a:ext uri="{FF2B5EF4-FFF2-40B4-BE49-F238E27FC236}">
                  <a16:creationId xmlns:a16="http://schemas.microsoft.com/office/drawing/2014/main" id="{00000000-0008-0000-0700-00009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197990" y="108671458"/>
              <a:ext cx="642637" cy="91635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  <xdr:cxnSp macro="">
          <xdr:nvCxnSpPr>
            <xdr:cNvPr id="145" name="AutoShape 15">
              <a:extLst>
                <a:ext uri="{FF2B5EF4-FFF2-40B4-BE49-F238E27FC236}">
                  <a16:creationId xmlns:a16="http://schemas.microsoft.com/office/drawing/2014/main" id="{00000000-0008-0000-0700-00009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rot="5400000" flipV="1">
              <a:off x="104962053" y="109716279"/>
              <a:ext cx="0" cy="318052"/>
            </a:xfrm>
            <a:prstGeom prst="straightConnector1">
              <a:avLst/>
            </a:prstGeom>
            <a:noFill/>
            <a:ln w="25400" algn="ctr">
              <a:solidFill>
                <a:srgbClr val="00B0F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cxnSp>
        <xdr:grpSp>
          <xdr:nvGrpSpPr>
            <xdr:cNvPr id="146" name="Group 16">
              <a:extLst>
                <a:ext uri="{FF2B5EF4-FFF2-40B4-BE49-F238E27FC236}">
                  <a16:creationId xmlns:a16="http://schemas.microsoft.com/office/drawing/2014/main" id="{00000000-0008-0000-0700-000092000000}"/>
                </a:ext>
              </a:extLst>
            </xdr:cNvPr>
            <xdr:cNvGrpSpPr>
              <a:grpSpLocks/>
            </xdr:cNvGrpSpPr>
          </xdr:nvGrpSpPr>
          <xdr:grpSpPr bwMode="auto">
            <a:xfrm rot="5400000">
              <a:off x="104205900" y="109731086"/>
              <a:ext cx="1996741" cy="293697"/>
              <a:chOff x="107996763" y="108176054"/>
              <a:chExt cx="1996741" cy="293697"/>
            </a:xfrm>
          </xdr:grpSpPr>
          <xdr:sp macro="" textlink="">
            <xdr:nvSpPr>
              <xdr:cNvPr id="148" name="AutoShape 17">
                <a:extLst>
                  <a:ext uri="{FF2B5EF4-FFF2-40B4-BE49-F238E27FC236}">
                    <a16:creationId xmlns:a16="http://schemas.microsoft.com/office/drawing/2014/main" id="{00000000-0008-0000-0700-00009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996763" y="108176054"/>
                <a:ext cx="1996741" cy="293697"/>
              </a:xfrm>
              <a:prstGeom prst="roundRect">
                <a:avLst>
                  <a:gd name="adj" fmla="val 17384"/>
                </a:avLst>
              </a:prstGeom>
              <a:solidFill>
                <a:srgbClr val="00B0F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sp>
          <xdr:pic>
            <xdr:nvPicPr>
              <xdr:cNvPr id="149" name="Picture 148">
                <a:extLst>
                  <a:ext uri="{FF2B5EF4-FFF2-40B4-BE49-F238E27FC236}">
                    <a16:creationId xmlns:a16="http://schemas.microsoft.com/office/drawing/2014/main" id="{00000000-0008-0000-0700-000095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 rot="5400000">
                <a:off x="108531400" y="107761307"/>
                <a:ext cx="182896" cy="112176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pic>
          <xdr:pic>
            <xdr:nvPicPr>
              <xdr:cNvPr id="150" name="Picture 149">
                <a:extLst>
                  <a:ext uri="{FF2B5EF4-FFF2-40B4-BE49-F238E27FC236}">
                    <a16:creationId xmlns:a16="http://schemas.microsoft.com/office/drawing/2014/main" id="{00000000-0008-0000-0700-000096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t="33601" r="-7632"/>
              <a:stretch>
                <a:fillRect/>
              </a:stretch>
            </xdr:blipFill>
            <xdr:spPr bwMode="auto">
              <a:xfrm rot="5400000">
                <a:off x="109471676" y="107956752"/>
                <a:ext cx="196856" cy="744832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</xdr:pic>
        </xdr:grpSp>
        <xdr:pic>
          <xdr:nvPicPr>
            <xdr:cNvPr id="147" name="Picture 146">
              <a:extLst>
                <a:ext uri="{FF2B5EF4-FFF2-40B4-BE49-F238E27FC236}">
                  <a16:creationId xmlns:a16="http://schemas.microsoft.com/office/drawing/2014/main" id="{00000000-0008-0000-0700-000093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3992570" y="109557992"/>
              <a:ext cx="938716" cy="62581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pic>
      </xdr:grpSp>
      <xdr:grpSp>
        <xdr:nvGrpSpPr>
          <xdr:cNvPr id="132" name="Group 21">
            <a:extLst>
              <a:ext uri="{FF2B5EF4-FFF2-40B4-BE49-F238E27FC236}">
                <a16:creationId xmlns:a16="http://schemas.microsoft.com/office/drawing/2014/main" id="{00000000-0008-0000-0700-000084000000}"/>
              </a:ext>
            </a:extLst>
          </xdr:cNvPr>
          <xdr:cNvGrpSpPr>
            <a:grpSpLocks/>
          </xdr:cNvGrpSpPr>
        </xdr:nvGrpSpPr>
        <xdr:grpSpPr bwMode="auto">
          <a:xfrm>
            <a:off x="104138670" y="110581982"/>
            <a:ext cx="613176" cy="794856"/>
            <a:chOff x="104138670" y="110581982"/>
            <a:chExt cx="613176" cy="794856"/>
          </a:xfrm>
        </xdr:grpSpPr>
        <xdr:sp macro="" textlink="">
          <xdr:nvSpPr>
            <xdr:cNvPr id="133" name="AutoShape 22">
              <a:extLst>
                <a:ext uri="{FF2B5EF4-FFF2-40B4-BE49-F238E27FC236}">
                  <a16:creationId xmlns:a16="http://schemas.microsoft.com/office/drawing/2014/main" id="{00000000-0008-0000-07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70" y="110581982"/>
              <a:ext cx="613176" cy="794856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 algn="ctr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4" name="AutoShape 23">
              <a:extLst>
                <a:ext uri="{FF2B5EF4-FFF2-40B4-BE49-F238E27FC236}">
                  <a16:creationId xmlns:a16="http://schemas.microsoft.com/office/drawing/2014/main" id="{00000000-0008-0000-0700-00008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779028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5" name="AutoShape 24">
              <a:extLst>
                <a:ext uri="{FF2B5EF4-FFF2-40B4-BE49-F238E27FC236}">
                  <a16:creationId xmlns:a16="http://schemas.microsoft.com/office/drawing/2014/main" id="{00000000-0008-0000-07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51" y="110922952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6" name="AutoShape 25">
              <a:extLst>
                <a:ext uri="{FF2B5EF4-FFF2-40B4-BE49-F238E27FC236}">
                  <a16:creationId xmlns:a16="http://schemas.microsoft.com/office/drawing/2014/main" id="{00000000-0008-0000-0700-00008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67" y="111068130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7" name="AutoShape 26">
              <a:extLst>
                <a:ext uri="{FF2B5EF4-FFF2-40B4-BE49-F238E27FC236}">
                  <a16:creationId xmlns:a16="http://schemas.microsoft.com/office/drawing/2014/main" id="{00000000-0008-0000-0700-00008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96" y="11120853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38" name="AutoShape 27">
              <a:extLst>
                <a:ext uri="{FF2B5EF4-FFF2-40B4-BE49-F238E27FC236}">
                  <a16:creationId xmlns:a16="http://schemas.microsoft.com/office/drawing/2014/main" id="{00000000-0008-0000-0700-00008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63352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5</xdr:col>
      <xdr:colOff>838201</xdr:colOff>
      <xdr:row>208</xdr:row>
      <xdr:rowOff>38101</xdr:rowOff>
    </xdr:from>
    <xdr:to>
      <xdr:col>5</xdr:col>
      <xdr:colOff>2219325</xdr:colOff>
      <xdr:row>215</xdr:row>
      <xdr:rowOff>175274</xdr:rowOff>
    </xdr:to>
    <xdr:grpSp>
      <xdr:nvGrpSpPr>
        <xdr:cNvPr id="156" name="Group 123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GrpSpPr>
          <a:grpSpLocks/>
        </xdr:cNvGrpSpPr>
      </xdr:nvGrpSpPr>
      <xdr:grpSpPr bwMode="auto">
        <a:xfrm>
          <a:off x="4962526" y="39576376"/>
          <a:ext cx="1381124" cy="1470673"/>
          <a:chOff x="111883068" y="114700679"/>
          <a:chExt cx="3816206" cy="4068023"/>
        </a:xfrm>
      </xdr:grpSpPr>
      <xdr:cxnSp macro="">
        <xdr:nvCxnSpPr>
          <xdr:cNvPr id="157" name="AutoShape 124">
            <a:extLst>
              <a:ext uri="{FF2B5EF4-FFF2-40B4-BE49-F238E27FC236}">
                <a16:creationId xmlns:a16="http://schemas.microsoft.com/office/drawing/2014/main" id="{00000000-0008-0000-0700-00009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4152853" y="117196338"/>
            <a:ext cx="364787" cy="0"/>
          </a:xfrm>
          <a:prstGeom prst="straightConnector1">
            <a:avLst/>
          </a:prstGeom>
          <a:noFill/>
          <a:ln w="57150" algn="ctr">
            <a:solidFill>
              <a:srgbClr val="4D1933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58" name="Group 125">
            <a:extLst>
              <a:ext uri="{FF2B5EF4-FFF2-40B4-BE49-F238E27FC236}">
                <a16:creationId xmlns:a16="http://schemas.microsoft.com/office/drawing/2014/main" id="{00000000-0008-0000-0700-00009E000000}"/>
              </a:ext>
            </a:extLst>
          </xdr:cNvPr>
          <xdr:cNvGrpSpPr>
            <a:grpSpLocks/>
          </xdr:cNvGrpSpPr>
        </xdr:nvGrpSpPr>
        <xdr:grpSpPr bwMode="auto">
          <a:xfrm>
            <a:off x="114507123" y="116970550"/>
            <a:ext cx="613176" cy="794856"/>
            <a:chOff x="104138670" y="110581982"/>
            <a:chExt cx="613176" cy="794856"/>
          </a:xfrm>
        </xdr:grpSpPr>
        <xdr:sp macro="" textlink="">
          <xdr:nvSpPr>
            <xdr:cNvPr id="181" name="AutoShape 126">
              <a:extLst>
                <a:ext uri="{FF2B5EF4-FFF2-40B4-BE49-F238E27FC236}">
                  <a16:creationId xmlns:a16="http://schemas.microsoft.com/office/drawing/2014/main" id="{00000000-0008-0000-0700-0000B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38670" y="110581982"/>
              <a:ext cx="613176" cy="794856"/>
            </a:xfrm>
            <a:prstGeom prst="roundRect">
              <a:avLst>
                <a:gd name="adj" fmla="val 10194"/>
              </a:avLst>
            </a:prstGeom>
            <a:solidFill>
              <a:srgbClr val="FFFFFF"/>
            </a:solidFill>
            <a:ln w="38100" algn="ctr">
              <a:solidFill>
                <a:srgbClr val="73264D"/>
              </a:solidFill>
              <a:round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2" name="AutoShape 127">
              <a:extLst>
                <a:ext uri="{FF2B5EF4-FFF2-40B4-BE49-F238E27FC236}">
                  <a16:creationId xmlns:a16="http://schemas.microsoft.com/office/drawing/2014/main" id="{00000000-0008-0000-0700-0000B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779028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3" name="AutoShape 128">
              <a:extLst>
                <a:ext uri="{FF2B5EF4-FFF2-40B4-BE49-F238E27FC236}">
                  <a16:creationId xmlns:a16="http://schemas.microsoft.com/office/drawing/2014/main" id="{00000000-0008-0000-0700-0000B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4051" y="110922952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" name="AutoShape 129">
              <a:extLst>
                <a:ext uri="{FF2B5EF4-FFF2-40B4-BE49-F238E27FC236}">
                  <a16:creationId xmlns:a16="http://schemas.microsoft.com/office/drawing/2014/main" id="{00000000-0008-0000-0700-0000B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467" y="111068130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5" name="AutoShape 130">
              <a:extLst>
                <a:ext uri="{FF2B5EF4-FFF2-40B4-BE49-F238E27FC236}">
                  <a16:creationId xmlns:a16="http://schemas.microsoft.com/office/drawing/2014/main" id="{00000000-0008-0000-0700-0000B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3896" y="11120853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" name="AutoShape 131">
              <a:extLst>
                <a:ext uri="{FF2B5EF4-FFF2-40B4-BE49-F238E27FC236}">
                  <a16:creationId xmlns:a16="http://schemas.microsoft.com/office/drawing/2014/main" id="{00000000-0008-0000-0700-0000B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4186053" y="110633529"/>
              <a:ext cx="515731" cy="110982"/>
            </a:xfrm>
            <a:prstGeom prst="roundRect">
              <a:avLst>
                <a:gd name="adj" fmla="val 16667"/>
              </a:avLst>
            </a:prstGeom>
            <a:solidFill>
              <a:srgbClr val="C285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159" name="AutoShape 132">
            <a:extLst>
              <a:ext uri="{FF2B5EF4-FFF2-40B4-BE49-F238E27FC236}">
                <a16:creationId xmlns:a16="http://schemas.microsoft.com/office/drawing/2014/main" id="{00000000-0008-0000-0700-00009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3777987" y="116304745"/>
            <a:ext cx="886265" cy="0"/>
          </a:xfrm>
          <a:prstGeom prst="straightConnector1">
            <a:avLst/>
          </a:prstGeom>
          <a:noFill/>
          <a:ln w="57150" algn="ctr">
            <a:solidFill>
              <a:srgbClr val="3D87FF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cxnSp macro="">
        <xdr:nvCxnSpPr>
          <xdr:cNvPr id="160" name="AutoShape 133">
            <a:extLst>
              <a:ext uri="{FF2B5EF4-FFF2-40B4-BE49-F238E27FC236}">
                <a16:creationId xmlns:a16="http://schemas.microsoft.com/office/drawing/2014/main" id="{00000000-0008-0000-0700-0000A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907549" y="115653940"/>
            <a:ext cx="0" cy="675248"/>
          </a:xfrm>
          <a:prstGeom prst="straightConnector1">
            <a:avLst/>
          </a:prstGeom>
          <a:noFill/>
          <a:ln w="5715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cxnSp>
      <xdr:grpSp>
        <xdr:nvGrpSpPr>
          <xdr:cNvPr id="161" name="Group 134">
            <a:extLst>
              <a:ext uri="{FF2B5EF4-FFF2-40B4-BE49-F238E27FC236}">
                <a16:creationId xmlns:a16="http://schemas.microsoft.com/office/drawing/2014/main" id="{00000000-0008-0000-0700-0000A1000000}"/>
              </a:ext>
            </a:extLst>
          </xdr:cNvPr>
          <xdr:cNvGrpSpPr>
            <a:grpSpLocks/>
          </xdr:cNvGrpSpPr>
        </xdr:nvGrpSpPr>
        <xdr:grpSpPr bwMode="auto">
          <a:xfrm>
            <a:off x="112343083" y="115962451"/>
            <a:ext cx="2138289" cy="1479710"/>
            <a:chOff x="102173649" y="107613179"/>
            <a:chExt cx="2138289" cy="1479710"/>
          </a:xfrm>
        </xdr:grpSpPr>
        <xdr:sp macro="" textlink="">
          <xdr:nvSpPr>
            <xdr:cNvPr id="179" name="AutoShape 135">
              <a:extLst>
                <a:ext uri="{FF2B5EF4-FFF2-40B4-BE49-F238E27FC236}">
                  <a16:creationId xmlns:a16="http://schemas.microsoft.com/office/drawing/2014/main" id="{00000000-0008-0000-0700-0000B300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>
              <a:off x="102502939" y="107283889"/>
              <a:ext cx="1479710" cy="2138289"/>
            </a:xfrm>
            <a:prstGeom prst="rightArrow">
              <a:avLst>
                <a:gd name="adj1" fmla="val 74083"/>
                <a:gd name="adj2" fmla="val 49324"/>
              </a:avLst>
            </a:prstGeom>
            <a:solidFill>
              <a:srgbClr val="FFC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0" name="Rectangle 136">
              <a:extLst>
                <a:ext uri="{FF2B5EF4-FFF2-40B4-BE49-F238E27FC236}">
                  <a16:creationId xmlns:a16="http://schemas.microsoft.com/office/drawing/2014/main" id="{00000000-0008-0000-0700-0000B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3045846" y="108586303"/>
              <a:ext cx="405899" cy="506586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C000"/>
                    </a:outerShdw>
                  </a:effectLst>
                </a14:hiddenEffects>
              </a:ext>
            </a:extLst>
          </xdr:spPr>
        </xdr:sp>
      </xdr:grpSp>
      <xdr:cxnSp macro="">
        <xdr:nvCxnSpPr>
          <xdr:cNvPr id="162" name="AutoShape 137">
            <a:extLst>
              <a:ext uri="{FF2B5EF4-FFF2-40B4-BE49-F238E27FC236}">
                <a16:creationId xmlns:a16="http://schemas.microsoft.com/office/drawing/2014/main" id="{00000000-0008-0000-0700-0000A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878809" y="114930720"/>
            <a:ext cx="0" cy="318052"/>
          </a:xfrm>
          <a:prstGeom prst="straightConnector1">
            <a:avLst/>
          </a:prstGeom>
          <a:noFill/>
          <a:ln w="25400" algn="ctr">
            <a:solidFill>
              <a:srgbClr val="B35E25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63" name="Group 138">
            <a:extLst>
              <a:ext uri="{FF2B5EF4-FFF2-40B4-BE49-F238E27FC236}">
                <a16:creationId xmlns:a16="http://schemas.microsoft.com/office/drawing/2014/main" id="{00000000-0008-0000-0700-0000A3000000}"/>
              </a:ext>
            </a:extLst>
          </xdr:cNvPr>
          <xdr:cNvGrpSpPr>
            <a:grpSpLocks/>
          </xdr:cNvGrpSpPr>
        </xdr:nvGrpSpPr>
        <xdr:grpSpPr bwMode="auto">
          <a:xfrm>
            <a:off x="111883068" y="114700679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176" name="AutoShape 139">
              <a:extLst>
                <a:ext uri="{FF2B5EF4-FFF2-40B4-BE49-F238E27FC236}">
                  <a16:creationId xmlns:a16="http://schemas.microsoft.com/office/drawing/2014/main" id="{00000000-0008-0000-0700-0000B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F5B18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177" name="Picture 176">
              <a:extLst>
                <a:ext uri="{FF2B5EF4-FFF2-40B4-BE49-F238E27FC236}">
                  <a16:creationId xmlns:a16="http://schemas.microsoft.com/office/drawing/2014/main" id="{00000000-0008-0000-0700-0000B1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178" name="Picture 177">
              <a:extLst>
                <a:ext uri="{FF2B5EF4-FFF2-40B4-BE49-F238E27FC236}">
                  <a16:creationId xmlns:a16="http://schemas.microsoft.com/office/drawing/2014/main" id="{00000000-0008-0000-0700-0000B2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164" name="Picture 163">
            <a:extLst>
              <a:ext uri="{FF2B5EF4-FFF2-40B4-BE49-F238E27FC236}">
                <a16:creationId xmlns:a16="http://schemas.microsoft.com/office/drawing/2014/main" id="{00000000-0008-0000-0700-0000A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546145" y="115081783"/>
            <a:ext cx="642637" cy="91635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  <xdr:cxnSp macro="">
        <xdr:nvCxnSpPr>
          <xdr:cNvPr id="165" name="AutoShape 143">
            <a:extLst>
              <a:ext uri="{FF2B5EF4-FFF2-40B4-BE49-F238E27FC236}">
                <a16:creationId xmlns:a16="http://schemas.microsoft.com/office/drawing/2014/main" id="{00000000-0008-0000-0700-0000A5000000}"/>
              </a:ext>
            </a:extLst>
          </xdr:cNvPr>
          <xdr:cNvCxnSpPr>
            <a:cxnSpLocks noChangeShapeType="1"/>
          </xdr:cNvCxnSpPr>
        </xdr:nvCxnSpPr>
        <xdr:spPr bwMode="auto">
          <a:xfrm rot="5400000" flipV="1">
            <a:off x="115310208" y="116126604"/>
            <a:ext cx="0" cy="318052"/>
          </a:xfrm>
          <a:prstGeom prst="straightConnector1">
            <a:avLst/>
          </a:prstGeom>
          <a:noFill/>
          <a:ln w="25400" algn="ctr">
            <a:solidFill>
              <a:srgbClr val="00B0F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cxnSp>
      <xdr:grpSp>
        <xdr:nvGrpSpPr>
          <xdr:cNvPr id="166" name="Group 144">
            <a:extLst>
              <a:ext uri="{FF2B5EF4-FFF2-40B4-BE49-F238E27FC236}">
                <a16:creationId xmlns:a16="http://schemas.microsoft.com/office/drawing/2014/main" id="{00000000-0008-0000-0700-0000A6000000}"/>
              </a:ext>
            </a:extLst>
          </xdr:cNvPr>
          <xdr:cNvGrpSpPr>
            <a:grpSpLocks/>
          </xdr:cNvGrpSpPr>
        </xdr:nvGrpSpPr>
        <xdr:grpSpPr bwMode="auto">
          <a:xfrm rot="5400000">
            <a:off x="114554055" y="116141411"/>
            <a:ext cx="1996741" cy="293697"/>
            <a:chOff x="107996763" y="108176054"/>
            <a:chExt cx="1996741" cy="293697"/>
          </a:xfrm>
        </xdr:grpSpPr>
        <xdr:sp macro="" textlink="">
          <xdr:nvSpPr>
            <xdr:cNvPr id="173" name="AutoShape 145">
              <a:extLst>
                <a:ext uri="{FF2B5EF4-FFF2-40B4-BE49-F238E27FC236}">
                  <a16:creationId xmlns:a16="http://schemas.microsoft.com/office/drawing/2014/main" id="{00000000-0008-0000-0700-0000A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7996763" y="108176054"/>
              <a:ext cx="1996741" cy="293697"/>
            </a:xfrm>
            <a:prstGeom prst="roundRect">
              <a:avLst>
                <a:gd name="adj" fmla="val 17384"/>
              </a:avLst>
            </a:prstGeom>
            <a:solidFill>
              <a:srgbClr val="00B0F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pic>
          <xdr:nvPicPr>
            <xdr:cNvPr id="174" name="Picture 173">
              <a:extLst>
                <a:ext uri="{FF2B5EF4-FFF2-40B4-BE49-F238E27FC236}">
                  <a16:creationId xmlns:a16="http://schemas.microsoft.com/office/drawing/2014/main" id="{00000000-0008-0000-0700-0000A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 rot="5400000">
              <a:off x="108531400" y="107761307"/>
              <a:ext cx="182896" cy="11217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  <xdr:pic>
          <xdr:nvPicPr>
            <xdr:cNvPr id="175" name="Picture 174">
              <a:extLst>
                <a:ext uri="{FF2B5EF4-FFF2-40B4-BE49-F238E27FC236}">
                  <a16:creationId xmlns:a16="http://schemas.microsoft.com/office/drawing/2014/main" id="{00000000-0008-0000-0700-0000AF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33601" r="-7632"/>
            <a:stretch>
              <a:fillRect/>
            </a:stretch>
          </xdr:blipFill>
          <xdr:spPr bwMode="auto">
            <a:xfrm rot="5400000">
              <a:off x="109471676" y="107956752"/>
              <a:ext cx="196856" cy="7448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pic>
      </xdr:grpSp>
      <xdr:pic>
        <xdr:nvPicPr>
          <xdr:cNvPr id="167" name="Picture 166">
            <a:extLst>
              <a:ext uri="{FF2B5EF4-FFF2-40B4-BE49-F238E27FC236}">
                <a16:creationId xmlns:a16="http://schemas.microsoft.com/office/drawing/2014/main" id="{00000000-0008-0000-0700-0000A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40725" y="115968317"/>
            <a:ext cx="938716" cy="62581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C000"/>
                  </a:outerShdw>
                </a:effectLst>
              </a14:hiddenEffects>
            </a:ext>
          </a:extLst>
        </xdr:spPr>
      </xdr:pic>
      <xdr:sp macro="" textlink="">
        <xdr:nvSpPr>
          <xdr:cNvPr id="168" name="AutoShape 149">
            <a:extLst>
              <a:ext uri="{FF2B5EF4-FFF2-40B4-BE49-F238E27FC236}">
                <a16:creationId xmlns:a16="http://schemas.microsoft.com/office/drawing/2014/main" id="{00000000-0008-0000-0700-0000A8000000}"/>
              </a:ext>
            </a:extLst>
          </xdr:cNvPr>
          <xdr:cNvSpPr>
            <a:spLocks noChangeArrowheads="1"/>
          </xdr:cNvSpPr>
        </xdr:nvSpPr>
        <xdr:spPr bwMode="auto">
          <a:xfrm>
            <a:off x="114507123" y="117973846"/>
            <a:ext cx="613176" cy="794856"/>
          </a:xfrm>
          <a:prstGeom prst="roundRect">
            <a:avLst>
              <a:gd name="adj" fmla="val 10194"/>
            </a:avLst>
          </a:prstGeom>
          <a:solidFill>
            <a:srgbClr val="FFFFFF"/>
          </a:solidFill>
          <a:ln w="38100" algn="ctr">
            <a:solidFill>
              <a:srgbClr val="92D05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9" name="AutoShape 150">
            <a:extLst>
              <a:ext uri="{FF2B5EF4-FFF2-40B4-BE49-F238E27FC236}">
                <a16:creationId xmlns:a16="http://schemas.microsoft.com/office/drawing/2014/main" id="{00000000-0008-0000-0700-0000A9000000}"/>
              </a:ext>
            </a:extLst>
          </xdr:cNvPr>
          <xdr:cNvSpPr>
            <a:spLocks noChangeArrowheads="1"/>
          </xdr:cNvSpPr>
        </xdr:nvSpPr>
        <xdr:spPr bwMode="auto">
          <a:xfrm>
            <a:off x="114554506" y="118170892"/>
            <a:ext cx="515731" cy="110982"/>
          </a:xfrm>
          <a:prstGeom prst="roundRect">
            <a:avLst>
              <a:gd name="adj" fmla="val 16667"/>
            </a:avLst>
          </a:prstGeom>
          <a:solidFill>
            <a:srgbClr val="C285A3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70" name="AutoShape 151">
            <a:extLst>
              <a:ext uri="{FF2B5EF4-FFF2-40B4-BE49-F238E27FC236}">
                <a16:creationId xmlns:a16="http://schemas.microsoft.com/office/drawing/2014/main" id="{00000000-0008-0000-0700-0000AA000000}"/>
              </a:ext>
            </a:extLst>
          </xdr:cNvPr>
          <xdr:cNvSpPr>
            <a:spLocks noChangeArrowheads="1"/>
          </xdr:cNvSpPr>
        </xdr:nvSpPr>
        <xdr:spPr bwMode="auto">
          <a:xfrm>
            <a:off x="114552504" y="118314816"/>
            <a:ext cx="515731" cy="110982"/>
          </a:xfrm>
          <a:prstGeom prst="roundRect">
            <a:avLst>
              <a:gd name="adj" fmla="val 16667"/>
            </a:avLst>
          </a:prstGeom>
          <a:solidFill>
            <a:srgbClr val="C285A3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71" name="AutoShape 152">
            <a:extLst>
              <a:ext uri="{FF2B5EF4-FFF2-40B4-BE49-F238E27FC236}">
                <a16:creationId xmlns:a16="http://schemas.microsoft.com/office/drawing/2014/main" id="{00000000-0008-0000-07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114551920" y="118459994"/>
            <a:ext cx="515731" cy="110982"/>
          </a:xfrm>
          <a:prstGeom prst="roundRect">
            <a:avLst>
              <a:gd name="adj" fmla="val 16667"/>
            </a:avLst>
          </a:prstGeom>
          <a:solidFill>
            <a:srgbClr val="C285A3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72" name="AutoShape 153">
            <a:extLst>
              <a:ext uri="{FF2B5EF4-FFF2-40B4-BE49-F238E27FC236}">
                <a16:creationId xmlns:a16="http://schemas.microsoft.com/office/drawing/2014/main" id="{00000000-0008-0000-0700-0000AC000000}"/>
              </a:ext>
            </a:extLst>
          </xdr:cNvPr>
          <xdr:cNvSpPr>
            <a:spLocks noChangeArrowheads="1"/>
          </xdr:cNvSpPr>
        </xdr:nvSpPr>
        <xdr:spPr bwMode="auto">
          <a:xfrm>
            <a:off x="114552349" y="118600403"/>
            <a:ext cx="515731" cy="110982"/>
          </a:xfrm>
          <a:prstGeom prst="roundRect">
            <a:avLst>
              <a:gd name="adj" fmla="val 16667"/>
            </a:avLst>
          </a:prstGeom>
          <a:solidFill>
            <a:srgbClr val="C285A3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5</xdr:col>
      <xdr:colOff>1666875</xdr:colOff>
      <xdr:row>248</xdr:row>
      <xdr:rowOff>37882</xdr:rowOff>
    </xdr:from>
    <xdr:ext cx="633149" cy="390743"/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47196157"/>
          <a:ext cx="633149" cy="39074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228599</xdr:colOff>
      <xdr:row>0</xdr:row>
      <xdr:rowOff>19049</xdr:rowOff>
    </xdr:from>
    <xdr:to>
      <xdr:col>25</xdr:col>
      <xdr:colOff>9524</xdr:colOff>
      <xdr:row>14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428625</xdr:colOff>
      <xdr:row>20</xdr:row>
      <xdr:rowOff>180975</xdr:rowOff>
    </xdr:from>
    <xdr:to>
      <xdr:col>25</xdr:col>
      <xdr:colOff>266700</xdr:colOff>
      <xdr:row>31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20</xdr:row>
      <xdr:rowOff>180975</xdr:rowOff>
    </xdr:from>
    <xdr:to>
      <xdr:col>22</xdr:col>
      <xdr:colOff>371476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425341</xdr:colOff>
      <xdr:row>28</xdr:row>
      <xdr:rowOff>9197</xdr:rowOff>
    </xdr:from>
    <xdr:to>
      <xdr:col>22</xdr:col>
      <xdr:colOff>17736</xdr:colOff>
      <xdr:row>29</xdr:row>
      <xdr:rowOff>28247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1398141" y="5343197"/>
          <a:ext cx="113544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>
              <a:solidFill>
                <a:schemeClr val="accent5">
                  <a:lumMod val="50000"/>
                </a:schemeClr>
              </a:solidFill>
            </a:rPr>
            <a:t>Nom.Power Limit</a:t>
          </a:r>
        </a:p>
      </xdr:txBody>
    </xdr:sp>
    <xdr:clientData/>
  </xdr:twoCellAnchor>
  <xdr:twoCellAnchor>
    <xdr:from>
      <xdr:col>12</xdr:col>
      <xdr:colOff>419100</xdr:colOff>
      <xdr:row>26</xdr:row>
      <xdr:rowOff>19050</xdr:rowOff>
    </xdr:from>
    <xdr:to>
      <xdr:col>14</xdr:col>
      <xdr:colOff>381000</xdr:colOff>
      <xdr:row>27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7791450" y="4972050"/>
          <a:ext cx="99060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 b="1">
              <a:solidFill>
                <a:srgbClr val="00B0F0"/>
              </a:solidFill>
            </a:rPr>
            <a:t>Peak Power Limt</a:t>
          </a:r>
        </a:p>
      </xdr:txBody>
    </xdr:sp>
    <xdr:clientData/>
  </xdr:twoCellAnchor>
  <xdr:twoCellAnchor>
    <xdr:from>
      <xdr:col>15</xdr:col>
      <xdr:colOff>442912</xdr:colOff>
      <xdr:row>26</xdr:row>
      <xdr:rowOff>23813</xdr:rowOff>
    </xdr:from>
    <xdr:to>
      <xdr:col>16</xdr:col>
      <xdr:colOff>138112</xdr:colOff>
      <xdr:row>32</xdr:row>
      <xdr:rowOff>14287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 rot="16200000">
          <a:off x="8896350" y="5438775"/>
          <a:ext cx="11334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900">
              <a:solidFill>
                <a:srgbClr val="C00000"/>
              </a:solidFill>
            </a:rPr>
            <a:t>Max.Daily Peak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171450</xdr:rowOff>
        </xdr:from>
        <xdr:to>
          <xdr:col>5</xdr:col>
          <xdr:colOff>200025</xdr:colOff>
          <xdr:row>10</xdr:row>
          <xdr:rowOff>0</xdr:rowOff>
        </xdr:to>
        <xdr:sp macro="" textlink="">
          <xdr:nvSpPr>
            <xdr:cNvPr id="8193" name="Drop Down 1" descr="People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1057275</xdr:colOff>
          <xdr:row>5</xdr:row>
          <xdr:rowOff>161925</xdr:rowOff>
        </xdr:from>
        <xdr:to>
          <xdr:col>5</xdr:col>
          <xdr:colOff>200025</xdr:colOff>
          <xdr:row>7</xdr:row>
          <xdr:rowOff>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800100</xdr:colOff>
          <xdr:row>5</xdr:row>
          <xdr:rowOff>171450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0</xdr:rowOff>
        </xdr:from>
        <xdr:to>
          <xdr:col>5</xdr:col>
          <xdr:colOff>200025</xdr:colOff>
          <xdr:row>5</xdr:row>
          <xdr:rowOff>19050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8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11</xdr:row>
          <xdr:rowOff>0</xdr:rowOff>
        </xdr:from>
        <xdr:to>
          <xdr:col>5</xdr:col>
          <xdr:colOff>276225</xdr:colOff>
          <xdr:row>12</xdr:row>
          <xdr:rowOff>28575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8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171450</xdr:rowOff>
        </xdr:from>
        <xdr:to>
          <xdr:col>5</xdr:col>
          <xdr:colOff>200025</xdr:colOff>
          <xdr:row>14</xdr:row>
          <xdr:rowOff>0</xdr:rowOff>
        </xdr:to>
        <xdr:sp macro="" textlink="">
          <xdr:nvSpPr>
            <xdr:cNvPr id="8198" name="Drop Down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8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14</xdr:row>
          <xdr:rowOff>0</xdr:rowOff>
        </xdr:from>
        <xdr:to>
          <xdr:col>5</xdr:col>
          <xdr:colOff>276225</xdr:colOff>
          <xdr:row>15</xdr:row>
          <xdr:rowOff>0</xdr:rowOff>
        </xdr:to>
        <xdr:sp macro="" textlink="">
          <xdr:nvSpPr>
            <xdr:cNvPr id="8199" name="Spinner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8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200025</xdr:colOff>
          <xdr:row>16</xdr:row>
          <xdr:rowOff>38100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8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809625</xdr:colOff>
          <xdr:row>6</xdr:row>
          <xdr:rowOff>200025</xdr:rowOff>
        </xdr:from>
        <xdr:to>
          <xdr:col>3</xdr:col>
          <xdr:colOff>1057275</xdr:colOff>
          <xdr:row>8</xdr:row>
          <xdr:rowOff>28575</xdr:rowOff>
        </xdr:to>
        <xdr:sp macro="" textlink="">
          <xdr:nvSpPr>
            <xdr:cNvPr id="8201" name="Spinner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8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7</xdr:row>
          <xdr:rowOff>0</xdr:rowOff>
        </xdr:from>
        <xdr:to>
          <xdr:col>6</xdr:col>
          <xdr:colOff>266700</xdr:colOff>
          <xdr:row>8</xdr:row>
          <xdr:rowOff>38100</xdr:rowOff>
        </xdr:to>
        <xdr:sp macro="" textlink="">
          <xdr:nvSpPr>
            <xdr:cNvPr id="8202" name="Spinner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8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8</xdr:row>
          <xdr:rowOff>180975</xdr:rowOff>
        </xdr:from>
        <xdr:to>
          <xdr:col>6</xdr:col>
          <xdr:colOff>247650</xdr:colOff>
          <xdr:row>10</xdr:row>
          <xdr:rowOff>38100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8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180975</xdr:rowOff>
        </xdr:from>
        <xdr:to>
          <xdr:col>6</xdr:col>
          <xdr:colOff>247650</xdr:colOff>
          <xdr:row>11</xdr:row>
          <xdr:rowOff>38100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8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219075</xdr:colOff>
      <xdr:row>0</xdr:row>
      <xdr:rowOff>95250</xdr:rowOff>
    </xdr:from>
    <xdr:ext cx="620788" cy="383115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5250"/>
          <a:ext cx="620788" cy="38311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258234</xdr:colOff>
      <xdr:row>62</xdr:row>
      <xdr:rowOff>27517</xdr:rowOff>
    </xdr:from>
    <xdr:to>
      <xdr:col>21</xdr:col>
      <xdr:colOff>74083</xdr:colOff>
      <xdr:row>67</xdr:row>
      <xdr:rowOff>115202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0284" y="12152842"/>
          <a:ext cx="3987799" cy="1040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</xdr:colOff>
      <xdr:row>1</xdr:row>
      <xdr:rowOff>19052</xdr:rowOff>
    </xdr:from>
    <xdr:ext cx="620788" cy="38311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209552"/>
          <a:ext cx="620788" cy="383115"/>
        </a:xfrm>
        <a:prstGeom prst="rect">
          <a:avLst/>
        </a:prstGeom>
      </xdr:spPr>
    </xdr:pic>
    <xdr:clientData/>
  </xdr:oneCellAnchor>
  <xdr:twoCellAnchor editAs="oneCell">
    <xdr:from>
      <xdr:col>1</xdr:col>
      <xdr:colOff>414578</xdr:colOff>
      <xdr:row>66</xdr:row>
      <xdr:rowOff>21168</xdr:rowOff>
    </xdr:from>
    <xdr:to>
      <xdr:col>5</xdr:col>
      <xdr:colOff>539749</xdr:colOff>
      <xdr:row>69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53" y="12908493"/>
          <a:ext cx="2534996" cy="656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upport\Desktop\New%20folder\ecoCool-Solar-Calculator_Offgrid_Rev3.32-STUART.xlsx" TargetMode="External"/><Relationship Id="rId1" Type="http://schemas.openxmlformats.org/officeDocument/2006/relationships/externalLinkPath" Target="ecoCool-Solar-Calculator_Offgrid_Rev3.32-STUAR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cocoolcomau-my.sharepoint.com/personal/craig_ecocool_com_au/Documents/Store/Off-grid%20packages.xlsx" TargetMode="External"/><Relationship Id="rId1" Type="http://schemas.openxmlformats.org/officeDocument/2006/relationships/externalLinkPath" Target="/personal/craig_ecocool_com_au/Documents/Store/Off-grid%20package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cocoolcomau-my.sharepoint.com/personal/craig_ecocool_com_au/Documents/Products/Suppliers.xlsx" TargetMode="External"/><Relationship Id="rId1" Type="http://schemas.openxmlformats.org/officeDocument/2006/relationships/externalLinkPath" Target="Supplier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Load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59Calculator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cocoolcomau-my.sharepoint.com/personal/craig_ecocool_com_au/Documents/Products/Products.xlsx" TargetMode="External"/><Relationship Id="rId1" Type="http://schemas.openxmlformats.org/officeDocument/2006/relationships/externalLinkPath" Target="Products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cocoolcomau-my.sharepoint.com/personal/craig_ecocool_com_au/Documents/Products/.new/wc-product-export.xlsx" TargetMode="External"/><Relationship Id="rId1" Type="http://schemas.openxmlformats.org/officeDocument/2006/relationships/externalLinkPath" Target=".new/wc-product-ex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lculator"/>
      <sheetName val="Calcs"/>
      <sheetName val="Calcs.2"/>
      <sheetName val="Solar-tables"/>
      <sheetName val="Equipment"/>
      <sheetName val="Arrays-Banks"/>
      <sheetName val="Loads"/>
      <sheetName val="Load-calcs"/>
    </sheetNames>
    <sheetDataSet>
      <sheetData sheetId="0">
        <row r="1">
          <cell r="J1" t="str">
            <v>Rev A</v>
          </cell>
        </row>
        <row r="3">
          <cell r="D3" t="str">
            <v>EC114</v>
          </cell>
          <cell r="E3" t="str">
            <v>Lindeman island</v>
          </cell>
        </row>
        <row r="4">
          <cell r="E4" t="str">
            <v>Cannonvale, QLD</v>
          </cell>
        </row>
        <row r="5">
          <cell r="E5" t="str">
            <v>Brisbane</v>
          </cell>
        </row>
        <row r="7">
          <cell r="F7">
            <v>3</v>
          </cell>
        </row>
        <row r="8">
          <cell r="E8">
            <v>0</v>
          </cell>
          <cell r="F8">
            <v>20</v>
          </cell>
        </row>
        <row r="11">
          <cell r="E11">
            <v>14</v>
          </cell>
        </row>
        <row r="12">
          <cell r="E12">
            <v>25</v>
          </cell>
        </row>
        <row r="14">
          <cell r="E14">
            <v>12</v>
          </cell>
        </row>
        <row r="16">
          <cell r="E16">
            <v>14.4</v>
          </cell>
          <cell r="M16">
            <v>38.821026979192887</v>
          </cell>
          <cell r="N16">
            <v>35.864704848062729</v>
          </cell>
          <cell r="O16">
            <v>32.422333623806708</v>
          </cell>
          <cell r="P16">
            <v>26.492534687671323</v>
          </cell>
          <cell r="Q16">
            <v>20.928702127536599</v>
          </cell>
          <cell r="R16">
            <v>16.439895796903748</v>
          </cell>
          <cell r="S16">
            <v>18.435556191032241</v>
          </cell>
          <cell r="T16">
            <v>22.941517195540115</v>
          </cell>
          <cell r="U16">
            <v>29.294464753926235</v>
          </cell>
          <cell r="V16">
            <v>33.737525287559009</v>
          </cell>
          <cell r="W16">
            <v>35.475865573562032</v>
          </cell>
          <cell r="X16">
            <v>38.506524624817345</v>
          </cell>
        </row>
        <row r="17">
          <cell r="M17" t="str">
            <v>Jan</v>
          </cell>
          <cell r="N17" t="str">
            <v>Feb</v>
          </cell>
          <cell r="O17" t="str">
            <v>Mar</v>
          </cell>
          <cell r="P17" t="str">
            <v>Apr</v>
          </cell>
          <cell r="Q17" t="str">
            <v>May</v>
          </cell>
          <cell r="R17" t="str">
            <v>Jun</v>
          </cell>
          <cell r="S17" t="str">
            <v>Jul</v>
          </cell>
          <cell r="T17" t="str">
            <v>Aug</v>
          </cell>
          <cell r="U17" t="str">
            <v>Sep</v>
          </cell>
          <cell r="V17" t="str">
            <v>Oct</v>
          </cell>
          <cell r="W17" t="str">
            <v>Nov</v>
          </cell>
          <cell r="X17" t="str">
            <v>Dec</v>
          </cell>
          <cell r="Y17" t="str">
            <v>Ave</v>
          </cell>
        </row>
        <row r="18">
          <cell r="M18">
            <v>1.2246380750534034</v>
          </cell>
          <cell r="N18">
            <v>1.1313787018316319</v>
          </cell>
          <cell r="O18">
            <v>1.1076558766978279</v>
          </cell>
          <cell r="P18">
            <v>1.1223866837969105</v>
          </cell>
          <cell r="Q18">
            <v>1.1461360485720522</v>
          </cell>
          <cell r="R18">
            <v>1.060125474570611</v>
          </cell>
          <cell r="S18">
            <v>1.1888154887010958</v>
          </cell>
          <cell r="T18">
            <v>1.2563655264675062</v>
          </cell>
          <cell r="U18">
            <v>1.2410936717227661</v>
          </cell>
          <cell r="V18">
            <v>1.1525872438301914</v>
          </cell>
          <cell r="W18">
            <v>1.1191124786612627</v>
          </cell>
          <cell r="X18">
            <v>1.2147168651361939</v>
          </cell>
        </row>
        <row r="23">
          <cell r="AB23" t="str">
            <v>Cairns</v>
          </cell>
        </row>
        <row r="26">
          <cell r="AA26" t="b">
            <v>0</v>
          </cell>
        </row>
        <row r="43">
          <cell r="R43" t="str">
            <v>Fronius Primo 5KW Inverter</v>
          </cell>
        </row>
      </sheetData>
      <sheetData sheetId="1">
        <row r="5">
          <cell r="I5" t="str">
            <v>PSH-Cannonvale, QLD</v>
          </cell>
          <cell r="J5">
            <v>7.3</v>
          </cell>
          <cell r="K5">
            <v>6.4</v>
          </cell>
          <cell r="L5">
            <v>5.4</v>
          </cell>
          <cell r="M5">
            <v>4.0999999999999996</v>
          </cell>
          <cell r="N5">
            <v>3</v>
          </cell>
          <cell r="O5">
            <v>2.2999999999999998</v>
          </cell>
          <cell r="P5">
            <v>2.6</v>
          </cell>
          <cell r="Q5">
            <v>3.4</v>
          </cell>
          <cell r="R5">
            <v>4.7</v>
          </cell>
          <cell r="S5">
            <v>5.9</v>
          </cell>
          <cell r="T5">
            <v>6.6</v>
          </cell>
          <cell r="U5">
            <v>7.4</v>
          </cell>
        </row>
        <row r="6">
          <cell r="J6">
            <v>29.9</v>
          </cell>
          <cell r="K6">
            <v>29.7</v>
          </cell>
          <cell r="L6">
            <v>28.9</v>
          </cell>
          <cell r="M6">
            <v>27</v>
          </cell>
          <cell r="N6">
            <v>24.3</v>
          </cell>
          <cell r="O6">
            <v>22.3</v>
          </cell>
          <cell r="P6">
            <v>21.5</v>
          </cell>
          <cell r="Q6">
            <v>22.9</v>
          </cell>
          <cell r="R6">
            <v>25.3</v>
          </cell>
          <cell r="S6">
            <v>27.4</v>
          </cell>
          <cell r="T6">
            <v>28.7</v>
          </cell>
          <cell r="U6">
            <v>29.9</v>
          </cell>
        </row>
        <row r="7">
          <cell r="C7">
            <v>4</v>
          </cell>
          <cell r="J7">
            <v>24.9</v>
          </cell>
          <cell r="K7">
            <v>24.8</v>
          </cell>
          <cell r="L7">
            <v>24.4</v>
          </cell>
          <cell r="M7">
            <v>22.8</v>
          </cell>
          <cell r="N7">
            <v>20.6</v>
          </cell>
          <cell r="O7">
            <v>18.899999999999999</v>
          </cell>
          <cell r="P7">
            <v>18</v>
          </cell>
          <cell r="Q7">
            <v>18.5</v>
          </cell>
          <cell r="R7">
            <v>20.2</v>
          </cell>
          <cell r="S7">
            <v>22.1</v>
          </cell>
          <cell r="T7">
            <v>23.4</v>
          </cell>
          <cell r="U7">
            <v>24.6</v>
          </cell>
        </row>
        <row r="11">
          <cell r="C11">
            <v>500</v>
          </cell>
        </row>
        <row r="27">
          <cell r="N27">
            <v>22.478741839462799</v>
          </cell>
          <cell r="O27">
            <v>20.766927208294405</v>
          </cell>
          <cell r="P27">
            <v>18.773673034284002</v>
          </cell>
          <cell r="Q27">
            <v>15.340110611611598</v>
          </cell>
          <cell r="R27">
            <v>12.118455609432001</v>
          </cell>
          <cell r="S27">
            <v>9.5192786549499999</v>
          </cell>
          <cell r="T27">
            <v>10.674836307324801</v>
          </cell>
          <cell r="U27">
            <v>13.2839464221424</v>
          </cell>
          <cell r="V27">
            <v>16.962526799759605</v>
          </cell>
          <cell r="W27">
            <v>19.535215326680003</v>
          </cell>
          <cell r="X27">
            <v>20.541775574020797</v>
          </cell>
          <cell r="Y27">
            <v>22.296633899976804</v>
          </cell>
          <cell r="Z27">
            <v>17.293472275333329</v>
          </cell>
        </row>
        <row r="28">
          <cell r="N28">
            <v>38.821026979192887</v>
          </cell>
          <cell r="O28">
            <v>35.864704848062729</v>
          </cell>
          <cell r="P28">
            <v>32.422333623806708</v>
          </cell>
          <cell r="Q28">
            <v>26.492534687671323</v>
          </cell>
          <cell r="R28">
            <v>20.928702127536599</v>
          </cell>
          <cell r="S28">
            <v>16.439895796903748</v>
          </cell>
          <cell r="T28">
            <v>18.435556191032241</v>
          </cell>
          <cell r="U28">
            <v>22.941517195540115</v>
          </cell>
          <cell r="V28">
            <v>29.294464753926235</v>
          </cell>
          <cell r="W28">
            <v>33.737525287559009</v>
          </cell>
          <cell r="X28">
            <v>35.475865573562032</v>
          </cell>
          <cell r="Y28">
            <v>38.506524624817345</v>
          </cell>
          <cell r="Z28">
            <v>29.549183142139306</v>
          </cell>
        </row>
        <row r="31">
          <cell r="N31">
            <v>31.7</v>
          </cell>
          <cell r="O31">
            <v>31.7</v>
          </cell>
          <cell r="P31">
            <v>29.271124999999998</v>
          </cell>
          <cell r="Q31">
            <v>23.603749999999998</v>
          </cell>
          <cell r="R31">
            <v>18.260224999999998</v>
          </cell>
          <cell r="S31">
            <v>15.507499999999999</v>
          </cell>
          <cell r="T31">
            <v>15.507499999999999</v>
          </cell>
          <cell r="U31">
            <v>18.260224999999998</v>
          </cell>
          <cell r="V31">
            <v>23.603749999999998</v>
          </cell>
          <cell r="W31">
            <v>29.271124999999998</v>
          </cell>
          <cell r="X31">
            <v>31.700000000000003</v>
          </cell>
          <cell r="Y31">
            <v>31.7</v>
          </cell>
        </row>
        <row r="39">
          <cell r="C39" t="str">
            <v>Cairns</v>
          </cell>
        </row>
        <row r="40">
          <cell r="E40" t="str">
            <v>Cannonvale, QLD</v>
          </cell>
        </row>
        <row r="42">
          <cell r="B42" t="str">
            <v>Solar panel roof tilt from 0</v>
          </cell>
          <cell r="C42">
            <v>20</v>
          </cell>
        </row>
        <row r="43">
          <cell r="B43" t="str">
            <v>Solar aspect (azimuth)</v>
          </cell>
          <cell r="C43">
            <v>0</v>
          </cell>
        </row>
        <row r="47">
          <cell r="C47" t="str">
            <v>AGM</v>
          </cell>
        </row>
        <row r="48">
          <cell r="C48" t="str">
            <v>Victron AGM Supercycle 100Ah</v>
          </cell>
        </row>
        <row r="53">
          <cell r="C53">
            <v>48</v>
          </cell>
        </row>
        <row r="55">
          <cell r="C55">
            <v>1</v>
          </cell>
        </row>
        <row r="57">
          <cell r="C57">
            <v>300</v>
          </cell>
        </row>
        <row r="60">
          <cell r="C60">
            <v>14.399999999999999</v>
          </cell>
        </row>
        <row r="87">
          <cell r="C87">
            <v>31.7</v>
          </cell>
        </row>
        <row r="88">
          <cell r="C88">
            <v>15.507499999999999</v>
          </cell>
        </row>
        <row r="95">
          <cell r="C95">
            <v>0.5</v>
          </cell>
        </row>
        <row r="98">
          <cell r="C98">
            <v>1.3</v>
          </cell>
        </row>
        <row r="106">
          <cell r="A106">
            <v>1</v>
          </cell>
          <cell r="B106">
            <v>2</v>
          </cell>
          <cell r="C106" t="str">
            <v>2 PPl</v>
          </cell>
          <cell r="D106">
            <v>9</v>
          </cell>
          <cell r="E106">
            <v>4</v>
          </cell>
        </row>
        <row r="107">
          <cell r="A107">
            <v>2</v>
          </cell>
          <cell r="B107">
            <v>3</v>
          </cell>
          <cell r="C107" t="str">
            <v>3 PPl</v>
          </cell>
          <cell r="D107">
            <v>14</v>
          </cell>
          <cell r="E107">
            <v>4</v>
          </cell>
        </row>
        <row r="108">
          <cell r="A108">
            <v>3</v>
          </cell>
          <cell r="B108" t="str">
            <v>4-5</v>
          </cell>
          <cell r="C108" t="str">
            <v>4-5 Ppl</v>
          </cell>
          <cell r="D108">
            <v>19</v>
          </cell>
          <cell r="E108">
            <v>5</v>
          </cell>
        </row>
        <row r="109">
          <cell r="A109">
            <v>4</v>
          </cell>
          <cell r="B109" t="str">
            <v>5+</v>
          </cell>
          <cell r="C109" t="str">
            <v>LargeUser</v>
          </cell>
          <cell r="D109">
            <v>26</v>
          </cell>
          <cell r="E109">
            <v>6.5</v>
          </cell>
        </row>
        <row r="110">
          <cell r="A110">
            <v>5</v>
          </cell>
          <cell r="B110" t="str">
            <v>High Use</v>
          </cell>
          <cell r="C110" t="str">
            <v>V.HighUser</v>
          </cell>
          <cell r="D110">
            <v>35</v>
          </cell>
          <cell r="E110">
            <v>8</v>
          </cell>
        </row>
      </sheetData>
      <sheetData sheetId="2">
        <row r="5">
          <cell r="C5">
            <v>3</v>
          </cell>
        </row>
        <row r="11">
          <cell r="L11">
            <v>3000</v>
          </cell>
        </row>
        <row r="25">
          <cell r="N25">
            <v>16.342285139730087</v>
          </cell>
          <cell r="O25">
            <v>15.097777639768321</v>
          </cell>
          <cell r="P25">
            <v>13.648660589522702</v>
          </cell>
          <cell r="Q25">
            <v>11.152424076059727</v>
          </cell>
          <cell r="R25">
            <v>8.8102465181045986</v>
          </cell>
          <cell r="S25">
            <v>6.9206171419537483</v>
          </cell>
          <cell r="T25">
            <v>7.7607198837074405</v>
          </cell>
          <cell r="U25">
            <v>9.6575707733977172</v>
          </cell>
          <cell r="V25">
            <v>12.331937954166632</v>
          </cell>
          <cell r="W25">
            <v>14.202309960879003</v>
          </cell>
          <cell r="X25">
            <v>14.934089999541236</v>
          </cell>
          <cell r="Y25">
            <v>16.209890724840545</v>
          </cell>
          <cell r="Z25">
            <v>12.255710866805979</v>
          </cell>
        </row>
      </sheetData>
      <sheetData sheetId="3">
        <row r="2">
          <cell r="D2" t="str">
            <v>Brisbane</v>
          </cell>
          <cell r="E2" t="str">
            <v>Canberra</v>
          </cell>
          <cell r="F2" t="str">
            <v>Darwin</v>
          </cell>
          <cell r="G2" t="str">
            <v>Hobart</v>
          </cell>
          <cell r="H2" t="str">
            <v>Sydney</v>
          </cell>
          <cell r="I2" t="str">
            <v>Melbourne</v>
          </cell>
          <cell r="J2" t="str">
            <v>Adelaide</v>
          </cell>
          <cell r="K2" t="str">
            <v>Alice Springs</v>
          </cell>
          <cell r="L2" t="str">
            <v>Perth</v>
          </cell>
          <cell r="M2" t="str">
            <v>Cairns</v>
          </cell>
          <cell r="O2" t="str">
            <v>Brisbane</v>
          </cell>
          <cell r="P2" t="str">
            <v>C28:M63</v>
          </cell>
        </row>
        <row r="3">
          <cell r="O3" t="str">
            <v>Canberra</v>
          </cell>
          <cell r="P3" t="str">
            <v>C69:M104</v>
          </cell>
        </row>
        <row r="4">
          <cell r="O4" t="str">
            <v>Darwin</v>
          </cell>
          <cell r="P4" t="str">
            <v>C110:M145</v>
          </cell>
        </row>
        <row r="5">
          <cell r="O5" t="str">
            <v>Hobart</v>
          </cell>
          <cell r="P5" t="str">
            <v>C151:M186</v>
          </cell>
        </row>
        <row r="6">
          <cell r="D6">
            <v>6.6</v>
          </cell>
          <cell r="E6">
            <v>7.1</v>
          </cell>
          <cell r="F6">
            <v>5.2</v>
          </cell>
          <cell r="G6">
            <v>6.4</v>
          </cell>
          <cell r="H6">
            <v>6.4</v>
          </cell>
          <cell r="I6">
            <v>6.8</v>
          </cell>
          <cell r="J6">
            <v>7.6</v>
          </cell>
          <cell r="K6">
            <v>7.5</v>
          </cell>
          <cell r="L6">
            <v>8.1</v>
          </cell>
          <cell r="M6">
            <v>5.9</v>
          </cell>
          <cell r="O6" t="str">
            <v>Sydney</v>
          </cell>
          <cell r="P6" t="str">
            <v>C192:M227</v>
          </cell>
        </row>
        <row r="7">
          <cell r="D7">
            <v>5.9</v>
          </cell>
          <cell r="E7">
            <v>6.1</v>
          </cell>
          <cell r="F7">
            <v>5.4</v>
          </cell>
          <cell r="G7">
            <v>5.0999999999999996</v>
          </cell>
          <cell r="H7">
            <v>5.6</v>
          </cell>
          <cell r="I7">
            <v>5.9</v>
          </cell>
          <cell r="J7">
            <v>6.8</v>
          </cell>
          <cell r="K7">
            <v>7.1</v>
          </cell>
          <cell r="L7">
            <v>7.1</v>
          </cell>
          <cell r="M7">
            <v>5.6</v>
          </cell>
          <cell r="O7" t="str">
            <v>Melbourne</v>
          </cell>
          <cell r="P7" t="str">
            <v>C233:M268</v>
          </cell>
        </row>
        <row r="8">
          <cell r="D8">
            <v>5.2</v>
          </cell>
          <cell r="E8">
            <v>5.0999999999999996</v>
          </cell>
          <cell r="F8">
            <v>5.9</v>
          </cell>
          <cell r="G8">
            <v>3.6</v>
          </cell>
          <cell r="H8">
            <v>4.8</v>
          </cell>
          <cell r="I8">
            <v>4.5999999999999996</v>
          </cell>
          <cell r="J8">
            <v>5.4</v>
          </cell>
          <cell r="K8">
            <v>6.6</v>
          </cell>
          <cell r="L8">
            <v>5.8</v>
          </cell>
          <cell r="M8">
            <v>5.3</v>
          </cell>
          <cell r="O8" t="str">
            <v>Adelaide</v>
          </cell>
          <cell r="P8" t="str">
            <v>C274:M309</v>
          </cell>
        </row>
        <row r="9">
          <cell r="D9">
            <v>4.5</v>
          </cell>
          <cell r="E9">
            <v>3.8</v>
          </cell>
          <cell r="F9">
            <v>6.1</v>
          </cell>
          <cell r="G9">
            <v>2.6</v>
          </cell>
          <cell r="H9">
            <v>3.8</v>
          </cell>
          <cell r="I9">
            <v>3.1</v>
          </cell>
          <cell r="J9">
            <v>3.8</v>
          </cell>
          <cell r="K9">
            <v>5.6</v>
          </cell>
          <cell r="L9">
            <v>4.2</v>
          </cell>
          <cell r="M9">
            <v>5</v>
          </cell>
          <cell r="O9" t="str">
            <v>Alice Springs</v>
          </cell>
          <cell r="P9" t="str">
            <v>C315:M350</v>
          </cell>
        </row>
        <row r="10">
          <cell r="D10">
            <v>3.7</v>
          </cell>
          <cell r="E10">
            <v>2.8</v>
          </cell>
          <cell r="F10">
            <v>5.7</v>
          </cell>
          <cell r="G10">
            <v>1.6</v>
          </cell>
          <cell r="H10">
            <v>2.9</v>
          </cell>
          <cell r="I10">
            <v>2.1</v>
          </cell>
          <cell r="J10">
            <v>2.6</v>
          </cell>
          <cell r="K10">
            <v>4.5</v>
          </cell>
          <cell r="L10">
            <v>3.1</v>
          </cell>
          <cell r="M10">
            <v>4.5</v>
          </cell>
          <cell r="O10" t="str">
            <v>Perth</v>
          </cell>
          <cell r="P10" t="str">
            <v>C356:M391</v>
          </cell>
        </row>
        <row r="11">
          <cell r="D11">
            <v>3.3</v>
          </cell>
          <cell r="E11">
            <v>2.2000000000000002</v>
          </cell>
          <cell r="F11">
            <v>5.5</v>
          </cell>
          <cell r="G11">
            <v>1.3</v>
          </cell>
          <cell r="H11">
            <v>2.4</v>
          </cell>
          <cell r="I11">
            <v>1.7</v>
          </cell>
          <cell r="J11">
            <v>2.2000000000000002</v>
          </cell>
          <cell r="K11">
            <v>4.0999999999999996</v>
          </cell>
          <cell r="L11">
            <v>2.6</v>
          </cell>
          <cell r="M11">
            <v>4.2</v>
          </cell>
          <cell r="O11" t="str">
            <v>Cairns</v>
          </cell>
          <cell r="P11" t="str">
            <v>C397:M432</v>
          </cell>
        </row>
        <row r="12">
          <cell r="D12">
            <v>3.6</v>
          </cell>
          <cell r="E12">
            <v>2.5</v>
          </cell>
          <cell r="F12">
            <v>5.7</v>
          </cell>
          <cell r="G12">
            <v>1.5</v>
          </cell>
          <cell r="H12">
            <v>2.7</v>
          </cell>
          <cell r="I12">
            <v>1.9</v>
          </cell>
          <cell r="J12">
            <v>2.4</v>
          </cell>
          <cell r="K12">
            <v>4.4000000000000004</v>
          </cell>
          <cell r="L12">
            <v>2.8</v>
          </cell>
          <cell r="M12">
            <v>4.5</v>
          </cell>
        </row>
        <row r="13">
          <cell r="D13">
            <v>4.4000000000000004</v>
          </cell>
          <cell r="E13">
            <v>3.4</v>
          </cell>
          <cell r="F13">
            <v>6.3</v>
          </cell>
          <cell r="G13">
            <v>2.2000000000000002</v>
          </cell>
          <cell r="H13">
            <v>3.6</v>
          </cell>
          <cell r="I13">
            <v>2.7</v>
          </cell>
          <cell r="J13">
            <v>3.3</v>
          </cell>
          <cell r="K13">
            <v>5.3</v>
          </cell>
          <cell r="L13">
            <v>3.6</v>
          </cell>
          <cell r="M13">
            <v>5.2</v>
          </cell>
          <cell r="O13" t="str">
            <v>Brisbane</v>
          </cell>
          <cell r="P13" t="str">
            <v>R6:S17</v>
          </cell>
        </row>
        <row r="14">
          <cell r="D14">
            <v>5.4</v>
          </cell>
          <cell r="E14">
            <v>4.5999999999999996</v>
          </cell>
          <cell r="F14">
            <v>6.6</v>
          </cell>
          <cell r="G14">
            <v>3.3</v>
          </cell>
          <cell r="H14">
            <v>4.7</v>
          </cell>
          <cell r="I14">
            <v>3.7</v>
          </cell>
          <cell r="J14">
            <v>4.4000000000000004</v>
          </cell>
          <cell r="K14">
            <v>6.2</v>
          </cell>
          <cell r="L14">
            <v>4.7</v>
          </cell>
          <cell r="M14">
            <v>6.1</v>
          </cell>
          <cell r="O14" t="str">
            <v>Canberra</v>
          </cell>
          <cell r="P14" t="str">
            <v>U6:V17</v>
          </cell>
        </row>
        <row r="15">
          <cell r="D15">
            <v>6</v>
          </cell>
          <cell r="E15">
            <v>5.8</v>
          </cell>
          <cell r="F15">
            <v>6.7</v>
          </cell>
          <cell r="G15">
            <v>4.7</v>
          </cell>
          <cell r="H15">
            <v>5.6</v>
          </cell>
          <cell r="I15">
            <v>5</v>
          </cell>
          <cell r="J15">
            <v>5.8</v>
          </cell>
          <cell r="K15">
            <v>7</v>
          </cell>
          <cell r="L15">
            <v>6.3</v>
          </cell>
          <cell r="M15">
            <v>6.5</v>
          </cell>
          <cell r="O15" t="str">
            <v>Darwin</v>
          </cell>
          <cell r="P15" t="str">
            <v>X6:Y17</v>
          </cell>
        </row>
        <row r="16">
          <cell r="D16">
            <v>6.6</v>
          </cell>
          <cell r="E16">
            <v>6.6</v>
          </cell>
          <cell r="F16">
            <v>6.3</v>
          </cell>
          <cell r="G16">
            <v>5.4</v>
          </cell>
          <cell r="H16">
            <v>6</v>
          </cell>
          <cell r="I16">
            <v>5.9</v>
          </cell>
          <cell r="J16">
            <v>7</v>
          </cell>
          <cell r="K16">
            <v>7.3</v>
          </cell>
          <cell r="L16">
            <v>7.5</v>
          </cell>
          <cell r="M16">
            <v>6.5</v>
          </cell>
          <cell r="O16" t="str">
            <v>Hobart</v>
          </cell>
          <cell r="P16" t="str">
            <v>AA6:AB17</v>
          </cell>
        </row>
        <row r="17">
          <cell r="D17">
            <v>6.7</v>
          </cell>
          <cell r="E17">
            <v>7.2</v>
          </cell>
          <cell r="F17">
            <v>5.6</v>
          </cell>
          <cell r="G17">
            <v>6.3</v>
          </cell>
          <cell r="H17">
            <v>6.5</v>
          </cell>
          <cell r="I17">
            <v>6.7</v>
          </cell>
          <cell r="J17">
            <v>7.5</v>
          </cell>
          <cell r="K17">
            <v>7.4</v>
          </cell>
          <cell r="L17">
            <v>8.3000000000000007</v>
          </cell>
          <cell r="M17">
            <v>6.3</v>
          </cell>
          <cell r="O17" t="str">
            <v>Sydney</v>
          </cell>
          <cell r="P17" t="str">
            <v>AD6:AE17</v>
          </cell>
        </row>
        <row r="18">
          <cell r="D18">
            <v>5.2</v>
          </cell>
          <cell r="E18">
            <v>4.8</v>
          </cell>
          <cell r="F18">
            <v>5.9</v>
          </cell>
          <cell r="G18">
            <v>3.7</v>
          </cell>
          <cell r="H18">
            <v>4.5999999999999996</v>
          </cell>
          <cell r="I18">
            <v>4.2</v>
          </cell>
          <cell r="J18">
            <v>4.9000000000000004</v>
          </cell>
          <cell r="K18">
            <v>6.1</v>
          </cell>
          <cell r="L18">
            <v>5.3</v>
          </cell>
          <cell r="M18">
            <v>5.5</v>
          </cell>
          <cell r="O18" t="str">
            <v>Melbourne</v>
          </cell>
          <cell r="P18" t="str">
            <v>AG6:AH17</v>
          </cell>
        </row>
        <row r="19">
          <cell r="O19" t="str">
            <v>Adelaide</v>
          </cell>
          <cell r="P19" t="str">
            <v>AJ6:AK17</v>
          </cell>
        </row>
        <row r="20">
          <cell r="O20" t="str">
            <v>Alice Springs</v>
          </cell>
          <cell r="P20" t="str">
            <v>AM6:AN17</v>
          </cell>
        </row>
        <row r="21">
          <cell r="O21" t="str">
            <v>Perth</v>
          </cell>
          <cell r="P21" t="str">
            <v>AP6:AQ17</v>
          </cell>
        </row>
        <row r="22">
          <cell r="O22" t="str">
            <v>Cairns</v>
          </cell>
          <cell r="P22" t="str">
            <v>AS6:AT17</v>
          </cell>
        </row>
      </sheetData>
      <sheetData sheetId="4">
        <row r="30">
          <cell r="A30">
            <v>2.4</v>
          </cell>
        </row>
        <row r="31">
          <cell r="A31">
            <v>4</v>
          </cell>
        </row>
        <row r="32">
          <cell r="A32">
            <v>4.8</v>
          </cell>
        </row>
        <row r="33">
          <cell r="A33">
            <v>6.4</v>
          </cell>
        </row>
        <row r="34">
          <cell r="A34">
            <v>8</v>
          </cell>
        </row>
        <row r="35">
          <cell r="A35">
            <v>7.5</v>
          </cell>
        </row>
        <row r="36">
          <cell r="A36">
            <v>7.1999999999999993</v>
          </cell>
        </row>
        <row r="37">
          <cell r="A37">
            <v>12</v>
          </cell>
        </row>
        <row r="38">
          <cell r="A38">
            <v>6.4</v>
          </cell>
        </row>
        <row r="39">
          <cell r="A39">
            <v>12</v>
          </cell>
        </row>
      </sheetData>
      <sheetData sheetId="5">
        <row r="4">
          <cell r="B4">
            <v>1</v>
          </cell>
          <cell r="C4">
            <v>4</v>
          </cell>
          <cell r="D4">
            <v>2</v>
          </cell>
          <cell r="E4">
            <v>500</v>
          </cell>
          <cell r="F4">
            <v>4</v>
          </cell>
          <cell r="G4">
            <v>2</v>
          </cell>
          <cell r="H4">
            <v>8</v>
          </cell>
          <cell r="I4">
            <v>4000</v>
          </cell>
          <cell r="J4" t="str">
            <v>Trina 500W</v>
          </cell>
          <cell r="K4" t="str">
            <v>42.8 V</v>
          </cell>
          <cell r="L4">
            <v>11.69</v>
          </cell>
          <cell r="M4">
            <v>51.7</v>
          </cell>
          <cell r="N4">
            <v>12.28</v>
          </cell>
          <cell r="O4">
            <v>15.67</v>
          </cell>
          <cell r="P4">
            <v>15</v>
          </cell>
          <cell r="Q4">
            <v>5</v>
          </cell>
          <cell r="R4">
            <v>-0.26</v>
          </cell>
          <cell r="S4">
            <v>-0.36</v>
          </cell>
          <cell r="T4">
            <v>25</v>
          </cell>
          <cell r="U4">
            <v>2176</v>
          </cell>
          <cell r="V4">
            <v>1098</v>
          </cell>
          <cell r="W4">
            <v>35</v>
          </cell>
          <cell r="X4">
            <v>26.3</v>
          </cell>
          <cell r="Y4">
            <v>206.8</v>
          </cell>
          <cell r="Z4">
            <v>21</v>
          </cell>
          <cell r="AA4">
            <v>1</v>
          </cell>
        </row>
        <row r="5">
          <cell r="B5">
            <v>2</v>
          </cell>
          <cell r="C5">
            <v>3</v>
          </cell>
          <cell r="D5">
            <v>2</v>
          </cell>
          <cell r="E5">
            <v>500</v>
          </cell>
          <cell r="F5">
            <v>2</v>
          </cell>
          <cell r="G5">
            <v>3</v>
          </cell>
          <cell r="H5">
            <v>6</v>
          </cell>
          <cell r="I5">
            <v>3000</v>
          </cell>
          <cell r="J5" t="str">
            <v>Trina 500W</v>
          </cell>
          <cell r="K5" t="str">
            <v>42.8 V</v>
          </cell>
          <cell r="L5">
            <v>11.69</v>
          </cell>
          <cell r="M5">
            <v>51.7</v>
          </cell>
          <cell r="N5">
            <v>12.28</v>
          </cell>
          <cell r="O5">
            <v>15.67</v>
          </cell>
          <cell r="P5">
            <v>15</v>
          </cell>
          <cell r="Q5">
            <v>5</v>
          </cell>
          <cell r="R5">
            <v>-0.26</v>
          </cell>
          <cell r="S5">
            <v>-0.36</v>
          </cell>
          <cell r="T5">
            <v>25</v>
          </cell>
          <cell r="U5">
            <v>2176</v>
          </cell>
          <cell r="V5">
            <v>1098</v>
          </cell>
          <cell r="W5">
            <v>35</v>
          </cell>
          <cell r="X5">
            <v>26.3</v>
          </cell>
          <cell r="Y5">
            <v>103.4</v>
          </cell>
          <cell r="Z5">
            <v>18</v>
          </cell>
          <cell r="AA5">
            <v>1</v>
          </cell>
        </row>
        <row r="6">
          <cell r="B6">
            <v>3</v>
          </cell>
          <cell r="C6">
            <v>4.9800000000000004</v>
          </cell>
          <cell r="D6">
            <v>1</v>
          </cell>
          <cell r="E6">
            <v>415</v>
          </cell>
          <cell r="F6">
            <v>4</v>
          </cell>
          <cell r="G6">
            <v>3</v>
          </cell>
          <cell r="H6">
            <v>12</v>
          </cell>
          <cell r="I6">
            <v>4980</v>
          </cell>
          <cell r="J6" t="str">
            <v>Trina 415W Mono PERC</v>
          </cell>
          <cell r="K6">
            <v>41.7</v>
          </cell>
          <cell r="L6">
            <v>9.94</v>
          </cell>
          <cell r="M6">
            <v>50</v>
          </cell>
          <cell r="N6">
            <v>10.55</v>
          </cell>
          <cell r="O6">
            <v>20.8</v>
          </cell>
          <cell r="P6">
            <v>20</v>
          </cell>
          <cell r="Q6">
            <v>5</v>
          </cell>
          <cell r="R6">
            <v>-0.25</v>
          </cell>
          <cell r="S6">
            <v>-0.34</v>
          </cell>
          <cell r="T6">
            <v>25</v>
          </cell>
          <cell r="U6">
            <v>1762</v>
          </cell>
          <cell r="V6">
            <v>1134</v>
          </cell>
          <cell r="W6">
            <v>30</v>
          </cell>
          <cell r="X6">
            <v>21.8</v>
          </cell>
          <cell r="Y6">
            <v>200</v>
          </cell>
          <cell r="Z6">
            <v>17</v>
          </cell>
          <cell r="AA6">
            <v>1</v>
          </cell>
        </row>
        <row r="7">
          <cell r="B7">
            <v>4</v>
          </cell>
          <cell r="C7">
            <v>3</v>
          </cell>
          <cell r="D7">
            <v>4</v>
          </cell>
          <cell r="E7">
            <v>500</v>
          </cell>
          <cell r="F7">
            <v>6</v>
          </cell>
          <cell r="G7">
            <v>1</v>
          </cell>
          <cell r="H7">
            <v>6</v>
          </cell>
          <cell r="I7">
            <v>3000</v>
          </cell>
          <cell r="J7" t="str">
            <v>Trina 500W</v>
          </cell>
          <cell r="K7" t="str">
            <v>42.8 V</v>
          </cell>
          <cell r="L7">
            <v>11.69</v>
          </cell>
          <cell r="M7">
            <v>51.7</v>
          </cell>
          <cell r="N7">
            <v>12.28</v>
          </cell>
          <cell r="O7">
            <v>15.67</v>
          </cell>
          <cell r="P7">
            <v>15</v>
          </cell>
          <cell r="Q7">
            <v>5</v>
          </cell>
          <cell r="R7">
            <v>-0.26</v>
          </cell>
          <cell r="S7">
            <v>-0.36</v>
          </cell>
          <cell r="T7">
            <v>25</v>
          </cell>
          <cell r="U7">
            <v>2176</v>
          </cell>
          <cell r="V7">
            <v>1098</v>
          </cell>
          <cell r="W7">
            <v>35</v>
          </cell>
          <cell r="X7">
            <v>26.3</v>
          </cell>
          <cell r="Y7">
            <v>310.20000000000005</v>
          </cell>
          <cell r="Z7">
            <v>21</v>
          </cell>
          <cell r="AA7">
            <v>1</v>
          </cell>
        </row>
        <row r="8">
          <cell r="B8">
            <v>5</v>
          </cell>
          <cell r="C8">
            <v>4</v>
          </cell>
          <cell r="D8">
            <v>6</v>
          </cell>
          <cell r="E8">
            <v>500</v>
          </cell>
          <cell r="F8">
            <v>8</v>
          </cell>
          <cell r="G8">
            <v>1</v>
          </cell>
          <cell r="H8">
            <v>8</v>
          </cell>
          <cell r="I8">
            <v>4000</v>
          </cell>
          <cell r="J8" t="str">
            <v>Trina 500W</v>
          </cell>
          <cell r="K8" t="str">
            <v>42.8 V</v>
          </cell>
          <cell r="L8">
            <v>11.69</v>
          </cell>
          <cell r="M8">
            <v>51.7</v>
          </cell>
          <cell r="N8">
            <v>12.28</v>
          </cell>
          <cell r="O8">
            <v>15.67</v>
          </cell>
          <cell r="P8">
            <v>15</v>
          </cell>
          <cell r="Q8">
            <v>5</v>
          </cell>
          <cell r="R8">
            <v>-0.26</v>
          </cell>
          <cell r="S8">
            <v>-0.36</v>
          </cell>
          <cell r="T8">
            <v>25</v>
          </cell>
          <cell r="U8">
            <v>2176</v>
          </cell>
          <cell r="V8">
            <v>1098</v>
          </cell>
          <cell r="W8">
            <v>35</v>
          </cell>
          <cell r="X8">
            <v>26.3</v>
          </cell>
          <cell r="Y8">
            <v>413.6</v>
          </cell>
          <cell r="Z8">
            <v>9</v>
          </cell>
          <cell r="AA8">
            <v>1</v>
          </cell>
        </row>
        <row r="9">
          <cell r="B9">
            <v>6</v>
          </cell>
          <cell r="C9">
            <v>4.5</v>
          </cell>
          <cell r="D9">
            <v>6</v>
          </cell>
          <cell r="E9">
            <v>500</v>
          </cell>
          <cell r="F9">
            <v>9</v>
          </cell>
          <cell r="G9">
            <v>1</v>
          </cell>
          <cell r="H9">
            <v>9</v>
          </cell>
          <cell r="I9">
            <v>4500</v>
          </cell>
          <cell r="J9" t="str">
            <v>Trina 500W</v>
          </cell>
          <cell r="K9" t="str">
            <v>42.8 V</v>
          </cell>
          <cell r="L9">
            <v>11.69</v>
          </cell>
          <cell r="M9">
            <v>51.7</v>
          </cell>
          <cell r="N9">
            <v>12.28</v>
          </cell>
          <cell r="O9">
            <v>15.67</v>
          </cell>
          <cell r="P9">
            <v>15</v>
          </cell>
          <cell r="Q9">
            <v>5</v>
          </cell>
          <cell r="R9">
            <v>-0.26</v>
          </cell>
          <cell r="S9">
            <v>-0.36</v>
          </cell>
          <cell r="T9">
            <v>25</v>
          </cell>
          <cell r="U9">
            <v>2176</v>
          </cell>
          <cell r="V9">
            <v>1098</v>
          </cell>
          <cell r="W9">
            <v>35</v>
          </cell>
          <cell r="X9">
            <v>26.3</v>
          </cell>
          <cell r="Y9">
            <v>465.3</v>
          </cell>
          <cell r="Z9">
            <v>18</v>
          </cell>
          <cell r="AA9">
            <v>1</v>
          </cell>
        </row>
        <row r="10">
          <cell r="B10">
            <v>7</v>
          </cell>
          <cell r="C10">
            <v>12</v>
          </cell>
          <cell r="D10">
            <v>3</v>
          </cell>
          <cell r="E10">
            <v>500</v>
          </cell>
          <cell r="F10">
            <v>6</v>
          </cell>
          <cell r="G10">
            <v>4</v>
          </cell>
          <cell r="H10">
            <v>24</v>
          </cell>
          <cell r="I10">
            <v>12000</v>
          </cell>
          <cell r="J10" t="str">
            <v>Trina 500W</v>
          </cell>
          <cell r="K10" t="str">
            <v>42.8 V</v>
          </cell>
          <cell r="L10">
            <v>11.69</v>
          </cell>
          <cell r="M10">
            <v>51.7</v>
          </cell>
          <cell r="N10">
            <v>12.28</v>
          </cell>
          <cell r="O10">
            <v>15.67</v>
          </cell>
          <cell r="P10">
            <v>15</v>
          </cell>
          <cell r="Q10">
            <v>5</v>
          </cell>
          <cell r="R10">
            <v>-0.26</v>
          </cell>
          <cell r="S10">
            <v>-0.36</v>
          </cell>
          <cell r="T10">
            <v>25</v>
          </cell>
          <cell r="U10">
            <v>2176</v>
          </cell>
          <cell r="V10">
            <v>1098</v>
          </cell>
          <cell r="W10">
            <v>35</v>
          </cell>
          <cell r="X10">
            <v>26.3</v>
          </cell>
          <cell r="Y10">
            <v>310.20000000000005</v>
          </cell>
          <cell r="Z10">
            <v>16</v>
          </cell>
          <cell r="AA10">
            <v>1</v>
          </cell>
        </row>
        <row r="11">
          <cell r="B11">
            <v>8</v>
          </cell>
          <cell r="C11">
            <v>12.45</v>
          </cell>
          <cell r="D11">
            <v>1</v>
          </cell>
          <cell r="E11">
            <v>415</v>
          </cell>
          <cell r="F11">
            <v>5</v>
          </cell>
          <cell r="G11">
            <v>6</v>
          </cell>
          <cell r="H11">
            <v>30</v>
          </cell>
          <cell r="I11">
            <v>12450</v>
          </cell>
          <cell r="J11" t="str">
            <v>Trina 415W Mono PERC</v>
          </cell>
          <cell r="K11">
            <v>41.7</v>
          </cell>
          <cell r="L11">
            <v>9.94</v>
          </cell>
          <cell r="M11">
            <v>50</v>
          </cell>
          <cell r="N11">
            <v>10.55</v>
          </cell>
          <cell r="O11">
            <v>20.8</v>
          </cell>
          <cell r="P11">
            <v>20</v>
          </cell>
          <cell r="Q11">
            <v>5</v>
          </cell>
          <cell r="R11">
            <v>-0.25</v>
          </cell>
          <cell r="S11">
            <v>-0.34</v>
          </cell>
          <cell r="T11">
            <v>25</v>
          </cell>
          <cell r="U11">
            <v>1762</v>
          </cell>
          <cell r="V11">
            <v>1134</v>
          </cell>
          <cell r="W11">
            <v>30</v>
          </cell>
          <cell r="X11">
            <v>21.8</v>
          </cell>
          <cell r="Y11">
            <v>250</v>
          </cell>
          <cell r="Z11">
            <v>16</v>
          </cell>
          <cell r="AA11">
            <v>2</v>
          </cell>
        </row>
        <row r="12">
          <cell r="B12">
            <v>9</v>
          </cell>
          <cell r="C12">
            <v>10.32</v>
          </cell>
          <cell r="D12">
            <v>9</v>
          </cell>
          <cell r="E12">
            <v>430</v>
          </cell>
          <cell r="F12">
            <v>8</v>
          </cell>
          <cell r="G12">
            <v>3</v>
          </cell>
          <cell r="H12">
            <v>24</v>
          </cell>
          <cell r="I12">
            <v>10320</v>
          </cell>
          <cell r="J12" t="str">
            <v>Trina 430W Mono PERC</v>
          </cell>
          <cell r="K12">
            <v>43.2</v>
          </cell>
          <cell r="L12">
            <v>9.9600000000000009</v>
          </cell>
          <cell r="M12">
            <v>51.4</v>
          </cell>
          <cell r="N12">
            <v>10.59</v>
          </cell>
          <cell r="O12">
            <v>21.5</v>
          </cell>
          <cell r="P12">
            <v>20</v>
          </cell>
          <cell r="Q12">
            <v>5</v>
          </cell>
          <cell r="R12">
            <v>-0.24</v>
          </cell>
          <cell r="S12">
            <v>-0.3</v>
          </cell>
          <cell r="T12">
            <v>25</v>
          </cell>
          <cell r="U12">
            <v>1754</v>
          </cell>
          <cell r="V12">
            <v>1096</v>
          </cell>
          <cell r="W12">
            <v>30</v>
          </cell>
          <cell r="X12">
            <v>21</v>
          </cell>
          <cell r="Y12">
            <v>411.2</v>
          </cell>
          <cell r="Z12">
            <v>21</v>
          </cell>
          <cell r="AA12">
            <v>1</v>
          </cell>
        </row>
        <row r="13">
          <cell r="B13">
            <v>10</v>
          </cell>
          <cell r="C13">
            <v>10.71</v>
          </cell>
          <cell r="D13">
            <v>10</v>
          </cell>
          <cell r="E13">
            <v>510</v>
          </cell>
          <cell r="F13">
            <v>7</v>
          </cell>
          <cell r="G13">
            <v>3</v>
          </cell>
          <cell r="H13">
            <v>21</v>
          </cell>
          <cell r="I13">
            <v>10710</v>
          </cell>
          <cell r="J13" t="str">
            <v>Trina 510W Mono PERC</v>
          </cell>
          <cell r="K13">
            <v>43.2</v>
          </cell>
          <cell r="L13">
            <v>11.81</v>
          </cell>
          <cell r="M13">
            <v>52.1</v>
          </cell>
          <cell r="N13">
            <v>12.42</v>
          </cell>
          <cell r="O13">
            <v>21.2</v>
          </cell>
          <cell r="P13">
            <v>20</v>
          </cell>
          <cell r="Q13">
            <v>5</v>
          </cell>
          <cell r="R13">
            <v>-0.25</v>
          </cell>
          <cell r="S13">
            <v>-0.34</v>
          </cell>
          <cell r="T13">
            <v>25</v>
          </cell>
          <cell r="U13">
            <v>2187</v>
          </cell>
          <cell r="V13">
            <v>1060</v>
          </cell>
          <cell r="W13">
            <v>35</v>
          </cell>
          <cell r="X13">
            <v>26.5</v>
          </cell>
          <cell r="Y13">
            <v>364.7</v>
          </cell>
          <cell r="Z13">
            <v>18</v>
          </cell>
          <cell r="AA13">
            <v>1</v>
          </cell>
        </row>
        <row r="14">
          <cell r="B14">
            <v>11</v>
          </cell>
          <cell r="C14">
            <v>10</v>
          </cell>
          <cell r="D14">
            <v>6</v>
          </cell>
          <cell r="E14">
            <v>500</v>
          </cell>
          <cell r="F14">
            <v>2</v>
          </cell>
          <cell r="G14">
            <v>10</v>
          </cell>
          <cell r="H14">
            <v>20</v>
          </cell>
          <cell r="I14">
            <v>10000</v>
          </cell>
          <cell r="J14" t="str">
            <v>Trina 500W</v>
          </cell>
          <cell r="K14" t="str">
            <v>42.8 V</v>
          </cell>
          <cell r="L14">
            <v>11.69</v>
          </cell>
          <cell r="M14">
            <v>51.7</v>
          </cell>
          <cell r="N14">
            <v>12.28</v>
          </cell>
          <cell r="O14">
            <v>15.67</v>
          </cell>
          <cell r="P14">
            <v>15</v>
          </cell>
          <cell r="Q14">
            <v>5</v>
          </cell>
          <cell r="R14">
            <v>-0.26</v>
          </cell>
          <cell r="S14">
            <v>-0.36</v>
          </cell>
          <cell r="T14">
            <v>25</v>
          </cell>
          <cell r="U14">
            <v>2176</v>
          </cell>
          <cell r="V14">
            <v>1098</v>
          </cell>
          <cell r="W14">
            <v>35</v>
          </cell>
          <cell r="X14">
            <v>26.3</v>
          </cell>
          <cell r="Y14">
            <v>103.4</v>
          </cell>
          <cell r="Z14">
            <v>13</v>
          </cell>
          <cell r="AA14">
            <v>1</v>
          </cell>
        </row>
        <row r="15">
          <cell r="B15">
            <v>12</v>
          </cell>
          <cell r="C15">
            <v>10.53</v>
          </cell>
          <cell r="D15">
            <v>2</v>
          </cell>
          <cell r="E15">
            <v>390</v>
          </cell>
          <cell r="F15">
            <v>9</v>
          </cell>
          <cell r="G15">
            <v>3</v>
          </cell>
          <cell r="H15">
            <v>27</v>
          </cell>
          <cell r="I15">
            <v>10530</v>
          </cell>
          <cell r="J15" t="str">
            <v>Trina 500W</v>
          </cell>
          <cell r="K15" t="str">
            <v>42.8 V</v>
          </cell>
          <cell r="L15">
            <v>11.69</v>
          </cell>
          <cell r="M15">
            <v>51.7</v>
          </cell>
          <cell r="N15">
            <v>12.28</v>
          </cell>
          <cell r="O15">
            <v>15.67</v>
          </cell>
          <cell r="P15">
            <v>15</v>
          </cell>
          <cell r="Q15">
            <v>5</v>
          </cell>
          <cell r="R15">
            <v>-0.26</v>
          </cell>
          <cell r="S15">
            <v>-0.36</v>
          </cell>
          <cell r="T15">
            <v>25</v>
          </cell>
          <cell r="U15">
            <v>2176</v>
          </cell>
          <cell r="V15">
            <v>1098</v>
          </cell>
          <cell r="W15">
            <v>35</v>
          </cell>
          <cell r="X15">
            <v>26.3</v>
          </cell>
          <cell r="Y15">
            <v>465.3</v>
          </cell>
          <cell r="Z15">
            <v>20</v>
          </cell>
          <cell r="AA15">
            <v>1</v>
          </cell>
        </row>
        <row r="16">
          <cell r="B16">
            <v>0</v>
          </cell>
          <cell r="C16">
            <v>0</v>
          </cell>
        </row>
        <row r="20">
          <cell r="B20">
            <v>1</v>
          </cell>
          <cell r="C20">
            <v>7.68</v>
          </cell>
          <cell r="D20">
            <v>3</v>
          </cell>
          <cell r="E20">
            <v>160</v>
          </cell>
          <cell r="F20">
            <v>4</v>
          </cell>
          <cell r="G20">
            <v>1</v>
          </cell>
          <cell r="H20">
            <v>12</v>
          </cell>
          <cell r="I20">
            <v>48</v>
          </cell>
          <cell r="J20">
            <v>7680</v>
          </cell>
          <cell r="K20" t="str">
            <v>Carbon.AGM</v>
          </cell>
          <cell r="L20">
            <v>4</v>
          </cell>
          <cell r="M20">
            <v>1</v>
          </cell>
        </row>
        <row r="21">
          <cell r="B21">
            <v>2</v>
          </cell>
          <cell r="C21">
            <v>8.16</v>
          </cell>
          <cell r="D21">
            <v>4</v>
          </cell>
          <cell r="E21">
            <v>170</v>
          </cell>
          <cell r="F21">
            <v>4</v>
          </cell>
          <cell r="G21">
            <v>1</v>
          </cell>
          <cell r="H21">
            <v>12</v>
          </cell>
          <cell r="I21">
            <v>48</v>
          </cell>
          <cell r="J21">
            <v>8160</v>
          </cell>
          <cell r="K21" t="str">
            <v>AGM</v>
          </cell>
          <cell r="L21">
            <v>4</v>
          </cell>
          <cell r="M21">
            <v>1</v>
          </cell>
        </row>
        <row r="22">
          <cell r="B22">
            <v>3</v>
          </cell>
          <cell r="C22">
            <v>5.76</v>
          </cell>
          <cell r="D22">
            <v>9</v>
          </cell>
          <cell r="E22">
            <v>120</v>
          </cell>
          <cell r="F22">
            <v>4</v>
          </cell>
          <cell r="G22">
            <v>1</v>
          </cell>
          <cell r="H22">
            <v>12</v>
          </cell>
          <cell r="I22">
            <v>48</v>
          </cell>
          <cell r="J22">
            <v>5760</v>
          </cell>
          <cell r="K22" t="str">
            <v>Carbon.AGM</v>
          </cell>
          <cell r="L22">
            <v>4</v>
          </cell>
          <cell r="M22">
            <v>1</v>
          </cell>
        </row>
        <row r="23">
          <cell r="B23">
            <v>4</v>
          </cell>
          <cell r="C23">
            <v>11.04</v>
          </cell>
          <cell r="D23">
            <v>5</v>
          </cell>
          <cell r="E23">
            <v>230</v>
          </cell>
          <cell r="F23">
            <v>4</v>
          </cell>
          <cell r="G23">
            <v>1</v>
          </cell>
          <cell r="H23">
            <v>12</v>
          </cell>
          <cell r="I23">
            <v>48</v>
          </cell>
          <cell r="J23">
            <v>11040</v>
          </cell>
          <cell r="K23" t="str">
            <v>AGM</v>
          </cell>
          <cell r="L23">
            <v>4</v>
          </cell>
          <cell r="M23">
            <v>1</v>
          </cell>
        </row>
        <row r="24">
          <cell r="B24">
            <v>5</v>
          </cell>
          <cell r="C24">
            <v>23.04</v>
          </cell>
          <cell r="D24">
            <v>3</v>
          </cell>
          <cell r="E24">
            <v>160</v>
          </cell>
          <cell r="F24">
            <v>4</v>
          </cell>
          <cell r="G24">
            <v>3</v>
          </cell>
          <cell r="H24">
            <v>12</v>
          </cell>
          <cell r="I24">
            <v>48</v>
          </cell>
          <cell r="J24">
            <v>23040</v>
          </cell>
          <cell r="K24" t="str">
            <v>Carbon.AGM</v>
          </cell>
          <cell r="L24">
            <v>12</v>
          </cell>
          <cell r="M24">
            <v>1</v>
          </cell>
        </row>
        <row r="25">
          <cell r="B25">
            <v>6</v>
          </cell>
          <cell r="C25">
            <v>14.4</v>
          </cell>
          <cell r="D25">
            <v>2</v>
          </cell>
          <cell r="E25">
            <v>100</v>
          </cell>
          <cell r="F25">
            <v>4</v>
          </cell>
          <cell r="G25">
            <v>3</v>
          </cell>
          <cell r="H25">
            <v>12</v>
          </cell>
          <cell r="I25">
            <v>48</v>
          </cell>
          <cell r="J25">
            <v>14400</v>
          </cell>
          <cell r="K25" t="str">
            <v>AGM</v>
          </cell>
          <cell r="L25">
            <v>12</v>
          </cell>
          <cell r="M25">
            <v>1</v>
          </cell>
        </row>
        <row r="26">
          <cell r="B26">
            <v>7</v>
          </cell>
          <cell r="C26">
            <v>2.88</v>
          </cell>
          <cell r="D26">
            <v>1</v>
          </cell>
          <cell r="E26">
            <v>60</v>
          </cell>
          <cell r="F26">
            <v>4</v>
          </cell>
          <cell r="G26">
            <v>1</v>
          </cell>
          <cell r="H26">
            <v>12</v>
          </cell>
          <cell r="I26">
            <v>48</v>
          </cell>
          <cell r="J26">
            <v>2880</v>
          </cell>
          <cell r="K26" t="str">
            <v>AGM</v>
          </cell>
          <cell r="L26">
            <v>4</v>
          </cell>
          <cell r="M26">
            <v>1</v>
          </cell>
        </row>
        <row r="27">
          <cell r="B27">
            <v>8</v>
          </cell>
          <cell r="C27">
            <v>29.952000000000002</v>
          </cell>
          <cell r="D27">
            <v>6</v>
          </cell>
          <cell r="E27">
            <v>624</v>
          </cell>
          <cell r="F27">
            <v>24</v>
          </cell>
          <cell r="G27">
            <v>1</v>
          </cell>
          <cell r="H27">
            <v>2</v>
          </cell>
          <cell r="I27">
            <v>48</v>
          </cell>
          <cell r="J27">
            <v>29952</v>
          </cell>
          <cell r="K27" t="str">
            <v>Gel</v>
          </cell>
          <cell r="L27">
            <v>24</v>
          </cell>
          <cell r="M27">
            <v>1</v>
          </cell>
        </row>
        <row r="28">
          <cell r="B28">
            <v>9</v>
          </cell>
          <cell r="C28">
            <v>10.199999999999999</v>
          </cell>
          <cell r="D28">
            <v>7</v>
          </cell>
          <cell r="E28">
            <v>100</v>
          </cell>
          <cell r="F28">
            <v>1</v>
          </cell>
          <cell r="G28">
            <v>2</v>
          </cell>
          <cell r="H28">
            <v>51</v>
          </cell>
          <cell r="I28">
            <v>51</v>
          </cell>
          <cell r="J28">
            <v>10200</v>
          </cell>
          <cell r="K28" t="str">
            <v>Lithium</v>
          </cell>
          <cell r="L28">
            <v>2</v>
          </cell>
          <cell r="M28">
            <v>1</v>
          </cell>
        </row>
        <row r="29">
          <cell r="B29">
            <v>10</v>
          </cell>
          <cell r="C29">
            <v>30.6</v>
          </cell>
          <cell r="D29">
            <v>7</v>
          </cell>
          <cell r="E29">
            <v>100</v>
          </cell>
          <cell r="F29">
            <v>1</v>
          </cell>
          <cell r="G29">
            <v>6</v>
          </cell>
          <cell r="H29">
            <v>51</v>
          </cell>
          <cell r="I29">
            <v>51</v>
          </cell>
          <cell r="J29">
            <v>30600</v>
          </cell>
          <cell r="K29" t="str">
            <v>Lithium</v>
          </cell>
          <cell r="L29">
            <v>6</v>
          </cell>
          <cell r="M29">
            <v>1</v>
          </cell>
        </row>
        <row r="30">
          <cell r="B30">
            <v>11</v>
          </cell>
          <cell r="C30">
            <v>24.044799999999999</v>
          </cell>
          <cell r="D30">
            <v>11</v>
          </cell>
          <cell r="E30">
            <v>57.8</v>
          </cell>
          <cell r="F30">
            <v>1</v>
          </cell>
          <cell r="G30">
            <v>8</v>
          </cell>
          <cell r="H30">
            <v>52</v>
          </cell>
          <cell r="I30">
            <v>52</v>
          </cell>
          <cell r="J30">
            <v>24044.799999999999</v>
          </cell>
          <cell r="K30" t="str">
            <v>Carbon.AGM</v>
          </cell>
          <cell r="L30">
            <v>8</v>
          </cell>
          <cell r="M30">
            <v>1</v>
          </cell>
        </row>
        <row r="31">
          <cell r="B31">
            <v>12</v>
          </cell>
          <cell r="C31">
            <v>30.056000000000001</v>
          </cell>
          <cell r="D31">
            <v>11</v>
          </cell>
          <cell r="E31">
            <v>57.8</v>
          </cell>
          <cell r="F31">
            <v>1</v>
          </cell>
          <cell r="G31">
            <v>10</v>
          </cell>
          <cell r="H31">
            <v>52</v>
          </cell>
          <cell r="I31">
            <v>52</v>
          </cell>
          <cell r="J31">
            <v>30056</v>
          </cell>
          <cell r="K31" t="str">
            <v>Carbon.AGM</v>
          </cell>
          <cell r="L31">
            <v>10</v>
          </cell>
          <cell r="M31">
            <v>1</v>
          </cell>
        </row>
        <row r="32">
          <cell r="B32">
            <v>13</v>
          </cell>
          <cell r="C32">
            <v>36.0672</v>
          </cell>
          <cell r="D32">
            <v>11</v>
          </cell>
          <cell r="E32">
            <v>57.8</v>
          </cell>
          <cell r="F32">
            <v>1</v>
          </cell>
          <cell r="G32">
            <v>12</v>
          </cell>
          <cell r="H32">
            <v>52</v>
          </cell>
          <cell r="I32">
            <v>52</v>
          </cell>
          <cell r="J32">
            <v>36067.199999999997</v>
          </cell>
          <cell r="K32" t="str">
            <v>Carbon.AGM</v>
          </cell>
          <cell r="L32">
            <v>12</v>
          </cell>
          <cell r="M32">
            <v>1</v>
          </cell>
        </row>
        <row r="33">
          <cell r="B33">
            <v>14</v>
          </cell>
          <cell r="C33">
            <v>7.9872000000000005</v>
          </cell>
          <cell r="D33">
            <v>12</v>
          </cell>
          <cell r="E33">
            <v>78</v>
          </cell>
          <cell r="F33">
            <v>1</v>
          </cell>
          <cell r="G33">
            <v>2</v>
          </cell>
          <cell r="H33">
            <v>51.2</v>
          </cell>
          <cell r="I33">
            <v>51.2</v>
          </cell>
          <cell r="J33">
            <v>7987.2000000000007</v>
          </cell>
          <cell r="K33" t="str">
            <v>Lithium</v>
          </cell>
          <cell r="L33">
            <v>2</v>
          </cell>
          <cell r="M33">
            <v>1</v>
          </cell>
        </row>
        <row r="34">
          <cell r="B34">
            <v>15</v>
          </cell>
          <cell r="C34">
            <v>9.8304000000000009</v>
          </cell>
          <cell r="D34">
            <v>13</v>
          </cell>
          <cell r="E34">
            <v>64</v>
          </cell>
          <cell r="F34">
            <v>1</v>
          </cell>
          <cell r="G34">
            <v>3</v>
          </cell>
          <cell r="H34">
            <v>51.2</v>
          </cell>
          <cell r="I34">
            <v>51.2</v>
          </cell>
          <cell r="J34">
            <v>9830.4000000000015</v>
          </cell>
          <cell r="K34" t="str">
            <v>Lithium</v>
          </cell>
          <cell r="L34">
            <v>3</v>
          </cell>
          <cell r="M34">
            <v>1</v>
          </cell>
        </row>
        <row r="35">
          <cell r="B35">
            <v>16</v>
          </cell>
          <cell r="C35">
            <v>20.928000000000001</v>
          </cell>
          <cell r="D35">
            <v>10</v>
          </cell>
          <cell r="E35">
            <v>218</v>
          </cell>
          <cell r="F35">
            <v>4</v>
          </cell>
          <cell r="G35">
            <v>2</v>
          </cell>
          <cell r="H35">
            <v>12</v>
          </cell>
          <cell r="I35">
            <v>48</v>
          </cell>
          <cell r="J35">
            <v>20928</v>
          </cell>
          <cell r="K35" t="str">
            <v>Carbon.AGM</v>
          </cell>
          <cell r="L35">
            <v>8</v>
          </cell>
          <cell r="M35">
            <v>1</v>
          </cell>
        </row>
        <row r="36">
          <cell r="B36">
            <v>17</v>
          </cell>
          <cell r="C36">
            <v>45.984000000000002</v>
          </cell>
          <cell r="D36">
            <v>14</v>
          </cell>
          <cell r="E36">
            <v>958</v>
          </cell>
          <cell r="F36">
            <v>24</v>
          </cell>
          <cell r="G36">
            <v>1</v>
          </cell>
          <cell r="H36">
            <v>2</v>
          </cell>
          <cell r="I36">
            <v>48</v>
          </cell>
          <cell r="J36">
            <v>45984</v>
          </cell>
          <cell r="K36" t="str">
            <v>Gel</v>
          </cell>
          <cell r="L36">
            <v>24</v>
          </cell>
          <cell r="M36">
            <v>1</v>
          </cell>
        </row>
      </sheetData>
      <sheetData sheetId="6">
        <row r="2">
          <cell r="M2" t="str">
            <v>Lindeman island</v>
          </cell>
        </row>
        <row r="3">
          <cell r="L3" t="str">
            <v>EC114</v>
          </cell>
        </row>
        <row r="7">
          <cell r="D7" t="str">
            <v>Fridge/Fr</v>
          </cell>
          <cell r="E7" t="str">
            <v>AirCon</v>
          </cell>
          <cell r="F7" t="str">
            <v>HWS</v>
          </cell>
          <cell r="G7" t="str">
            <v>TV</v>
          </cell>
          <cell r="H7" t="str">
            <v>Cooking</v>
          </cell>
          <cell r="I7" t="str">
            <v>Lighting</v>
          </cell>
          <cell r="J7" t="str">
            <v>Appli-ances</v>
          </cell>
          <cell r="K7" t="str">
            <v>System &amp; Comp</v>
          </cell>
          <cell r="U7" t="str">
            <v>Daytime Peak:</v>
          </cell>
        </row>
        <row r="8">
          <cell r="M8">
            <v>0.93898387096774183</v>
          </cell>
          <cell r="P8" t="str">
            <v>Nom.Load</v>
          </cell>
          <cell r="S8" t="str">
            <v>Load.Peak</v>
          </cell>
        </row>
        <row r="9">
          <cell r="D9">
            <v>2.8800000000000017</v>
          </cell>
          <cell r="E9">
            <v>19.05</v>
          </cell>
          <cell r="F9">
            <v>3</v>
          </cell>
          <cell r="G9">
            <v>0.52</v>
          </cell>
          <cell r="H9">
            <v>1.65</v>
          </cell>
          <cell r="I9">
            <v>0.02</v>
          </cell>
          <cell r="J9">
            <v>1.2000000000000002</v>
          </cell>
          <cell r="K9">
            <v>1.4400000000000008</v>
          </cell>
          <cell r="L9">
            <v>29.76</v>
          </cell>
          <cell r="M9">
            <v>31.7</v>
          </cell>
        </row>
        <row r="10">
          <cell r="M10" t="str">
            <v>KWh/day Summer</v>
          </cell>
          <cell r="O10">
            <v>1.03</v>
          </cell>
          <cell r="P10">
            <v>12</v>
          </cell>
          <cell r="S10">
            <v>27</v>
          </cell>
          <cell r="T10">
            <v>27</v>
          </cell>
          <cell r="U10">
            <v>1.5449999999999999</v>
          </cell>
          <cell r="V10" t="str">
            <v>12am</v>
          </cell>
        </row>
        <row r="11">
          <cell r="M11">
            <v>15.507499999999999</v>
          </cell>
          <cell r="O11">
            <v>1.03</v>
          </cell>
          <cell r="P11">
            <v>12</v>
          </cell>
          <cell r="S11">
            <v>27</v>
          </cell>
          <cell r="T11">
            <v>27</v>
          </cell>
          <cell r="U11">
            <v>1.5449999999999999</v>
          </cell>
          <cell r="V11" t="str">
            <v>1am</v>
          </cell>
        </row>
        <row r="12">
          <cell r="M12" t="str">
            <v>KWh/day Winter</v>
          </cell>
          <cell r="O12">
            <v>0.58000000000000007</v>
          </cell>
          <cell r="P12">
            <v>12</v>
          </cell>
          <cell r="S12">
            <v>27</v>
          </cell>
          <cell r="T12">
            <v>27</v>
          </cell>
          <cell r="U12">
            <v>0.87000000000000011</v>
          </cell>
          <cell r="V12" t="str">
            <v>2am</v>
          </cell>
        </row>
        <row r="13">
          <cell r="O13">
            <v>0.58000000000000007</v>
          </cell>
          <cell r="P13">
            <v>12</v>
          </cell>
          <cell r="S13">
            <v>27</v>
          </cell>
          <cell r="T13">
            <v>27</v>
          </cell>
          <cell r="U13">
            <v>0.87000000000000011</v>
          </cell>
          <cell r="V13" t="str">
            <v>3am</v>
          </cell>
        </row>
        <row r="14">
          <cell r="O14">
            <v>0.58000000000000007</v>
          </cell>
          <cell r="P14">
            <v>12</v>
          </cell>
          <cell r="S14">
            <v>27</v>
          </cell>
          <cell r="T14">
            <v>27</v>
          </cell>
          <cell r="U14">
            <v>0.87000000000000011</v>
          </cell>
          <cell r="V14" t="str">
            <v>4am</v>
          </cell>
        </row>
        <row r="15">
          <cell r="M15" t="str">
            <v>KWh Daytime use</v>
          </cell>
          <cell r="O15">
            <v>1.03</v>
          </cell>
          <cell r="P15">
            <v>12</v>
          </cell>
          <cell r="S15">
            <v>27</v>
          </cell>
          <cell r="T15">
            <v>27</v>
          </cell>
          <cell r="U15">
            <v>1.5449999999999999</v>
          </cell>
          <cell r="V15" t="str">
            <v xml:space="preserve">5am </v>
          </cell>
        </row>
        <row r="16">
          <cell r="M16">
            <v>17.817132452719999</v>
          </cell>
          <cell r="O16">
            <v>1.03</v>
          </cell>
          <cell r="P16">
            <v>12</v>
          </cell>
          <cell r="S16">
            <v>27</v>
          </cell>
          <cell r="T16">
            <v>27</v>
          </cell>
          <cell r="U16">
            <v>1.5449999999999999</v>
          </cell>
          <cell r="V16" t="str">
            <v>6am</v>
          </cell>
        </row>
        <row r="17">
          <cell r="M17">
            <v>0.56216397849462363</v>
          </cell>
          <cell r="O17">
            <v>1.1300000000000001</v>
          </cell>
          <cell r="P17">
            <v>12</v>
          </cell>
          <cell r="S17">
            <v>27</v>
          </cell>
          <cell r="T17">
            <v>27</v>
          </cell>
          <cell r="U17">
            <v>1.6950000000000003</v>
          </cell>
          <cell r="V17" t="str">
            <v>7am</v>
          </cell>
        </row>
        <row r="18">
          <cell r="O18">
            <v>1.2300000000000002</v>
          </cell>
          <cell r="P18">
            <v>13</v>
          </cell>
          <cell r="S18">
            <v>27</v>
          </cell>
          <cell r="T18">
            <v>27</v>
          </cell>
          <cell r="U18">
            <v>1.8450000000000002</v>
          </cell>
          <cell r="V18" t="str">
            <v>8am</v>
          </cell>
        </row>
        <row r="19">
          <cell r="O19">
            <v>1.1300000000000001</v>
          </cell>
          <cell r="P19">
            <v>14</v>
          </cell>
          <cell r="S19">
            <v>27</v>
          </cell>
          <cell r="T19">
            <v>27</v>
          </cell>
          <cell r="U19">
            <v>1.6950000000000003</v>
          </cell>
          <cell r="V19" t="str">
            <v>9am</v>
          </cell>
        </row>
        <row r="20">
          <cell r="O20">
            <v>1.23</v>
          </cell>
          <cell r="P20">
            <v>14</v>
          </cell>
          <cell r="S20">
            <v>27</v>
          </cell>
          <cell r="T20">
            <v>27</v>
          </cell>
          <cell r="U20">
            <v>1.845</v>
          </cell>
          <cell r="V20" t="str">
            <v>10am</v>
          </cell>
        </row>
        <row r="21">
          <cell r="O21">
            <v>2.0299999999999998</v>
          </cell>
          <cell r="P21">
            <v>14</v>
          </cell>
          <cell r="S21">
            <v>27</v>
          </cell>
          <cell r="T21">
            <v>27</v>
          </cell>
          <cell r="U21">
            <v>3.0449999999999999</v>
          </cell>
          <cell r="V21" t="str">
            <v>11am</v>
          </cell>
        </row>
        <row r="22">
          <cell r="O22">
            <v>1.88</v>
          </cell>
          <cell r="P22">
            <v>14</v>
          </cell>
          <cell r="S22">
            <v>27</v>
          </cell>
          <cell r="T22">
            <v>27</v>
          </cell>
          <cell r="U22">
            <v>2.82</v>
          </cell>
          <cell r="V22" t="str">
            <v>12pm</v>
          </cell>
        </row>
        <row r="23">
          <cell r="O23">
            <v>2.0299999999999998</v>
          </cell>
          <cell r="P23">
            <v>14</v>
          </cell>
          <cell r="S23">
            <v>27</v>
          </cell>
          <cell r="T23">
            <v>27</v>
          </cell>
          <cell r="U23">
            <v>3.0449999999999999</v>
          </cell>
          <cell r="V23" t="str">
            <v>1pm</v>
          </cell>
        </row>
        <row r="24">
          <cell r="O24">
            <v>1.53</v>
          </cell>
          <cell r="P24">
            <v>14</v>
          </cell>
          <cell r="S24">
            <v>27</v>
          </cell>
          <cell r="T24">
            <v>27</v>
          </cell>
          <cell r="U24">
            <v>2.2949999999999999</v>
          </cell>
          <cell r="V24" t="str">
            <v>2pm</v>
          </cell>
        </row>
        <row r="25">
          <cell r="O25">
            <v>1.18</v>
          </cell>
          <cell r="P25">
            <v>14</v>
          </cell>
          <cell r="S25">
            <v>27</v>
          </cell>
          <cell r="T25">
            <v>27</v>
          </cell>
          <cell r="U25">
            <v>1.77</v>
          </cell>
          <cell r="V25" t="str">
            <v>3pm</v>
          </cell>
        </row>
        <row r="26">
          <cell r="O26">
            <v>1.23</v>
          </cell>
          <cell r="P26">
            <v>13</v>
          </cell>
          <cell r="S26">
            <v>27</v>
          </cell>
          <cell r="T26">
            <v>27</v>
          </cell>
          <cell r="U26">
            <v>1.845</v>
          </cell>
          <cell r="V26" t="str">
            <v>4pm</v>
          </cell>
        </row>
        <row r="27">
          <cell r="M27" t="str">
            <v>KWh Night use</v>
          </cell>
          <cell r="O27">
            <v>1.1000000000000001</v>
          </cell>
          <cell r="P27">
            <v>12</v>
          </cell>
          <cell r="S27">
            <v>27</v>
          </cell>
          <cell r="T27">
            <v>27</v>
          </cell>
          <cell r="U27">
            <v>1.6500000000000001</v>
          </cell>
          <cell r="V27" t="str">
            <v>5pm</v>
          </cell>
        </row>
        <row r="28">
          <cell r="M28">
            <v>13.876702681347375</v>
          </cell>
          <cell r="O28">
            <v>2.16</v>
          </cell>
          <cell r="P28">
            <v>12</v>
          </cell>
          <cell r="S28">
            <v>27</v>
          </cell>
          <cell r="T28">
            <v>27</v>
          </cell>
          <cell r="U28">
            <v>3.24</v>
          </cell>
          <cell r="V28" t="str">
            <v>6pm</v>
          </cell>
        </row>
        <row r="29">
          <cell r="M29">
            <v>0.43775087322862383</v>
          </cell>
          <cell r="O29">
            <v>1.4100000000000001</v>
          </cell>
          <cell r="P29">
            <v>12</v>
          </cell>
          <cell r="S29">
            <v>27</v>
          </cell>
          <cell r="T29">
            <v>27</v>
          </cell>
          <cell r="U29">
            <v>2.1150000000000002</v>
          </cell>
          <cell r="V29" t="str">
            <v>7pm</v>
          </cell>
        </row>
        <row r="30">
          <cell r="O30">
            <v>1.4100000000000001</v>
          </cell>
          <cell r="P30">
            <v>12</v>
          </cell>
          <cell r="S30">
            <v>27</v>
          </cell>
          <cell r="T30">
            <v>27</v>
          </cell>
          <cell r="U30">
            <v>2.1150000000000002</v>
          </cell>
          <cell r="V30" t="str">
            <v>8pm</v>
          </cell>
        </row>
        <row r="31">
          <cell r="O31">
            <v>1.1600000000000001</v>
          </cell>
          <cell r="P31">
            <v>12</v>
          </cell>
          <cell r="S31">
            <v>27</v>
          </cell>
          <cell r="T31">
            <v>27</v>
          </cell>
          <cell r="U31">
            <v>1.7400000000000002</v>
          </cell>
          <cell r="V31" t="str">
            <v>9pm</v>
          </cell>
        </row>
        <row r="32">
          <cell r="O32">
            <v>1.03</v>
          </cell>
          <cell r="P32">
            <v>12</v>
          </cell>
          <cell r="S32">
            <v>27</v>
          </cell>
          <cell r="T32">
            <v>27</v>
          </cell>
          <cell r="U32">
            <v>1.5449999999999999</v>
          </cell>
          <cell r="V32" t="str">
            <v>10pm</v>
          </cell>
        </row>
        <row r="33">
          <cell r="O33">
            <v>1.03</v>
          </cell>
          <cell r="P33">
            <v>12</v>
          </cell>
          <cell r="S33">
            <v>27</v>
          </cell>
          <cell r="T33">
            <v>27</v>
          </cell>
          <cell r="U33">
            <v>1.5449999999999999</v>
          </cell>
          <cell r="V33" t="str">
            <v>11pm</v>
          </cell>
        </row>
        <row r="34">
          <cell r="O34">
            <v>1.03</v>
          </cell>
          <cell r="P34">
            <v>12</v>
          </cell>
          <cell r="S34">
            <v>27</v>
          </cell>
          <cell r="T34">
            <v>27</v>
          </cell>
          <cell r="U34">
            <v>1.5449999999999999</v>
          </cell>
          <cell r="V34" t="str">
            <v>12pm</v>
          </cell>
        </row>
        <row r="91">
          <cell r="B91">
            <v>29.9</v>
          </cell>
          <cell r="C91">
            <v>29.7</v>
          </cell>
          <cell r="D91">
            <v>28.9</v>
          </cell>
          <cell r="E91">
            <v>27</v>
          </cell>
          <cell r="F91">
            <v>24.3</v>
          </cell>
          <cell r="G91">
            <v>22.3</v>
          </cell>
          <cell r="H91">
            <v>21.5</v>
          </cell>
          <cell r="I91">
            <v>22.9</v>
          </cell>
          <cell r="J91">
            <v>25.3</v>
          </cell>
          <cell r="K91">
            <v>27.4</v>
          </cell>
          <cell r="L91">
            <v>28.7</v>
          </cell>
          <cell r="M91">
            <v>29.9</v>
          </cell>
        </row>
        <row r="92">
          <cell r="B92">
            <v>24.9</v>
          </cell>
          <cell r="C92">
            <v>24.8</v>
          </cell>
          <cell r="D92">
            <v>24.4</v>
          </cell>
          <cell r="E92">
            <v>22.8</v>
          </cell>
          <cell r="F92">
            <v>20.6</v>
          </cell>
          <cell r="G92">
            <v>18.899999999999999</v>
          </cell>
          <cell r="H92">
            <v>18</v>
          </cell>
          <cell r="I92">
            <v>18.5</v>
          </cell>
          <cell r="J92">
            <v>20.2</v>
          </cell>
          <cell r="K92">
            <v>22.1</v>
          </cell>
          <cell r="L92">
            <v>23.4</v>
          </cell>
          <cell r="M92">
            <v>24.6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K20.K33.systems"/>
      <sheetName val="PK19.Arrays"/>
      <sheetName val="A0049.BOS1"/>
      <sheetName val="Gens"/>
      <sheetName val="PK18.old"/>
    </sheetNames>
    <sheetDataSet>
      <sheetData sheetId="0"/>
      <sheetData sheetId="1"/>
      <sheetData sheetId="2">
        <row r="6">
          <cell r="G6">
            <v>91.1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ppliers"/>
      <sheetName val="Margins"/>
      <sheetName val="0-ecoCool"/>
      <sheetName val="1-Victron"/>
      <sheetName val="2-Krannich"/>
      <sheetName val="3-Tradezone"/>
      <sheetName val="4-Plasmatronics"/>
      <sheetName val="5-"/>
      <sheetName val="6-Various"/>
      <sheetName val="7-Baywa"/>
      <sheetName val="8-Batteries"/>
      <sheetName val="9-"/>
      <sheetName val="10-RFI"/>
      <sheetName val="11-DKSH"/>
      <sheetName val="12-"/>
      <sheetName val="13-"/>
      <sheetName val="14-MHPower"/>
    </sheetNames>
    <sheetDataSet>
      <sheetData sheetId="0">
        <row r="2">
          <cell r="A2" t="str">
            <v>Item Code</v>
          </cell>
          <cell r="J2" t="str">
            <v>Xero.Acct?</v>
          </cell>
        </row>
        <row r="3">
          <cell r="A3" t="str">
            <v>*SKU</v>
          </cell>
          <cell r="B3" t="str">
            <v>Description</v>
          </cell>
          <cell r="C3" t="str">
            <v>Stock</v>
          </cell>
          <cell r="D3" t="str">
            <v>MPN</v>
          </cell>
          <cell r="E3" t="str">
            <v>temp</v>
          </cell>
          <cell r="F3" t="str">
            <v>Sell Ex GST</v>
          </cell>
          <cell r="G3" t="str">
            <v>Buy Ex GST</v>
          </cell>
          <cell r="H3" t="str">
            <v>Supplier1 ⌂</v>
          </cell>
          <cell r="I3" t="str">
            <v>Margin</v>
          </cell>
          <cell r="J3" t="str">
            <v>Column1</v>
          </cell>
        </row>
        <row r="4">
          <cell r="A4" t="str">
            <v>B0001</v>
          </cell>
          <cell r="B4" t="str">
            <v xml:space="preserve"> Grille Plastic DIA200mm c/w Ma</v>
          </cell>
          <cell r="C4">
            <v>0</v>
          </cell>
          <cell r="D4">
            <v>0</v>
          </cell>
          <cell r="F4">
            <v>0</v>
          </cell>
          <cell r="G4">
            <v>0</v>
          </cell>
          <cell r="H4" t="str">
            <v>19-</v>
          </cell>
          <cell r="I4">
            <v>0</v>
          </cell>
        </row>
        <row r="5">
          <cell r="A5" t="str">
            <v>B0002</v>
          </cell>
          <cell r="B5" t="str">
            <v xml:space="preserve"> Fan SanAce 150 14.4W 12V, (San</v>
          </cell>
          <cell r="D5">
            <v>0</v>
          </cell>
          <cell r="F5">
            <v>0</v>
          </cell>
          <cell r="G5">
            <v>0</v>
          </cell>
          <cell r="I5">
            <v>0</v>
          </cell>
        </row>
        <row r="6">
          <cell r="A6" t="str">
            <v>B0003</v>
          </cell>
          <cell r="B6" t="str">
            <v xml:space="preserve"> Rivet Multi-Grip (3.2 diam-0.8-4.8 grip)Alu</v>
          </cell>
          <cell r="D6">
            <v>0</v>
          </cell>
          <cell r="F6">
            <v>0</v>
          </cell>
          <cell r="G6">
            <v>0</v>
          </cell>
          <cell r="I6">
            <v>0</v>
          </cell>
        </row>
        <row r="7">
          <cell r="A7" t="str">
            <v>B0004</v>
          </cell>
          <cell r="B7" t="str">
            <v xml:space="preserve"> Terminal Block 12 Pole 5A</v>
          </cell>
          <cell r="D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A8" t="str">
            <v>B0005</v>
          </cell>
          <cell r="B8" t="str">
            <v xml:space="preserve"> Mesh Polyester 18/14 610mm Wid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</row>
        <row r="9">
          <cell r="A9" t="str">
            <v>B0006</v>
          </cell>
          <cell r="B9" t="str">
            <v xml:space="preserve"> Screw 6Gx5/8" Pan Phil S/T Z/P</v>
          </cell>
          <cell r="D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A10" t="str">
            <v>B0007</v>
          </cell>
          <cell r="B10" t="str">
            <v xml:space="preserve"> Switch 10A Plastic White (HPM</v>
          </cell>
          <cell r="D10">
            <v>0</v>
          </cell>
          <cell r="F10">
            <v>0</v>
          </cell>
          <cell r="G10">
            <v>0</v>
          </cell>
          <cell r="I10">
            <v>0</v>
          </cell>
        </row>
        <row r="11">
          <cell r="A11" t="str">
            <v>B0008</v>
          </cell>
          <cell r="B11" t="str">
            <v xml:space="preserve"> Solar Panel 20W Solar-e</v>
          </cell>
          <cell r="D11">
            <v>0</v>
          </cell>
          <cell r="F11">
            <v>0</v>
          </cell>
          <cell r="G11">
            <v>0</v>
          </cell>
          <cell r="I11">
            <v>0</v>
          </cell>
        </row>
        <row r="12">
          <cell r="A12" t="str">
            <v>B0009</v>
          </cell>
          <cell r="B12" t="str">
            <v>Paper Paper A4 Sheet 80GSM White</v>
          </cell>
          <cell r="D12" t="str">
            <v>Paper-A4</v>
          </cell>
          <cell r="F12">
            <v>1.5384615384615384E-2</v>
          </cell>
          <cell r="G12">
            <v>0.01</v>
          </cell>
          <cell r="H12" t="str">
            <v>6-Various</v>
          </cell>
          <cell r="I12">
            <v>0.35</v>
          </cell>
        </row>
        <row r="13">
          <cell r="A13" t="str">
            <v>B0010</v>
          </cell>
          <cell r="B13" t="str">
            <v xml:space="preserve"> Label Adhesive 25.4x10mm Heavy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</row>
        <row r="14">
          <cell r="A14" t="str">
            <v>B0011</v>
          </cell>
          <cell r="B14" t="str">
            <v xml:space="preserve"> Label Adhesive 63.5x29.6mm Hea</v>
          </cell>
          <cell r="D14">
            <v>0</v>
          </cell>
          <cell r="F14">
            <v>0</v>
          </cell>
          <cell r="G14">
            <v>0</v>
          </cell>
          <cell r="I14">
            <v>0</v>
          </cell>
        </row>
        <row r="15">
          <cell r="A15" t="str">
            <v>B0012</v>
          </cell>
          <cell r="B15" t="str">
            <v xml:space="preserve"> Paper A5 Sheet 80GSM White (Re</v>
          </cell>
          <cell r="D15">
            <v>0</v>
          </cell>
          <cell r="F15">
            <v>0</v>
          </cell>
          <cell r="G15">
            <v>0</v>
          </cell>
          <cell r="I15">
            <v>0</v>
          </cell>
        </row>
        <row r="16">
          <cell r="A16" t="str">
            <v>B0013</v>
          </cell>
          <cell r="B16" t="str">
            <v xml:space="preserve"> Label Adhesive 99.1x38.1mm Las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</row>
        <row r="17">
          <cell r="A17" t="str">
            <v>B0014</v>
          </cell>
          <cell r="B17" t="str">
            <v xml:space="preserve"> Switch Cord Pull 10A (HPM# HPM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</row>
        <row r="18">
          <cell r="A18" t="str">
            <v>B0015</v>
          </cell>
          <cell r="B18" t="str">
            <v>Wattmaster Cable Lug 50mm Cable 8mm Hole</v>
          </cell>
          <cell r="D18" t="str">
            <v>ALCL50M8/10</v>
          </cell>
          <cell r="F18">
            <v>1.8769230769230769</v>
          </cell>
          <cell r="G18">
            <v>1.22</v>
          </cell>
          <cell r="H18" t="str">
            <v>3-Tradezone</v>
          </cell>
          <cell r="I18">
            <v>0.35</v>
          </cell>
        </row>
        <row r="19">
          <cell r="A19" t="str">
            <v>B0016</v>
          </cell>
          <cell r="B19" t="str">
            <v>B&amp;R Polynova IP55 enclosure 300Hx220Wx100D</v>
          </cell>
          <cell r="D19" t="str">
            <v>PJ302210</v>
          </cell>
          <cell r="F19">
            <v>49.938461538461539</v>
          </cell>
          <cell r="G19">
            <v>32.46</v>
          </cell>
          <cell r="H19" t="str">
            <v>3-Tradezone</v>
          </cell>
          <cell r="I19">
            <v>0.35</v>
          </cell>
        </row>
        <row r="20">
          <cell r="A20" t="str">
            <v>B0017</v>
          </cell>
          <cell r="B20" t="str">
            <v xml:space="preserve"> Screw M5x10 CSK Phil Z/P</v>
          </cell>
          <cell r="D20">
            <v>0</v>
          </cell>
          <cell r="F20">
            <v>0</v>
          </cell>
          <cell r="G20">
            <v>0</v>
          </cell>
          <cell r="I20">
            <v>0</v>
          </cell>
        </row>
        <row r="21">
          <cell r="A21" t="str">
            <v>B0018</v>
          </cell>
          <cell r="B21" t="str">
            <v xml:space="preserve"> Nut M5 S/Steel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</row>
        <row r="22">
          <cell r="A22" t="str">
            <v>B0019</v>
          </cell>
          <cell r="B22" t="str">
            <v xml:space="preserve"> Washer M5 Flat S/S304</v>
          </cell>
          <cell r="D22">
            <v>0</v>
          </cell>
          <cell r="F22">
            <v>0</v>
          </cell>
          <cell r="G22">
            <v>0</v>
          </cell>
          <cell r="I22">
            <v>0</v>
          </cell>
        </row>
        <row r="23">
          <cell r="A23" t="str">
            <v>B0020</v>
          </cell>
          <cell r="B23" t="str">
            <v xml:space="preserve"> Poly Tube (Packing) 450mmx120m</v>
          </cell>
          <cell r="D23">
            <v>0</v>
          </cell>
          <cell r="F23">
            <v>0</v>
          </cell>
          <cell r="G23">
            <v>0</v>
          </cell>
          <cell r="I23">
            <v>0</v>
          </cell>
        </row>
        <row r="24">
          <cell r="A24" t="str">
            <v>B0021</v>
          </cell>
          <cell r="B24" t="str">
            <v xml:space="preserve"> Bag Poly 100x150mmx30um PE Clr</v>
          </cell>
          <cell r="D24">
            <v>0</v>
          </cell>
          <cell r="F24">
            <v>0</v>
          </cell>
          <cell r="G24">
            <v>0</v>
          </cell>
          <cell r="I24">
            <v>0</v>
          </cell>
        </row>
        <row r="25">
          <cell r="A25" t="str">
            <v>B0022</v>
          </cell>
          <cell r="B25" t="str">
            <v xml:space="preserve"> Screw Roofing 12Gx50 S/T Hex c</v>
          </cell>
          <cell r="D25">
            <v>0</v>
          </cell>
          <cell r="F25">
            <v>0</v>
          </cell>
          <cell r="G25">
            <v>0</v>
          </cell>
          <cell r="I25">
            <v>0</v>
          </cell>
        </row>
        <row r="26">
          <cell r="A26" t="str">
            <v>B0023</v>
          </cell>
          <cell r="B26" t="str">
            <v xml:space="preserve"> Ducting Nude Dia150mm x 6m Pol</v>
          </cell>
          <cell r="D26">
            <v>0</v>
          </cell>
          <cell r="F26">
            <v>0</v>
          </cell>
          <cell r="G26">
            <v>0</v>
          </cell>
          <cell r="I26">
            <v>0</v>
          </cell>
        </row>
        <row r="27">
          <cell r="A27" t="str">
            <v>B0024</v>
          </cell>
          <cell r="B27" t="str">
            <v xml:space="preserve"> Ducting Start Collar Dia150mm</v>
          </cell>
          <cell r="D27">
            <v>0</v>
          </cell>
          <cell r="F27">
            <v>0</v>
          </cell>
          <cell r="G27">
            <v>0</v>
          </cell>
          <cell r="I27">
            <v>0</v>
          </cell>
        </row>
        <row r="28">
          <cell r="A28" t="str">
            <v>B0025</v>
          </cell>
          <cell r="B28" t="str">
            <v xml:space="preserve"> Cardboard Packing 405x300x255</v>
          </cell>
          <cell r="D28" t="str">
            <v>Cable Lug 50mmx10mm Copper Crimp</v>
          </cell>
          <cell r="F28">
            <v>0</v>
          </cell>
          <cell r="G28">
            <v>0</v>
          </cell>
          <cell r="I28">
            <v>0</v>
          </cell>
        </row>
        <row r="29">
          <cell r="A29" t="str">
            <v>B0026</v>
          </cell>
          <cell r="B29" t="str">
            <v xml:space="preserve"> Fan Dia150mm 12Vdc 10W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</row>
        <row r="30">
          <cell r="A30" t="str">
            <v>B0027</v>
          </cell>
          <cell r="B30" t="str">
            <v xml:space="preserve"> Screw 10Gx5/8" Pan Phil S/T SS</v>
          </cell>
          <cell r="D30">
            <v>0</v>
          </cell>
          <cell r="F30">
            <v>0</v>
          </cell>
          <cell r="G30">
            <v>0</v>
          </cell>
          <cell r="I30">
            <v>0</v>
          </cell>
        </row>
        <row r="31">
          <cell r="A31" t="str">
            <v>B0028</v>
          </cell>
          <cell r="B31" t="str">
            <v xml:space="preserve"> Grille (Ducting) Dia150mm Sq P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</row>
        <row r="32">
          <cell r="A32" t="str">
            <v>B0029</v>
          </cell>
          <cell r="B32" t="str">
            <v>Wattmaster Cable Lug 50mm2 Cable 10mm Hole</v>
          </cell>
          <cell r="D32" t="str">
            <v>ALCL50M10/10</v>
          </cell>
          <cell r="F32">
            <v>1.8615384615384614</v>
          </cell>
          <cell r="G32">
            <v>1.21</v>
          </cell>
          <cell r="H32" t="str">
            <v>3-Tradezone</v>
          </cell>
          <cell r="I32">
            <v>0.35</v>
          </cell>
        </row>
        <row r="33">
          <cell r="A33" t="str">
            <v>B0030</v>
          </cell>
          <cell r="B33" t="str">
            <v xml:space="preserve"> Fuse 100A Battery Terminal</v>
          </cell>
          <cell r="D33">
            <v>0</v>
          </cell>
          <cell r="F33">
            <v>0</v>
          </cell>
          <cell r="G33">
            <v>0</v>
          </cell>
          <cell r="I33">
            <v>0</v>
          </cell>
        </row>
        <row r="34">
          <cell r="A34" t="str">
            <v>B0031</v>
          </cell>
          <cell r="B34" t="str">
            <v xml:space="preserve"> Voltage Regulator 12V 2A</v>
          </cell>
          <cell r="D34">
            <v>0</v>
          </cell>
          <cell r="F34">
            <v>0</v>
          </cell>
          <cell r="G34">
            <v>0</v>
          </cell>
          <cell r="I34">
            <v>0</v>
          </cell>
        </row>
        <row r="35">
          <cell r="A35" t="str">
            <v>B0032</v>
          </cell>
          <cell r="B35" t="str">
            <v xml:space="preserve"> Heatshrink 2.5mm x1.2m Black</v>
          </cell>
          <cell r="D35">
            <v>0</v>
          </cell>
          <cell r="F35">
            <v>0</v>
          </cell>
          <cell r="G35">
            <v>0</v>
          </cell>
          <cell r="I35">
            <v>0</v>
          </cell>
        </row>
        <row r="36">
          <cell r="A36" t="str">
            <v>B0033</v>
          </cell>
          <cell r="B36" t="str">
            <v xml:space="preserve"> Cable Link 100A 7 Terminal Black 6x16mm2+1x35mm2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</row>
        <row r="37">
          <cell r="A37" t="str">
            <v>B0034</v>
          </cell>
          <cell r="B37" t="str">
            <v>Plasmatronics 10A 12V Solar Charge Controller (LA)</v>
          </cell>
          <cell r="D37" t="str">
            <v>PR1210</v>
          </cell>
          <cell r="F37">
            <v>105.8875</v>
          </cell>
          <cell r="G37">
            <v>81.11</v>
          </cell>
          <cell r="H37" t="str">
            <v>4-Plasmatronics</v>
          </cell>
          <cell r="I37">
            <v>0.15736040609137059</v>
          </cell>
        </row>
        <row r="38">
          <cell r="A38" t="str">
            <v>B0035</v>
          </cell>
          <cell r="B38" t="str">
            <v>Plasmatronics 10A 12V Solar Charge Controller (Gel)</v>
          </cell>
          <cell r="D38" t="str">
            <v>PR1210L</v>
          </cell>
          <cell r="F38">
            <v>111.0883</v>
          </cell>
          <cell r="G38">
            <v>85.1</v>
          </cell>
          <cell r="H38" t="str">
            <v>4-Plasmatronics</v>
          </cell>
          <cell r="I38">
            <v>0.15736040609137059</v>
          </cell>
        </row>
        <row r="39">
          <cell r="A39" t="str">
            <v>B0036</v>
          </cell>
          <cell r="B39" t="str">
            <v>Plasmatronics PL40 40A Solar Charge Controller</v>
          </cell>
          <cell r="D39" t="str">
            <v>PL40</v>
          </cell>
          <cell r="F39">
            <v>537.77060000000006</v>
          </cell>
          <cell r="G39">
            <v>411.95</v>
          </cell>
          <cell r="H39" t="str">
            <v>4-Plasmatronics</v>
          </cell>
          <cell r="I39">
            <v>0.15736040609137059</v>
          </cell>
        </row>
        <row r="40">
          <cell r="A40" t="str">
            <v>B0037</v>
          </cell>
          <cell r="B40" t="str">
            <v>Victron 30W Solar Panel 12V</v>
          </cell>
          <cell r="D40" t="str">
            <v>SPP040301200</v>
          </cell>
          <cell r="F40">
            <v>0</v>
          </cell>
          <cell r="G40">
            <v>37.969904761904765</v>
          </cell>
          <cell r="H40" t="str">
            <v>1-Victron</v>
          </cell>
          <cell r="I40">
            <v>0.31111111111111112</v>
          </cell>
        </row>
        <row r="41">
          <cell r="A41" t="str">
            <v>B0038</v>
          </cell>
          <cell r="B41" t="str">
            <v>VICTRON AGM Super Cycle Batt. (M5) 12V25Ah</v>
          </cell>
          <cell r="D41" t="str">
            <v>BAT412025081</v>
          </cell>
          <cell r="F41">
            <v>0</v>
          </cell>
          <cell r="G41">
            <v>65.643809523809523</v>
          </cell>
          <cell r="H41" t="str">
            <v>1-Victron</v>
          </cell>
          <cell r="I41">
            <v>0.31111111111111112</v>
          </cell>
        </row>
        <row r="42">
          <cell r="A42" t="str">
            <v>B0039</v>
          </cell>
          <cell r="B42" t="str">
            <v>Plasmatronics PL20 20A Solar Charge Controller</v>
          </cell>
          <cell r="D42" t="str">
            <v>PL20</v>
          </cell>
          <cell r="F42">
            <v>432.81885</v>
          </cell>
          <cell r="G42">
            <v>331.55</v>
          </cell>
          <cell r="H42" t="str">
            <v>4-Plasmatronics</v>
          </cell>
          <cell r="I42">
            <v>0.15736040609137059</v>
          </cell>
        </row>
        <row r="43">
          <cell r="A43" t="str">
            <v>B0040</v>
          </cell>
          <cell r="B43" t="str">
            <v xml:space="preserve"> SOLAR CHRG CONT 60A PL60  PLA</v>
          </cell>
          <cell r="D43">
            <v>0</v>
          </cell>
          <cell r="F43">
            <v>0</v>
          </cell>
          <cell r="G43">
            <v>0</v>
          </cell>
          <cell r="I43">
            <v>0</v>
          </cell>
        </row>
        <row r="44">
          <cell r="A44" t="str">
            <v>B0041</v>
          </cell>
          <cell r="B44" t="str">
            <v>SMA  Sunny Boy 3.0kW Inverter</v>
          </cell>
          <cell r="D44" t="str">
            <v>SB 3.0-1</v>
          </cell>
          <cell r="F44">
            <v>1785.7142857142858</v>
          </cell>
          <cell r="G44">
            <v>1250</v>
          </cell>
          <cell r="H44" t="str">
            <v>2-Krannich</v>
          </cell>
          <cell r="I44">
            <v>0.3</v>
          </cell>
        </row>
        <row r="45">
          <cell r="A45" t="str">
            <v>B0042</v>
          </cell>
          <cell r="B45" t="str">
            <v>SMA  Sunny Boy 4.0kW Inverter</v>
          </cell>
          <cell r="D45" t="str">
            <v>SB 4.0-1</v>
          </cell>
          <cell r="F45">
            <v>1998.5714285714287</v>
          </cell>
          <cell r="G45">
            <v>1399</v>
          </cell>
          <cell r="H45" t="str">
            <v>2-Krannich</v>
          </cell>
          <cell r="I45">
            <v>0.3</v>
          </cell>
        </row>
        <row r="46">
          <cell r="A46" t="str">
            <v>B0043</v>
          </cell>
          <cell r="B46" t="str">
            <v>Victron BlueSolar PWM Lite12/24V-20A</v>
          </cell>
          <cell r="D46" t="str">
            <v>SCC010020020</v>
          </cell>
          <cell r="F46">
            <v>42.300000000000004</v>
          </cell>
          <cell r="G46">
            <v>29.14</v>
          </cell>
          <cell r="H46" t="str">
            <v>1-Victron</v>
          </cell>
          <cell r="I46">
            <v>0.31111111111111112</v>
          </cell>
        </row>
        <row r="47">
          <cell r="A47" t="str">
            <v>B0044</v>
          </cell>
          <cell r="B47" t="str">
            <v>Victron BlueSolar PWM Lite12/24V-10A</v>
          </cell>
          <cell r="D47" t="str">
            <v>SCC010010000</v>
          </cell>
          <cell r="F47">
            <v>31.5</v>
          </cell>
          <cell r="G47">
            <v>21.7</v>
          </cell>
          <cell r="H47" t="str">
            <v>1-Victron</v>
          </cell>
          <cell r="I47">
            <v>0.31111111111111112</v>
          </cell>
        </row>
        <row r="48">
          <cell r="A48" t="str">
            <v>B0045</v>
          </cell>
          <cell r="B48" t="str">
            <v>Victron BlueSolar PWM Lite12/24V-5A</v>
          </cell>
          <cell r="D48" t="str">
            <v>SCC010005000</v>
          </cell>
          <cell r="F48">
            <v>27</v>
          </cell>
          <cell r="G48">
            <v>18.600000000000001</v>
          </cell>
          <cell r="H48" t="str">
            <v>1-Victron</v>
          </cell>
          <cell r="I48">
            <v>0.31111111111111112</v>
          </cell>
        </row>
        <row r="49">
          <cell r="A49" t="str">
            <v>B0046</v>
          </cell>
          <cell r="B49" t="str">
            <v>Victron BlueSolar PWM Lite12/24V-30A</v>
          </cell>
          <cell r="D49" t="str">
            <v>SCC010030020</v>
          </cell>
          <cell r="F49">
            <v>58.5</v>
          </cell>
          <cell r="G49">
            <v>40.299999999999997</v>
          </cell>
          <cell r="H49" t="str">
            <v>1-Victron</v>
          </cell>
          <cell r="I49">
            <v>0.31111111111111112</v>
          </cell>
        </row>
        <row r="50">
          <cell r="A50" t="str">
            <v>B0047</v>
          </cell>
          <cell r="B50" t="str">
            <v>Victron 20W Poly Solar Panel 12V</v>
          </cell>
          <cell r="D50" t="str">
            <v>SPP040201200</v>
          </cell>
          <cell r="F50">
            <v>0</v>
          </cell>
          <cell r="G50">
            <v>33.3125</v>
          </cell>
          <cell r="H50" t="str">
            <v>1-Victron</v>
          </cell>
          <cell r="I50">
            <v>0.31111111111111112</v>
          </cell>
        </row>
        <row r="51">
          <cell r="A51" t="str">
            <v>B0048</v>
          </cell>
          <cell r="B51" t="str">
            <v xml:space="preserve"> SOLAR PANEL 150W 12V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</row>
        <row r="52">
          <cell r="A52" t="str">
            <v>B0049</v>
          </cell>
          <cell r="B52" t="str">
            <v xml:space="preserve"> SOLAR PANEL 80W</v>
          </cell>
          <cell r="D52">
            <v>0</v>
          </cell>
          <cell r="F52">
            <v>0</v>
          </cell>
          <cell r="G52">
            <v>0</v>
          </cell>
          <cell r="I52">
            <v>0</v>
          </cell>
        </row>
        <row r="53">
          <cell r="A53" t="str">
            <v>B0050</v>
          </cell>
          <cell r="B53" t="str">
            <v xml:space="preserve"> SOLAR PANEL 120W</v>
          </cell>
          <cell r="D53">
            <v>0</v>
          </cell>
          <cell r="F53">
            <v>0</v>
          </cell>
          <cell r="G53">
            <v>0</v>
          </cell>
          <cell r="I53">
            <v>0</v>
          </cell>
        </row>
        <row r="54">
          <cell r="A54" t="str">
            <v>B0051</v>
          </cell>
          <cell r="B54" t="str">
            <v>ecoCool 12V Digital Timer Switch</v>
          </cell>
          <cell r="D54" t="str">
            <v>12V Timer</v>
          </cell>
          <cell r="F54">
            <v>55.38461538461538</v>
          </cell>
          <cell r="G54">
            <v>36</v>
          </cell>
          <cell r="H54" t="str">
            <v>6-Various</v>
          </cell>
          <cell r="I54">
            <v>0.35</v>
          </cell>
        </row>
        <row r="55">
          <cell r="A55" t="str">
            <v>B0052</v>
          </cell>
          <cell r="B55" t="str">
            <v>NHP Switch, Isolator 20A</v>
          </cell>
          <cell r="D55" t="str">
            <v>NL120S</v>
          </cell>
          <cell r="F55">
            <v>15.538461538461537</v>
          </cell>
          <cell r="G55">
            <v>10.1</v>
          </cell>
          <cell r="H55" t="str">
            <v>3-Tradezone</v>
          </cell>
          <cell r="I55">
            <v>0.35</v>
          </cell>
        </row>
        <row r="56">
          <cell r="A56" t="str">
            <v>B0053</v>
          </cell>
          <cell r="B56" t="str">
            <v>Victron 20W Solar Panel 12V</v>
          </cell>
          <cell r="D56" t="str">
            <v>SPP040201200</v>
          </cell>
          <cell r="F56">
            <v>0</v>
          </cell>
          <cell r="G56">
            <v>0</v>
          </cell>
          <cell r="I56">
            <v>0</v>
          </cell>
        </row>
        <row r="57">
          <cell r="A57" t="str">
            <v>B0054</v>
          </cell>
          <cell r="B57" t="str">
            <v>Plasmatronics DSA Dingo External Shunt Adapator &amp; Cable</v>
          </cell>
          <cell r="D57" t="str">
            <v>DSA</v>
          </cell>
          <cell r="F57">
            <v>203.4813</v>
          </cell>
          <cell r="G57">
            <v>155.87</v>
          </cell>
          <cell r="H57" t="str">
            <v>4-Plasmatronics</v>
          </cell>
          <cell r="I57">
            <v>0.15736040609137059</v>
          </cell>
        </row>
        <row r="58">
          <cell r="A58" t="str">
            <v>B0055</v>
          </cell>
          <cell r="B58" t="str">
            <v>Plasmatronics DUSB Dingo USB to PC interface &amp; cable</v>
          </cell>
          <cell r="D58" t="str">
            <v>DUSB</v>
          </cell>
          <cell r="F58">
            <v>150.42920000000001</v>
          </cell>
          <cell r="G58">
            <v>115.23</v>
          </cell>
          <cell r="H58" t="str">
            <v>4-Plasmatronics</v>
          </cell>
          <cell r="I58">
            <v>0.15736040609137059</v>
          </cell>
        </row>
        <row r="59">
          <cell r="A59" t="str">
            <v>B0056</v>
          </cell>
          <cell r="B59" t="str">
            <v>Plasmatronics DRC Dingo remote control Monitor &amp; cable</v>
          </cell>
          <cell r="D59" t="str">
            <v>DRC</v>
          </cell>
          <cell r="F59">
            <v>210.23839999999998</v>
          </cell>
          <cell r="G59">
            <v>161.05000000000001</v>
          </cell>
          <cell r="H59" t="str">
            <v>4-Plasmatronics</v>
          </cell>
          <cell r="I59">
            <v>0.15736040609137059</v>
          </cell>
        </row>
        <row r="60">
          <cell r="A60" t="str">
            <v>B0057</v>
          </cell>
          <cell r="B60" t="str">
            <v>Victron Phoenix 12/1200 VE.Direct AU/NZ</v>
          </cell>
          <cell r="D60" t="str">
            <v>PIN122121300</v>
          </cell>
          <cell r="F60">
            <v>516.6</v>
          </cell>
          <cell r="G60">
            <v>355.88</v>
          </cell>
          <cell r="H60" t="str">
            <v>1-Victron</v>
          </cell>
          <cell r="I60">
            <v>0.31111111111111112</v>
          </cell>
        </row>
        <row r="61">
          <cell r="A61" t="str">
            <v>B0058</v>
          </cell>
          <cell r="B61" t="str">
            <v>Plasmatronics DCAB Dingo 3m accessories cable</v>
          </cell>
          <cell r="D61" t="str">
            <v>DCAB</v>
          </cell>
          <cell r="F61">
            <v>23.511950000000002</v>
          </cell>
          <cell r="G61">
            <v>18.010000000000002</v>
          </cell>
          <cell r="H61" t="str">
            <v>4-Plasmatronics</v>
          </cell>
          <cell r="I61">
            <v>0.15736040609137059</v>
          </cell>
        </row>
        <row r="62">
          <cell r="A62" t="str">
            <v>B0059</v>
          </cell>
          <cell r="B62" t="str">
            <v xml:space="preserve"> PLJ RJ12 Cable Joiner Plug</v>
          </cell>
          <cell r="D62">
            <v>0</v>
          </cell>
          <cell r="F62">
            <v>0</v>
          </cell>
          <cell r="G62">
            <v>0</v>
          </cell>
          <cell r="H62" t="str">
            <v>4-Plasmatronics</v>
          </cell>
          <cell r="I62">
            <v>0</v>
          </cell>
        </row>
        <row r="63">
          <cell r="A63" t="str">
            <v>B0060</v>
          </cell>
          <cell r="B63" t="str">
            <v>Victron BlueSolar MPPT 100/50</v>
          </cell>
          <cell r="D63" t="str">
            <v>SCC020050200</v>
          </cell>
          <cell r="F63">
            <v>259.2</v>
          </cell>
          <cell r="G63">
            <v>178.56</v>
          </cell>
          <cell r="H63" t="str">
            <v>1-Victron</v>
          </cell>
          <cell r="I63">
            <v>0.31111111111111112</v>
          </cell>
        </row>
        <row r="64">
          <cell r="A64" t="str">
            <v>B0061</v>
          </cell>
          <cell r="B64" t="str">
            <v xml:space="preserve">Lowara 24V Ecocirc D5-Solar-38/700B Pump </v>
          </cell>
          <cell r="D64" t="str">
            <v>D5solar-38/700B</v>
          </cell>
          <cell r="F64">
            <v>0</v>
          </cell>
          <cell r="G64">
            <v>0</v>
          </cell>
          <cell r="H64" t="str">
            <v>15-Xylem</v>
          </cell>
          <cell r="I64">
            <v>0</v>
          </cell>
        </row>
        <row r="65">
          <cell r="A65" t="str">
            <v>B0062</v>
          </cell>
          <cell r="B65" t="str">
            <v>Lowara Pump Lowara 24V D5-Vario 38/700B</v>
          </cell>
          <cell r="D65" t="str">
            <v>D5-38/700B</v>
          </cell>
          <cell r="F65">
            <v>0</v>
          </cell>
          <cell r="G65">
            <v>0</v>
          </cell>
          <cell r="H65" t="str">
            <v>15-Xylem</v>
          </cell>
          <cell r="I65">
            <v>0</v>
          </cell>
        </row>
        <row r="66">
          <cell r="A66" t="str">
            <v>B0063</v>
          </cell>
          <cell r="B66" t="str">
            <v xml:space="preserve">Lowara 230v Ecocirc BASIC 20-6/150 N Pump </v>
          </cell>
          <cell r="D66" t="str">
            <v>BASIC 20-6/150 N</v>
          </cell>
          <cell r="F66">
            <v>0</v>
          </cell>
          <cell r="G66">
            <v>0</v>
          </cell>
          <cell r="H66" t="str">
            <v>15-Xylem</v>
          </cell>
          <cell r="I66">
            <v>0</v>
          </cell>
        </row>
        <row r="67">
          <cell r="A67" t="str">
            <v>B0064</v>
          </cell>
          <cell r="B67" t="str">
            <v>Baintech Battery Monitor 12V</v>
          </cell>
          <cell r="D67" t="str">
            <v>BTVM-10-30</v>
          </cell>
          <cell r="F67">
            <v>0</v>
          </cell>
          <cell r="G67">
            <v>0</v>
          </cell>
          <cell r="H67" t="str">
            <v>13-Baintech</v>
          </cell>
          <cell r="I67">
            <v>0</v>
          </cell>
        </row>
        <row r="68">
          <cell r="A68" t="str">
            <v>B0065</v>
          </cell>
          <cell r="B68" t="str">
            <v xml:space="preserve"> Fuse holder - Midi Fuse</v>
          </cell>
          <cell r="D68">
            <v>0</v>
          </cell>
          <cell r="F68">
            <v>0</v>
          </cell>
          <cell r="G68">
            <v>0</v>
          </cell>
          <cell r="I68">
            <v>0</v>
          </cell>
        </row>
        <row r="69">
          <cell r="A69" t="str">
            <v>B0066</v>
          </cell>
          <cell r="B69" t="str">
            <v xml:space="preserve"> Fuse Blade 10A</v>
          </cell>
          <cell r="D69">
            <v>0</v>
          </cell>
          <cell r="F69">
            <v>0</v>
          </cell>
          <cell r="G69">
            <v>0</v>
          </cell>
          <cell r="I69">
            <v>0</v>
          </cell>
        </row>
        <row r="70">
          <cell r="A70" t="str">
            <v>B0067</v>
          </cell>
          <cell r="B70" t="str">
            <v xml:space="preserve"> Fuse Blade 15A</v>
          </cell>
          <cell r="D70">
            <v>0</v>
          </cell>
          <cell r="F70">
            <v>0</v>
          </cell>
          <cell r="G70">
            <v>0</v>
          </cell>
          <cell r="I70">
            <v>0</v>
          </cell>
        </row>
        <row r="71">
          <cell r="A71" t="str">
            <v>B0068</v>
          </cell>
          <cell r="B71" t="str">
            <v xml:space="preserve"> Fuse Blade 20A</v>
          </cell>
          <cell r="D71">
            <v>0</v>
          </cell>
          <cell r="F71">
            <v>0</v>
          </cell>
          <cell r="G71">
            <v>0</v>
          </cell>
          <cell r="I71">
            <v>0</v>
          </cell>
        </row>
        <row r="72">
          <cell r="A72" t="str">
            <v>B0069</v>
          </cell>
          <cell r="B72" t="str">
            <v xml:space="preserve"> Fuse Blade 30A</v>
          </cell>
          <cell r="D72">
            <v>0</v>
          </cell>
          <cell r="F72">
            <v>0</v>
          </cell>
          <cell r="G72">
            <v>0</v>
          </cell>
          <cell r="I72">
            <v>0</v>
          </cell>
        </row>
        <row r="73">
          <cell r="A73" t="str">
            <v>B0070</v>
          </cell>
          <cell r="B73" t="str">
            <v xml:space="preserve"> Fuse Holder Blade 30A Wired</v>
          </cell>
          <cell r="D73">
            <v>0</v>
          </cell>
          <cell r="F73">
            <v>0</v>
          </cell>
          <cell r="G73">
            <v>0</v>
          </cell>
          <cell r="I73">
            <v>0</v>
          </cell>
        </row>
        <row r="74">
          <cell r="A74" t="str">
            <v>B0071</v>
          </cell>
          <cell r="B74" t="str">
            <v>Victron Phoenix 12/250  VE.Direct Inverter</v>
          </cell>
          <cell r="D74" t="str">
            <v>PIN121251300</v>
          </cell>
          <cell r="F74">
            <v>149.4</v>
          </cell>
          <cell r="G74">
            <v>102.92</v>
          </cell>
          <cell r="H74" t="str">
            <v>1-Victron</v>
          </cell>
          <cell r="I74">
            <v>0.31111111111111112</v>
          </cell>
        </row>
        <row r="75">
          <cell r="A75" t="str">
            <v>B0072</v>
          </cell>
          <cell r="B75" t="str">
            <v>Victron Phoenix 12/375 VE.Direct Inverter</v>
          </cell>
          <cell r="D75" t="str">
            <v>PIN123750300</v>
          </cell>
          <cell r="F75">
            <v>0</v>
          </cell>
          <cell r="G75">
            <v>0</v>
          </cell>
          <cell r="H75" t="str">
            <v>1-Victron</v>
          </cell>
          <cell r="I75">
            <v>0</v>
          </cell>
        </row>
        <row r="76">
          <cell r="A76" t="str">
            <v>B0073</v>
          </cell>
          <cell r="B76" t="str">
            <v xml:space="preserve"> Isolator Switch 20A 2 Pole</v>
          </cell>
          <cell r="D76">
            <v>0</v>
          </cell>
          <cell r="F76">
            <v>0</v>
          </cell>
          <cell r="G76">
            <v>0</v>
          </cell>
          <cell r="I76">
            <v>0</v>
          </cell>
        </row>
        <row r="77">
          <cell r="A77" t="str">
            <v>B0074</v>
          </cell>
          <cell r="B77" t="str">
            <v xml:space="preserve"> Conduit Entry M25 PVC Grey</v>
          </cell>
          <cell r="D77">
            <v>0</v>
          </cell>
          <cell r="F77">
            <v>0</v>
          </cell>
          <cell r="G77">
            <v>0</v>
          </cell>
          <cell r="I77">
            <v>0</v>
          </cell>
        </row>
        <row r="78">
          <cell r="A78" t="str">
            <v>B0075</v>
          </cell>
          <cell r="B78" t="str">
            <v xml:space="preserve"> Conduit Entry Blank Plug 20mm</v>
          </cell>
          <cell r="D78">
            <v>0</v>
          </cell>
          <cell r="F78">
            <v>0</v>
          </cell>
          <cell r="G78">
            <v>0</v>
          </cell>
          <cell r="I78">
            <v>0</v>
          </cell>
        </row>
        <row r="79">
          <cell r="A79" t="str">
            <v>B0076</v>
          </cell>
          <cell r="B79" t="str">
            <v xml:space="preserve"> Plug Hex 1/2" BSP Brass</v>
          </cell>
          <cell r="D79">
            <v>0</v>
          </cell>
          <cell r="F79">
            <v>0</v>
          </cell>
          <cell r="G79">
            <v>0</v>
          </cell>
          <cell r="I79">
            <v>0</v>
          </cell>
        </row>
        <row r="80">
          <cell r="A80" t="str">
            <v>B0077</v>
          </cell>
          <cell r="B80" t="str">
            <v xml:space="preserve"> Fan 24V San Ace DIA172 IP68</v>
          </cell>
          <cell r="D80">
            <v>0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B0078</v>
          </cell>
          <cell r="B81" t="str">
            <v xml:space="preserve"> Drum 220L HDPE Blue (Enclosed)</v>
          </cell>
          <cell r="D81">
            <v>0</v>
          </cell>
          <cell r="F81">
            <v>0</v>
          </cell>
          <cell r="G81">
            <v>0</v>
          </cell>
          <cell r="I81">
            <v>0</v>
          </cell>
        </row>
        <row r="82">
          <cell r="A82" t="str">
            <v>B0079</v>
          </cell>
          <cell r="B82" t="str">
            <v xml:space="preserve"> Nut Conduit Entry M25 (PVC)</v>
          </cell>
          <cell r="D82">
            <v>0</v>
          </cell>
          <cell r="F82">
            <v>0</v>
          </cell>
          <cell r="G82">
            <v>0</v>
          </cell>
          <cell r="I82">
            <v>0</v>
          </cell>
        </row>
        <row r="83">
          <cell r="A83" t="str">
            <v>B0080</v>
          </cell>
          <cell r="B83" t="str">
            <v xml:space="preserve"> Cable Gland M16 Nylon</v>
          </cell>
          <cell r="D83">
            <v>0</v>
          </cell>
          <cell r="F83">
            <v>0</v>
          </cell>
          <cell r="G83">
            <v>0</v>
          </cell>
          <cell r="I83">
            <v>0</v>
          </cell>
        </row>
        <row r="84">
          <cell r="A84" t="str">
            <v>B0081</v>
          </cell>
          <cell r="B84" t="str">
            <v xml:space="preserve"> Compressor Siam Compressor</v>
          </cell>
          <cell r="D84">
            <v>0</v>
          </cell>
          <cell r="F84">
            <v>0</v>
          </cell>
          <cell r="G84">
            <v>0</v>
          </cell>
          <cell r="I84">
            <v>0</v>
          </cell>
        </row>
        <row r="85">
          <cell r="A85" t="str">
            <v>B0082</v>
          </cell>
          <cell r="B85" t="str">
            <v xml:space="preserve"> Bush PU Dia27x15/Dia18.5x3</v>
          </cell>
          <cell r="D85">
            <v>0</v>
          </cell>
          <cell r="F85">
            <v>0</v>
          </cell>
          <cell r="G85">
            <v>0</v>
          </cell>
          <cell r="I85">
            <v>0</v>
          </cell>
        </row>
        <row r="86">
          <cell r="A86" t="str">
            <v>B0083</v>
          </cell>
          <cell r="B86" t="str">
            <v xml:space="preserve"> LED Lens Clear DIA9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</row>
        <row r="87">
          <cell r="A87" t="str">
            <v>B0084</v>
          </cell>
          <cell r="B87" t="str">
            <v xml:space="preserve"> Rubber Nut M8x18</v>
          </cell>
          <cell r="D87">
            <v>0</v>
          </cell>
          <cell r="F87">
            <v>0</v>
          </cell>
          <cell r="G87">
            <v>0</v>
          </cell>
          <cell r="I87">
            <v>0</v>
          </cell>
        </row>
        <row r="88">
          <cell r="A88" t="str">
            <v>B0085</v>
          </cell>
          <cell r="B88" t="str">
            <v xml:space="preserve"> Nutsert M5 Stainless Steel Self-clinching</v>
          </cell>
          <cell r="D88">
            <v>0</v>
          </cell>
          <cell r="F88">
            <v>0</v>
          </cell>
          <cell r="G88">
            <v>0</v>
          </cell>
          <cell r="H88" t="str">
            <v>6-Various</v>
          </cell>
          <cell r="I88">
            <v>0</v>
          </cell>
        </row>
        <row r="89">
          <cell r="A89" t="str">
            <v>B0086</v>
          </cell>
          <cell r="B89" t="str">
            <v xml:space="preserve"> Nut Clinching M4 S/S304</v>
          </cell>
          <cell r="D89">
            <v>0</v>
          </cell>
          <cell r="F89">
            <v>0</v>
          </cell>
          <cell r="G89">
            <v>0</v>
          </cell>
          <cell r="I89">
            <v>0</v>
          </cell>
        </row>
        <row r="90">
          <cell r="A90" t="str">
            <v>B0087</v>
          </cell>
          <cell r="B90" t="str">
            <v xml:space="preserve"> Cable Gland M20 Nylon</v>
          </cell>
          <cell r="D90">
            <v>0</v>
          </cell>
          <cell r="F90">
            <v>0</v>
          </cell>
          <cell r="G90">
            <v>0</v>
          </cell>
          <cell r="I90">
            <v>0</v>
          </cell>
        </row>
        <row r="91">
          <cell r="A91" t="str">
            <v>B0088</v>
          </cell>
          <cell r="B91" t="str">
            <v>Lowara Barrel Union Bronze 1 1/4" x 3/4"</v>
          </cell>
          <cell r="D91" t="str">
            <v>B/Union 1-1/4</v>
          </cell>
          <cell r="F91">
            <v>0</v>
          </cell>
          <cell r="G91">
            <v>0</v>
          </cell>
          <cell r="H91" t="str">
            <v>15-Xylem</v>
          </cell>
          <cell r="I91">
            <v>0</v>
          </cell>
        </row>
        <row r="92">
          <cell r="A92" t="str">
            <v>B0089</v>
          </cell>
          <cell r="B92" t="str">
            <v>Electus Terminal Block 12 Pole 60A</v>
          </cell>
          <cell r="D92" t="str">
            <v>HM3204</v>
          </cell>
          <cell r="F92">
            <v>4.6307692307692303</v>
          </cell>
          <cell r="G92">
            <v>3.01</v>
          </cell>
          <cell r="H92" t="str">
            <v>6-Various</v>
          </cell>
          <cell r="I92">
            <v>0.35</v>
          </cell>
        </row>
        <row r="93">
          <cell r="A93" t="str">
            <v>B0090</v>
          </cell>
          <cell r="B93" t="str">
            <v xml:space="preserve"> Fuse Blade 40A</v>
          </cell>
          <cell r="D93">
            <v>0</v>
          </cell>
          <cell r="F93">
            <v>0</v>
          </cell>
          <cell r="G93">
            <v>0</v>
          </cell>
          <cell r="I93">
            <v>0</v>
          </cell>
        </row>
        <row r="94">
          <cell r="A94" t="str">
            <v>B0091</v>
          </cell>
          <cell r="B94" t="str">
            <v xml:space="preserve"> Fuse 40A Midi</v>
          </cell>
          <cell r="D94">
            <v>0</v>
          </cell>
          <cell r="F94">
            <v>0</v>
          </cell>
          <cell r="G94">
            <v>0</v>
          </cell>
          <cell r="I94">
            <v>0</v>
          </cell>
        </row>
        <row r="95">
          <cell r="A95" t="str">
            <v>B0092</v>
          </cell>
          <cell r="B95" t="str">
            <v xml:space="preserve"> SCREW 8Gx15mm S/S304 PAN PHIL</v>
          </cell>
          <cell r="D95">
            <v>0</v>
          </cell>
          <cell r="F95">
            <v>0</v>
          </cell>
          <cell r="G95">
            <v>0</v>
          </cell>
          <cell r="I95">
            <v>0</v>
          </cell>
        </row>
        <row r="96">
          <cell r="A96" t="str">
            <v>B0093</v>
          </cell>
          <cell r="B96" t="str">
            <v xml:space="preserve"> Screw M4x10 Pan Phil S/S304</v>
          </cell>
          <cell r="D96">
            <v>0</v>
          </cell>
          <cell r="F96">
            <v>0</v>
          </cell>
          <cell r="G96">
            <v>0</v>
          </cell>
          <cell r="I96">
            <v>0</v>
          </cell>
        </row>
        <row r="97">
          <cell r="A97" t="str">
            <v>B0094</v>
          </cell>
          <cell r="B97" t="str">
            <v xml:space="preserve"> Bush Split Nylon DIA 25 Hole</v>
          </cell>
          <cell r="D97">
            <v>0</v>
          </cell>
          <cell r="F97">
            <v>0</v>
          </cell>
          <cell r="G97">
            <v>0</v>
          </cell>
          <cell r="I97">
            <v>0</v>
          </cell>
        </row>
        <row r="98">
          <cell r="A98" t="str">
            <v>B0095</v>
          </cell>
          <cell r="B98" t="str">
            <v xml:space="preserve">Noark MCB 20A 360V DC 2 Pole </v>
          </cell>
          <cell r="D98" t="str">
            <v>N84451</v>
          </cell>
          <cell r="F98">
            <v>29.892307692307689</v>
          </cell>
          <cell r="G98">
            <v>19.43</v>
          </cell>
          <cell r="H98" t="str">
            <v>3-Tradezone</v>
          </cell>
          <cell r="I98">
            <v>0.35</v>
          </cell>
        </row>
        <row r="99">
          <cell r="A99" t="str">
            <v>B0096</v>
          </cell>
          <cell r="B99" t="str">
            <v xml:space="preserve"> Link Bar 12Hole 16mm2+2xM10 terminals</v>
          </cell>
          <cell r="D99">
            <v>0</v>
          </cell>
          <cell r="F99">
            <v>0</v>
          </cell>
          <cell r="G99">
            <v>0</v>
          </cell>
          <cell r="H99" t="str">
            <v>3-Tradezone</v>
          </cell>
          <cell r="I99">
            <v>0</v>
          </cell>
        </row>
        <row r="100">
          <cell r="A100" t="str">
            <v>B0097</v>
          </cell>
          <cell r="B100" t="str">
            <v xml:space="preserve"> Enclosure Polynova 150x110x75mm IP55</v>
          </cell>
          <cell r="D100">
            <v>0</v>
          </cell>
          <cell r="F100">
            <v>0</v>
          </cell>
          <cell r="G100">
            <v>0</v>
          </cell>
          <cell r="H100" t="str">
            <v>3-Tradezone</v>
          </cell>
          <cell r="I100">
            <v>0</v>
          </cell>
        </row>
        <row r="101">
          <cell r="A101" t="str">
            <v>B0098</v>
          </cell>
          <cell r="B101" t="str">
            <v>DC Solutions Fuse 160A NH00 250V DC HRC</v>
          </cell>
          <cell r="D101" t="str">
            <v>FH00/160A</v>
          </cell>
          <cell r="F101">
            <v>6.4153846153846148</v>
          </cell>
          <cell r="G101">
            <v>4.17</v>
          </cell>
          <cell r="H101" t="str">
            <v>3-Tradezone</v>
          </cell>
          <cell r="I101">
            <v>0.35</v>
          </cell>
        </row>
        <row r="102">
          <cell r="A102" t="str">
            <v>B0099</v>
          </cell>
          <cell r="B102" t="str">
            <v xml:space="preserve"> Cable Link 100A 7 Terminal Red 6x16mm2+1x35mm2</v>
          </cell>
          <cell r="D102">
            <v>0</v>
          </cell>
          <cell r="F102">
            <v>0</v>
          </cell>
          <cell r="G102">
            <v>0</v>
          </cell>
          <cell r="H102" t="str">
            <v>3-Tradezone</v>
          </cell>
          <cell r="I102">
            <v>0</v>
          </cell>
        </row>
        <row r="103">
          <cell r="A103" t="str">
            <v>B0100</v>
          </cell>
          <cell r="B103" t="str">
            <v xml:space="preserve"> Installation Gear Misc</v>
          </cell>
          <cell r="D103">
            <v>0</v>
          </cell>
          <cell r="F103">
            <v>0</v>
          </cell>
          <cell r="G103">
            <v>0</v>
          </cell>
          <cell r="I103">
            <v>0</v>
          </cell>
        </row>
        <row r="104">
          <cell r="A104" t="str">
            <v>B0101</v>
          </cell>
          <cell r="B104" t="str">
            <v>Victron BlueSolar MPPT 75/15 Solar Controller</v>
          </cell>
          <cell r="D104" t="str">
            <v>SCC010015050R</v>
          </cell>
          <cell r="F104">
            <v>77.400000000000006</v>
          </cell>
          <cell r="G104">
            <v>53.32</v>
          </cell>
          <cell r="H104" t="str">
            <v>1-Victron</v>
          </cell>
          <cell r="I104">
            <v>0.31111111111111112</v>
          </cell>
        </row>
        <row r="105">
          <cell r="A105" t="str">
            <v>B0102</v>
          </cell>
          <cell r="B105" t="str">
            <v xml:space="preserve"> Stud Clinching PSM M6x15 S/S</v>
          </cell>
          <cell r="D105">
            <v>0</v>
          </cell>
          <cell r="F105">
            <v>0</v>
          </cell>
          <cell r="G105">
            <v>0</v>
          </cell>
          <cell r="I105">
            <v>0</v>
          </cell>
        </row>
        <row r="106">
          <cell r="A106" t="str">
            <v>B0103</v>
          </cell>
          <cell r="B106" t="str">
            <v xml:space="preserve"> Label Adhesive 99.1x139 Laser</v>
          </cell>
          <cell r="D106">
            <v>0</v>
          </cell>
          <cell r="F106">
            <v>0</v>
          </cell>
          <cell r="G106">
            <v>0</v>
          </cell>
          <cell r="I106">
            <v>0</v>
          </cell>
        </row>
        <row r="107">
          <cell r="A107" t="str">
            <v>B0104</v>
          </cell>
          <cell r="B107" t="str">
            <v xml:space="preserve">Hager Busbar 80A 12 Pole MCB Insulated </v>
          </cell>
          <cell r="D107" t="str">
            <v>KDN180A</v>
          </cell>
          <cell r="F107">
            <v>20.538461538461537</v>
          </cell>
          <cell r="G107">
            <v>13.35</v>
          </cell>
          <cell r="H107" t="str">
            <v>3-Tradezone</v>
          </cell>
          <cell r="I107">
            <v>0.35</v>
          </cell>
        </row>
        <row r="108">
          <cell r="A108" t="str">
            <v>B0105</v>
          </cell>
          <cell r="B108" t="str">
            <v xml:space="preserve"> Bolt M10x100mm Hex Galv</v>
          </cell>
          <cell r="D108">
            <v>0</v>
          </cell>
          <cell r="F108">
            <v>0</v>
          </cell>
          <cell r="G108">
            <v>0</v>
          </cell>
          <cell r="I108">
            <v>0</v>
          </cell>
        </row>
        <row r="109">
          <cell r="A109" t="str">
            <v>B0106</v>
          </cell>
          <cell r="B109" t="str">
            <v xml:space="preserve"> Nut M10 Hex Galv</v>
          </cell>
          <cell r="D109">
            <v>0</v>
          </cell>
          <cell r="F109">
            <v>0</v>
          </cell>
          <cell r="G109">
            <v>0</v>
          </cell>
          <cell r="I109">
            <v>0</v>
          </cell>
        </row>
        <row r="110">
          <cell r="A110" t="str">
            <v>B0107</v>
          </cell>
          <cell r="B110" t="str">
            <v xml:space="preserve"> Washer M10 Galv</v>
          </cell>
          <cell r="D110">
            <v>0</v>
          </cell>
          <cell r="F110">
            <v>0</v>
          </cell>
          <cell r="G110">
            <v>0</v>
          </cell>
          <cell r="I110">
            <v>0</v>
          </cell>
        </row>
        <row r="111">
          <cell r="A111" t="str">
            <v>B0108</v>
          </cell>
          <cell r="B111" t="str">
            <v xml:space="preserve"> Nut M6 S/S316</v>
          </cell>
          <cell r="D111">
            <v>0</v>
          </cell>
          <cell r="F111">
            <v>0</v>
          </cell>
          <cell r="G111">
            <v>0</v>
          </cell>
          <cell r="I111">
            <v>0</v>
          </cell>
        </row>
        <row r="112">
          <cell r="A112" t="str">
            <v>B0109</v>
          </cell>
          <cell r="B112" t="str">
            <v xml:space="preserve"> Washer M6 Flat S/S304</v>
          </cell>
          <cell r="D112">
            <v>0</v>
          </cell>
          <cell r="F112">
            <v>0</v>
          </cell>
          <cell r="G112">
            <v>0</v>
          </cell>
          <cell r="I112">
            <v>0</v>
          </cell>
        </row>
        <row r="113">
          <cell r="A113" t="str">
            <v>B0110</v>
          </cell>
          <cell r="B113" t="str">
            <v>Plasmatronics Dingo D2020N 20A Solar Charge Controller</v>
          </cell>
          <cell r="D113" t="str">
            <v>D2020N</v>
          </cell>
          <cell r="F113">
            <v>432.81885</v>
          </cell>
          <cell r="G113">
            <v>331.55</v>
          </cell>
          <cell r="H113" t="str">
            <v>4-Plasmatronics</v>
          </cell>
          <cell r="I113">
            <v>0.15736040609137059</v>
          </cell>
        </row>
        <row r="114">
          <cell r="A114" t="str">
            <v>B0111</v>
          </cell>
          <cell r="B114" t="str">
            <v>Plasmatronics Dingo D4040P 40A Solar Charge Controller</v>
          </cell>
          <cell r="D114" t="str">
            <v>D4040P</v>
          </cell>
          <cell r="F114">
            <v>537.77060000000006</v>
          </cell>
          <cell r="G114">
            <v>411.95</v>
          </cell>
          <cell r="H114" t="str">
            <v>4-Plasmatronics</v>
          </cell>
          <cell r="I114">
            <v>0.15736040609137059</v>
          </cell>
        </row>
        <row r="115">
          <cell r="A115" t="str">
            <v>B0112</v>
          </cell>
          <cell r="B115" t="str">
            <v xml:space="preserve"> Wire Rope 2.5mm</v>
          </cell>
          <cell r="D115">
            <v>0</v>
          </cell>
          <cell r="F115">
            <v>0</v>
          </cell>
          <cell r="G115">
            <v>0</v>
          </cell>
          <cell r="I115">
            <v>0</v>
          </cell>
        </row>
        <row r="116">
          <cell r="A116" t="str">
            <v>B0113</v>
          </cell>
          <cell r="B116" t="str">
            <v xml:space="preserve"> Wire Rope Grip</v>
          </cell>
          <cell r="D116">
            <v>0</v>
          </cell>
          <cell r="F116">
            <v>0</v>
          </cell>
          <cell r="G116">
            <v>0</v>
          </cell>
          <cell r="I116">
            <v>0</v>
          </cell>
        </row>
        <row r="117">
          <cell r="A117" t="str">
            <v>B0114</v>
          </cell>
          <cell r="B117" t="str">
            <v xml:space="preserve"> Wire Rope Ferrule</v>
          </cell>
          <cell r="D117">
            <v>0</v>
          </cell>
          <cell r="F117">
            <v>0</v>
          </cell>
          <cell r="G117">
            <v>0</v>
          </cell>
          <cell r="I117">
            <v>0</v>
          </cell>
        </row>
        <row r="118">
          <cell r="A118" t="str">
            <v>B0115</v>
          </cell>
          <cell r="B118" t="str">
            <v>Plasmatronics 10A 24V Solar Charge Controller (LA)</v>
          </cell>
          <cell r="D118" t="str">
            <v>PR2410</v>
          </cell>
          <cell r="F118">
            <v>105.8875</v>
          </cell>
          <cell r="G118">
            <v>81.11</v>
          </cell>
          <cell r="H118" t="str">
            <v>4-Plasmatronics</v>
          </cell>
          <cell r="I118">
            <v>0.15736040609137059</v>
          </cell>
        </row>
        <row r="119">
          <cell r="A119" t="str">
            <v>B0116</v>
          </cell>
          <cell r="B119" t="str">
            <v>Plasmatronics 10A 24V Solar Charge Controller (Gel)</v>
          </cell>
          <cell r="D119" t="str">
            <v>PR2410L</v>
          </cell>
          <cell r="F119">
            <v>111.0883</v>
          </cell>
          <cell r="G119">
            <v>85.1</v>
          </cell>
          <cell r="H119" t="str">
            <v>4-Plasmatronics</v>
          </cell>
          <cell r="I119">
            <v>0.15736040609137059</v>
          </cell>
        </row>
        <row r="120">
          <cell r="A120" t="str">
            <v>B0117</v>
          </cell>
          <cell r="B120" t="str">
            <v>Plasmatronics SH200 Current shunt 75mV/200A</v>
          </cell>
          <cell r="D120" t="str">
            <v>SH200</v>
          </cell>
          <cell r="F120">
            <v>75.214600000000004</v>
          </cell>
          <cell r="G120">
            <v>57.62</v>
          </cell>
          <cell r="H120" t="str">
            <v>4-Plasmatronics</v>
          </cell>
          <cell r="I120">
            <v>0.15736040609137059</v>
          </cell>
        </row>
        <row r="121">
          <cell r="A121" t="str">
            <v>B0118</v>
          </cell>
          <cell r="B121" t="str">
            <v>Plasmatronics PLS2 External shunt adaptor (shielded data cable W/X/Y/Z-S NOT included).</v>
          </cell>
          <cell r="D121" t="str">
            <v>PLS2</v>
          </cell>
          <cell r="F121">
            <v>202.44704999999999</v>
          </cell>
          <cell r="G121">
            <v>155.08000000000001</v>
          </cell>
          <cell r="H121" t="str">
            <v>4-Plasmatronics</v>
          </cell>
          <cell r="I121">
            <v>0.15736040609137059</v>
          </cell>
        </row>
        <row r="122">
          <cell r="A122" t="str">
            <v>B0119</v>
          </cell>
          <cell r="B122" t="str">
            <v>Plasmatronics PLM Remote Monitor</v>
          </cell>
          <cell r="D122" t="str">
            <v>PLM</v>
          </cell>
          <cell r="F122">
            <v>207.11595</v>
          </cell>
          <cell r="G122">
            <v>158.66</v>
          </cell>
          <cell r="H122" t="str">
            <v>4-Plasmatronics</v>
          </cell>
          <cell r="I122">
            <v>0.15736040609137059</v>
          </cell>
        </row>
        <row r="123">
          <cell r="A123" t="str">
            <v>B0120</v>
          </cell>
          <cell r="B123" t="str">
            <v>Plasmatronics WYS Shielded Cable 3m</v>
          </cell>
          <cell r="D123" t="str">
            <v>WYS</v>
          </cell>
          <cell r="F123">
            <v>35.92295</v>
          </cell>
          <cell r="G123">
            <v>27.52</v>
          </cell>
          <cell r="H123" t="str">
            <v>4-Plasmatronics</v>
          </cell>
          <cell r="I123">
            <v>0.15736040609137059</v>
          </cell>
        </row>
        <row r="124">
          <cell r="A124" t="str">
            <v>B0121</v>
          </cell>
          <cell r="B124" t="str">
            <v>Plasmatronics WXS Shielded Cable 3m</v>
          </cell>
          <cell r="D124" t="str">
            <v>WXS</v>
          </cell>
          <cell r="F124">
            <v>21.79805</v>
          </cell>
          <cell r="G124">
            <v>16.7</v>
          </cell>
          <cell r="H124" t="str">
            <v>4-Plasmatronics</v>
          </cell>
          <cell r="I124">
            <v>0.15736040609137059</v>
          </cell>
        </row>
        <row r="125">
          <cell r="A125" t="str">
            <v>B0122</v>
          </cell>
          <cell r="B125" t="str">
            <v>Plasmatronics WZS Shielded Cable 3m</v>
          </cell>
          <cell r="D125" t="str">
            <v>WZS</v>
          </cell>
          <cell r="F125">
            <v>35.92295</v>
          </cell>
          <cell r="G125">
            <v>27.52</v>
          </cell>
          <cell r="H125" t="str">
            <v>4-Plasmatronics</v>
          </cell>
          <cell r="I125">
            <v>0.15736040609137059</v>
          </cell>
        </row>
        <row r="126">
          <cell r="A126" t="str">
            <v>B0123</v>
          </cell>
          <cell r="B126" t="str">
            <v xml:space="preserve"> Fuse Blade 2A</v>
          </cell>
          <cell r="D126">
            <v>0</v>
          </cell>
          <cell r="F126">
            <v>0</v>
          </cell>
          <cell r="G126">
            <v>0</v>
          </cell>
          <cell r="I126">
            <v>0</v>
          </cell>
        </row>
        <row r="127">
          <cell r="A127" t="str">
            <v>B0124</v>
          </cell>
          <cell r="B127" t="str">
            <v xml:space="preserve"> Fuse Blade 3A</v>
          </cell>
          <cell r="D127">
            <v>0</v>
          </cell>
          <cell r="F127">
            <v>0</v>
          </cell>
          <cell r="G127">
            <v>0</v>
          </cell>
          <cell r="I127">
            <v>0</v>
          </cell>
        </row>
        <row r="128">
          <cell r="A128" t="str">
            <v>B0125</v>
          </cell>
          <cell r="B128" t="str">
            <v xml:space="preserve"> Fuse Blade 5A</v>
          </cell>
          <cell r="D128">
            <v>0</v>
          </cell>
          <cell r="F128">
            <v>0</v>
          </cell>
          <cell r="G128">
            <v>0</v>
          </cell>
          <cell r="I128">
            <v>0</v>
          </cell>
        </row>
        <row r="129">
          <cell r="A129" t="str">
            <v>B0126</v>
          </cell>
          <cell r="B129" t="str">
            <v>Plasmatronics PL80 80A Solar Charge Controller</v>
          </cell>
          <cell r="D129" t="str">
            <v>PL80e</v>
          </cell>
          <cell r="F129">
            <v>840.88465000000008</v>
          </cell>
          <cell r="G129">
            <v>644.15</v>
          </cell>
          <cell r="H129" t="str">
            <v>4-Plasmatronics</v>
          </cell>
          <cell r="I129">
            <v>0.15736040609137059</v>
          </cell>
        </row>
        <row r="130">
          <cell r="A130" t="str">
            <v>B0127</v>
          </cell>
          <cell r="B130" t="str">
            <v>Plasmatronics PLA Synchronisation/alarm unit</v>
          </cell>
          <cell r="D130" t="str">
            <v>PLA</v>
          </cell>
          <cell r="F130">
            <v>438.32499999999999</v>
          </cell>
          <cell r="G130">
            <v>320.68</v>
          </cell>
          <cell r="H130" t="str">
            <v>4-Plasmatronics</v>
          </cell>
          <cell r="I130">
            <v>0.15736040609137059</v>
          </cell>
        </row>
        <row r="131">
          <cell r="A131" t="str">
            <v>B0128</v>
          </cell>
          <cell r="B131" t="str">
            <v xml:space="preserve"> Cable Lug - M10 x 10mm2 Cu</v>
          </cell>
          <cell r="D131">
            <v>0</v>
          </cell>
          <cell r="F131">
            <v>0</v>
          </cell>
          <cell r="G131">
            <v>0</v>
          </cell>
          <cell r="I131">
            <v>0</v>
          </cell>
        </row>
        <row r="132">
          <cell r="A132" t="str">
            <v>B0129</v>
          </cell>
          <cell r="B132" t="str">
            <v xml:space="preserve"> Cable Lug - M10 x 6mm2 Cu</v>
          </cell>
          <cell r="D132">
            <v>0</v>
          </cell>
          <cell r="F132">
            <v>0</v>
          </cell>
          <cell r="G132">
            <v>0</v>
          </cell>
          <cell r="I132">
            <v>0</v>
          </cell>
        </row>
        <row r="133">
          <cell r="A133" t="str">
            <v>B0130</v>
          </cell>
          <cell r="B133" t="str">
            <v>Narva Connector Female Spade Yellow 6.35mm</v>
          </cell>
          <cell r="D133" t="str">
            <v>Spade-YL-6</v>
          </cell>
          <cell r="F133">
            <v>0.30769230769230771</v>
          </cell>
          <cell r="G133">
            <v>0.2</v>
          </cell>
          <cell r="H133" t="str">
            <v>6-Various</v>
          </cell>
          <cell r="I133">
            <v>0.35</v>
          </cell>
        </row>
        <row r="134">
          <cell r="A134" t="str">
            <v>B0131</v>
          </cell>
          <cell r="B134" t="str">
            <v>Narva Connector Female Spade Blue 6.35mm</v>
          </cell>
          <cell r="D134" t="str">
            <v>Spade-BL-6</v>
          </cell>
          <cell r="F134">
            <v>0.30769230769230771</v>
          </cell>
          <cell r="G134">
            <v>0.2</v>
          </cell>
          <cell r="H134" t="str">
            <v>6-Various</v>
          </cell>
          <cell r="I134">
            <v>0.35</v>
          </cell>
        </row>
        <row r="135">
          <cell r="A135" t="str">
            <v>B0132</v>
          </cell>
          <cell r="B135" t="str">
            <v xml:space="preserve"> Solar Contlr Powertech MP3720</v>
          </cell>
          <cell r="D135">
            <v>0</v>
          </cell>
          <cell r="F135">
            <v>0</v>
          </cell>
          <cell r="G135">
            <v>0</v>
          </cell>
          <cell r="I135">
            <v>0</v>
          </cell>
        </row>
        <row r="136">
          <cell r="A136" t="str">
            <v>B0133</v>
          </cell>
          <cell r="B136" t="str">
            <v xml:space="preserve"> Solar Panel Powertech 5W Solar Panel 12V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</row>
        <row r="137">
          <cell r="A137" t="str">
            <v>B0134</v>
          </cell>
          <cell r="B137" t="str">
            <v>Plasmatronics DNET for Dingo</v>
          </cell>
          <cell r="D137" t="str">
            <v>DNET</v>
          </cell>
          <cell r="F137">
            <v>0</v>
          </cell>
          <cell r="G137">
            <v>0</v>
          </cell>
          <cell r="H137" t="str">
            <v>4-Plasmatronics</v>
          </cell>
          <cell r="I137">
            <v>0</v>
          </cell>
        </row>
        <row r="138">
          <cell r="A138" t="str">
            <v>B0135</v>
          </cell>
          <cell r="B138" t="str">
            <v>Plasmatronics PLI RS232 Serial interface</v>
          </cell>
          <cell r="D138" t="str">
            <v>PLI</v>
          </cell>
          <cell r="F138">
            <v>150.42920000000001</v>
          </cell>
          <cell r="G138">
            <v>115.23</v>
          </cell>
          <cell r="H138" t="str">
            <v>4-Plasmatronics</v>
          </cell>
          <cell r="I138">
            <v>0.15736040609137059</v>
          </cell>
        </row>
        <row r="139">
          <cell r="A139" t="str">
            <v>B0136</v>
          </cell>
          <cell r="B139" t="str">
            <v xml:space="preserve"> Screw 14-10x25mm Zinc Coated Hex (Tek Screw)</v>
          </cell>
          <cell r="D139">
            <v>0</v>
          </cell>
          <cell r="F139">
            <v>0</v>
          </cell>
          <cell r="G139">
            <v>0</v>
          </cell>
          <cell r="I139">
            <v>0</v>
          </cell>
        </row>
        <row r="140">
          <cell r="A140" t="str">
            <v>B0137</v>
          </cell>
          <cell r="B140" t="str">
            <v xml:space="preserve"> Conduit Plain Reducer M25-20</v>
          </cell>
          <cell r="D140">
            <v>0</v>
          </cell>
          <cell r="F140">
            <v>0</v>
          </cell>
          <cell r="G140">
            <v>0</v>
          </cell>
          <cell r="I140">
            <v>0</v>
          </cell>
        </row>
        <row r="141">
          <cell r="A141" t="str">
            <v>B0138</v>
          </cell>
          <cell r="B141" t="str">
            <v xml:space="preserve"> Sensor- RTD PT100 S/S</v>
          </cell>
          <cell r="D141">
            <v>0</v>
          </cell>
          <cell r="F141">
            <v>0</v>
          </cell>
          <cell r="G141">
            <v>0</v>
          </cell>
          <cell r="I141">
            <v>0</v>
          </cell>
        </row>
        <row r="142">
          <cell r="A142" t="str">
            <v>B0139</v>
          </cell>
          <cell r="B142" t="str">
            <v xml:space="preserve"> Gland (probe) Brass DIA3.0xM16</v>
          </cell>
          <cell r="D142">
            <v>0</v>
          </cell>
          <cell r="F142">
            <v>0</v>
          </cell>
          <cell r="G142">
            <v>0</v>
          </cell>
          <cell r="I142">
            <v>0</v>
          </cell>
        </row>
        <row r="143">
          <cell r="A143" t="str">
            <v>B0140</v>
          </cell>
          <cell r="B143" t="str">
            <v xml:space="preserve"> Locknut Brass M16 (Gland)</v>
          </cell>
          <cell r="D143">
            <v>0</v>
          </cell>
          <cell r="F143">
            <v>0</v>
          </cell>
          <cell r="G143">
            <v>0</v>
          </cell>
          <cell r="I143">
            <v>0</v>
          </cell>
        </row>
        <row r="144">
          <cell r="A144" t="str">
            <v>B0141</v>
          </cell>
          <cell r="B144" t="str">
            <v xml:space="preserve"> Washer M16 Rubber</v>
          </cell>
          <cell r="D144">
            <v>0</v>
          </cell>
          <cell r="F144">
            <v>0</v>
          </cell>
          <cell r="G144">
            <v>0</v>
          </cell>
          <cell r="I144">
            <v>0</v>
          </cell>
        </row>
        <row r="145">
          <cell r="A145" t="str">
            <v>B0142</v>
          </cell>
          <cell r="B145" t="str">
            <v xml:space="preserve"> Nut 25mm Poly White</v>
          </cell>
          <cell r="D145">
            <v>0</v>
          </cell>
          <cell r="F145">
            <v>0</v>
          </cell>
          <cell r="G145">
            <v>0</v>
          </cell>
          <cell r="I145">
            <v>0</v>
          </cell>
        </row>
        <row r="146">
          <cell r="A146" t="str">
            <v>B0143</v>
          </cell>
          <cell r="B146" t="str">
            <v xml:space="preserve"> Washer DIA25 Rubber Whte</v>
          </cell>
          <cell r="D146">
            <v>0</v>
          </cell>
          <cell r="F146">
            <v>0</v>
          </cell>
          <cell r="G146">
            <v>0</v>
          </cell>
          <cell r="I146">
            <v>0</v>
          </cell>
        </row>
        <row r="147">
          <cell r="A147" t="str">
            <v>B0144</v>
          </cell>
          <cell r="B147" t="str">
            <v xml:space="preserve"> Nut Compression Fitting 1/2"</v>
          </cell>
          <cell r="D147">
            <v>0</v>
          </cell>
          <cell r="F147">
            <v>0</v>
          </cell>
          <cell r="G147">
            <v>0</v>
          </cell>
          <cell r="I147">
            <v>0</v>
          </cell>
        </row>
        <row r="148">
          <cell r="A148" t="str">
            <v>B0145</v>
          </cell>
          <cell r="B148" t="str">
            <v xml:space="preserve"> Nipple 1/2"x1/2" BSP Brass</v>
          </cell>
          <cell r="D148">
            <v>0</v>
          </cell>
          <cell r="F148">
            <v>0</v>
          </cell>
          <cell r="G148">
            <v>0</v>
          </cell>
          <cell r="I148">
            <v>0</v>
          </cell>
        </row>
        <row r="149">
          <cell r="A149" t="str">
            <v>B0146</v>
          </cell>
          <cell r="B149" t="str">
            <v xml:space="preserve"> Olive 1/2" Nylon Compression</v>
          </cell>
          <cell r="D149">
            <v>0</v>
          </cell>
          <cell r="F149">
            <v>0</v>
          </cell>
          <cell r="G149">
            <v>0</v>
          </cell>
          <cell r="I149">
            <v>0</v>
          </cell>
        </row>
        <row r="150">
          <cell r="A150" t="str">
            <v>B0147</v>
          </cell>
          <cell r="B150" t="str">
            <v xml:space="preserve"> Pex 20mm F to M 3/4" BSP</v>
          </cell>
          <cell r="D150">
            <v>0</v>
          </cell>
          <cell r="F150">
            <v>0</v>
          </cell>
          <cell r="G150">
            <v>0</v>
          </cell>
          <cell r="I150">
            <v>0</v>
          </cell>
        </row>
        <row r="151">
          <cell r="A151" t="str">
            <v>B0148</v>
          </cell>
          <cell r="B151" t="str">
            <v xml:space="preserve"> Elbow 3/4" F to 3/4" M Brass</v>
          </cell>
          <cell r="D151">
            <v>0</v>
          </cell>
          <cell r="F151">
            <v>0</v>
          </cell>
          <cell r="G151">
            <v>0</v>
          </cell>
          <cell r="I151">
            <v>0</v>
          </cell>
        </row>
        <row r="152">
          <cell r="A152" t="str">
            <v>B0149</v>
          </cell>
          <cell r="B152" t="str">
            <v xml:space="preserve"> Elbow Pex 20mm to Pex 20mm</v>
          </cell>
          <cell r="D152">
            <v>0</v>
          </cell>
          <cell r="F152">
            <v>0</v>
          </cell>
          <cell r="G152">
            <v>0</v>
          </cell>
          <cell r="I152">
            <v>0</v>
          </cell>
        </row>
        <row r="153">
          <cell r="A153" t="str">
            <v>B0150</v>
          </cell>
          <cell r="B153" t="str">
            <v xml:space="preserve"> Elbow 3/4" M to 3/4" M Brass</v>
          </cell>
          <cell r="D153">
            <v>0</v>
          </cell>
          <cell r="F153">
            <v>0</v>
          </cell>
          <cell r="G153">
            <v>0</v>
          </cell>
          <cell r="I153">
            <v>0</v>
          </cell>
        </row>
        <row r="154">
          <cell r="A154" t="str">
            <v>B0151</v>
          </cell>
          <cell r="B154" t="str">
            <v xml:space="preserve"> Elbow Pex 20mm to 3/4" BSP F</v>
          </cell>
          <cell r="D154">
            <v>0</v>
          </cell>
          <cell r="F154">
            <v>0</v>
          </cell>
          <cell r="G154">
            <v>0</v>
          </cell>
          <cell r="I154">
            <v>0</v>
          </cell>
        </row>
        <row r="155">
          <cell r="A155" t="str">
            <v>B0152</v>
          </cell>
          <cell r="B155" t="str">
            <v xml:space="preserve"> ORing DIA2.0xID15mm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</row>
        <row r="156">
          <cell r="A156" t="str">
            <v>B0153</v>
          </cell>
          <cell r="B156" t="str">
            <v xml:space="preserve"> Sensor Probe PT100 S/S316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</row>
        <row r="157">
          <cell r="A157" t="str">
            <v>B0154</v>
          </cell>
          <cell r="B157" t="str">
            <v xml:space="preserve"> Thread-Tape PTFE 12mm</v>
          </cell>
          <cell r="D157">
            <v>0</v>
          </cell>
          <cell r="F157">
            <v>0</v>
          </cell>
          <cell r="G157">
            <v>0</v>
          </cell>
          <cell r="I157">
            <v>0</v>
          </cell>
        </row>
        <row r="158">
          <cell r="A158" t="str">
            <v>B0155</v>
          </cell>
          <cell r="B158" t="str">
            <v xml:space="preserve"> Labels Durable A4 99.1x139mm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</row>
        <row r="159">
          <cell r="A159" t="str">
            <v>B0156</v>
          </cell>
          <cell r="B159" t="str">
            <v xml:space="preserve"> Washer M5 Nylon</v>
          </cell>
          <cell r="D159">
            <v>0</v>
          </cell>
          <cell r="F159">
            <v>0</v>
          </cell>
          <cell r="G159">
            <v>0</v>
          </cell>
          <cell r="I159">
            <v>0</v>
          </cell>
        </row>
        <row r="160">
          <cell r="A160" t="str">
            <v>B0157</v>
          </cell>
          <cell r="B160" t="str">
            <v xml:space="preserve"> Screw 8Gx10mm S/S Pan Phil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B0158</v>
          </cell>
          <cell r="B161" t="str">
            <v xml:space="preserve"> Button (Push) ESwitch PV5</v>
          </cell>
          <cell r="D161">
            <v>0</v>
          </cell>
          <cell r="F161">
            <v>0</v>
          </cell>
          <cell r="G161">
            <v>0</v>
          </cell>
          <cell r="I161">
            <v>0</v>
          </cell>
        </row>
        <row r="162">
          <cell r="A162" t="str">
            <v>B0159</v>
          </cell>
          <cell r="B162" t="str">
            <v xml:space="preserve"> Standoff PCB 10mm Adhesive</v>
          </cell>
          <cell r="D162">
            <v>0</v>
          </cell>
          <cell r="F162">
            <v>0</v>
          </cell>
          <cell r="G162">
            <v>0</v>
          </cell>
          <cell r="I162">
            <v>0</v>
          </cell>
        </row>
        <row r="163">
          <cell r="A163" t="str">
            <v>B0160</v>
          </cell>
          <cell r="B163" t="str">
            <v xml:space="preserve"> Wire Screw Connector (Wire Nut) 40 Amp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</row>
        <row r="164">
          <cell r="A164" t="str">
            <v>B0161</v>
          </cell>
          <cell r="B164" t="str">
            <v xml:space="preserve"> Circuit Breaker 63A DIN</v>
          </cell>
          <cell r="D164">
            <v>0</v>
          </cell>
          <cell r="F164">
            <v>0</v>
          </cell>
          <cell r="G164">
            <v>0</v>
          </cell>
          <cell r="I164">
            <v>0</v>
          </cell>
        </row>
        <row r="165">
          <cell r="A165" t="str">
            <v>B0162</v>
          </cell>
          <cell r="B165" t="str">
            <v xml:space="preserve"> Flexible Grommet Cabac FG1.6</v>
          </cell>
          <cell r="D165">
            <v>0</v>
          </cell>
          <cell r="F165">
            <v>0</v>
          </cell>
          <cell r="G165">
            <v>0</v>
          </cell>
          <cell r="I165">
            <v>0</v>
          </cell>
        </row>
        <row r="166">
          <cell r="A166" t="str">
            <v>B0163</v>
          </cell>
          <cell r="B166" t="str">
            <v xml:space="preserve"> Terminal Block 2 pole 1.5mm GR</v>
          </cell>
          <cell r="D166">
            <v>0</v>
          </cell>
          <cell r="F166">
            <v>0</v>
          </cell>
          <cell r="G166">
            <v>0</v>
          </cell>
          <cell r="I166">
            <v>0</v>
          </cell>
        </row>
        <row r="167">
          <cell r="A167" t="str">
            <v>B0164</v>
          </cell>
          <cell r="B167" t="str">
            <v xml:space="preserve"> Screw Hex M8x15 S/S 304</v>
          </cell>
          <cell r="D167">
            <v>0</v>
          </cell>
          <cell r="F167">
            <v>0</v>
          </cell>
          <cell r="G167">
            <v>0</v>
          </cell>
          <cell r="I167">
            <v>0</v>
          </cell>
        </row>
        <row r="168">
          <cell r="A168" t="str">
            <v>B0165</v>
          </cell>
          <cell r="B168" t="str">
            <v xml:space="preserve"> Washer Flat M8 S/S 304</v>
          </cell>
          <cell r="D168">
            <v>0</v>
          </cell>
          <cell r="F168">
            <v>0</v>
          </cell>
          <cell r="G168">
            <v>0</v>
          </cell>
          <cell r="I168">
            <v>0</v>
          </cell>
        </row>
        <row r="169">
          <cell r="A169" t="str">
            <v>B0166</v>
          </cell>
          <cell r="B169" t="str">
            <v xml:space="preserve"> Filter-Drier Danfoss: 023Z5048</v>
          </cell>
          <cell r="D169">
            <v>0</v>
          </cell>
          <cell r="F169">
            <v>0</v>
          </cell>
          <cell r="G169">
            <v>0</v>
          </cell>
          <cell r="I169">
            <v>0</v>
          </cell>
        </row>
        <row r="170">
          <cell r="A170" t="str">
            <v>B0167</v>
          </cell>
          <cell r="B170" t="str">
            <v xml:space="preserve"> TX Valve Danfoss TBC</v>
          </cell>
          <cell r="D170">
            <v>0</v>
          </cell>
          <cell r="F170">
            <v>0</v>
          </cell>
          <cell r="G170">
            <v>0</v>
          </cell>
          <cell r="I170">
            <v>0</v>
          </cell>
        </row>
        <row r="171">
          <cell r="A171" t="str">
            <v>B0168</v>
          </cell>
          <cell r="B171" t="str">
            <v xml:space="preserve"> Flare Nut 1/2" Brass</v>
          </cell>
          <cell r="D171">
            <v>0</v>
          </cell>
          <cell r="F171">
            <v>0</v>
          </cell>
          <cell r="G171">
            <v>0</v>
          </cell>
          <cell r="I171">
            <v>0</v>
          </cell>
        </row>
        <row r="172">
          <cell r="A172" t="str">
            <v>B0169</v>
          </cell>
          <cell r="B172" t="str">
            <v xml:space="preserve"> Elbow 1/2"F to 1/2"F Cu</v>
          </cell>
          <cell r="D172">
            <v>0</v>
          </cell>
          <cell r="F172">
            <v>0</v>
          </cell>
          <cell r="G172">
            <v>0</v>
          </cell>
          <cell r="I172">
            <v>0</v>
          </cell>
        </row>
        <row r="173">
          <cell r="A173" t="str">
            <v>B0170</v>
          </cell>
          <cell r="B173" t="str">
            <v xml:space="preserve"> Elbow 3/4"MF to 1/2"BSPP Brass</v>
          </cell>
          <cell r="D173">
            <v>0</v>
          </cell>
          <cell r="F173">
            <v>0</v>
          </cell>
          <cell r="G173">
            <v>0</v>
          </cell>
          <cell r="I173">
            <v>0</v>
          </cell>
        </row>
        <row r="174">
          <cell r="A174" t="str">
            <v>B0171</v>
          </cell>
          <cell r="B174" t="str">
            <v xml:space="preserve"> Rubber Grommet ID12.5 ID25</v>
          </cell>
          <cell r="D174">
            <v>0</v>
          </cell>
          <cell r="F174">
            <v>0</v>
          </cell>
          <cell r="G174">
            <v>0</v>
          </cell>
          <cell r="I174">
            <v>0</v>
          </cell>
        </row>
        <row r="175">
          <cell r="A175" t="str">
            <v>B0172</v>
          </cell>
          <cell r="B175" t="str">
            <v xml:space="preserve"> Union 3/8"MF to 3/8"BSPP Brass</v>
          </cell>
          <cell r="D175">
            <v>0</v>
          </cell>
          <cell r="F175">
            <v>0</v>
          </cell>
          <cell r="G175">
            <v>0</v>
          </cell>
          <cell r="I175">
            <v>0</v>
          </cell>
        </row>
        <row r="176">
          <cell r="A176" t="str">
            <v>B0173</v>
          </cell>
          <cell r="B176" t="str">
            <v xml:space="preserve"> Flexible Line 3/8" 300mm</v>
          </cell>
          <cell r="D176">
            <v>0</v>
          </cell>
          <cell r="F176">
            <v>0</v>
          </cell>
          <cell r="G176">
            <v>0</v>
          </cell>
          <cell r="I176">
            <v>0</v>
          </cell>
        </row>
        <row r="177">
          <cell r="A177" t="str">
            <v>B0174</v>
          </cell>
          <cell r="B177" t="str">
            <v xml:space="preserve"> Transformer 240-24Vdc Meanwell</v>
          </cell>
          <cell r="D177">
            <v>0</v>
          </cell>
          <cell r="F177">
            <v>0</v>
          </cell>
          <cell r="G177">
            <v>0</v>
          </cell>
          <cell r="I177">
            <v>0</v>
          </cell>
        </row>
        <row r="178">
          <cell r="A178" t="str">
            <v>B0175</v>
          </cell>
          <cell r="B178" t="str">
            <v>IP Enclosures Enclosure 500H x 400W x 200D Steel Powdercoated</v>
          </cell>
          <cell r="D178" t="str">
            <v>IP504020</v>
          </cell>
          <cell r="F178">
            <v>177.82352941176472</v>
          </cell>
          <cell r="G178">
            <v>120.92</v>
          </cell>
          <cell r="H178" t="str">
            <v>3-Tradezone</v>
          </cell>
          <cell r="I178">
            <v>0.32</v>
          </cell>
        </row>
        <row r="179">
          <cell r="A179" t="str">
            <v>B0176</v>
          </cell>
          <cell r="B179" t="str">
            <v xml:space="preserve"> Cable Lug M5 x 4mm2 Cu</v>
          </cell>
          <cell r="D179">
            <v>0</v>
          </cell>
          <cell r="F179">
            <v>0</v>
          </cell>
          <cell r="G179">
            <v>0</v>
          </cell>
          <cell r="I179">
            <v>0</v>
          </cell>
        </row>
        <row r="180">
          <cell r="A180" t="str">
            <v>B0177</v>
          </cell>
          <cell r="B180" t="str">
            <v xml:space="preserve"> Union 20mm Pex F to M 1/2" BSP</v>
          </cell>
          <cell r="D180">
            <v>0</v>
          </cell>
          <cell r="F180">
            <v>0</v>
          </cell>
          <cell r="G180">
            <v>0</v>
          </cell>
          <cell r="I180">
            <v>0</v>
          </cell>
        </row>
        <row r="181">
          <cell r="A181" t="str">
            <v>B0178</v>
          </cell>
          <cell r="B181" t="str">
            <v xml:space="preserve"> Relay 24v 40A/40A Ch/Over</v>
          </cell>
          <cell r="D181">
            <v>0</v>
          </cell>
          <cell r="F181">
            <v>0</v>
          </cell>
          <cell r="G181">
            <v>0</v>
          </cell>
          <cell r="I181">
            <v>0</v>
          </cell>
        </row>
        <row r="182">
          <cell r="A182" t="str">
            <v>B0179</v>
          </cell>
          <cell r="B182" t="str">
            <v xml:space="preserve"> Connector Blade 6.3mm 6mm Wire</v>
          </cell>
          <cell r="D182">
            <v>0</v>
          </cell>
          <cell r="F182">
            <v>0</v>
          </cell>
          <cell r="G182">
            <v>0</v>
          </cell>
          <cell r="I182">
            <v>0</v>
          </cell>
        </row>
        <row r="183">
          <cell r="A183" t="str">
            <v>B0180</v>
          </cell>
          <cell r="B183" t="str">
            <v xml:space="preserve"> 1 to 3 bus bar</v>
          </cell>
          <cell r="D183">
            <v>0</v>
          </cell>
          <cell r="F183">
            <v>0</v>
          </cell>
          <cell r="G183">
            <v>0</v>
          </cell>
          <cell r="I183">
            <v>0</v>
          </cell>
        </row>
        <row r="184">
          <cell r="A184" t="str">
            <v>B0181</v>
          </cell>
          <cell r="B184" t="str">
            <v xml:space="preserve"> Siemens PLC Controller</v>
          </cell>
          <cell r="D184">
            <v>0</v>
          </cell>
          <cell r="F184">
            <v>0</v>
          </cell>
          <cell r="G184">
            <v>0</v>
          </cell>
          <cell r="I184">
            <v>0</v>
          </cell>
        </row>
        <row r="185">
          <cell r="A185" t="str">
            <v>B0182</v>
          </cell>
          <cell r="B185" t="str">
            <v xml:space="preserve"> Circuit Breaker 10A DIN (MCB)</v>
          </cell>
          <cell r="D185">
            <v>0</v>
          </cell>
          <cell r="F185">
            <v>0</v>
          </cell>
          <cell r="G185">
            <v>0</v>
          </cell>
          <cell r="I185">
            <v>0</v>
          </cell>
        </row>
        <row r="186">
          <cell r="A186" t="str">
            <v>B0183</v>
          </cell>
          <cell r="B186" t="str">
            <v xml:space="preserve"> Circuit Breaker 2 Pole 63A</v>
          </cell>
          <cell r="D186">
            <v>0</v>
          </cell>
          <cell r="F186">
            <v>0</v>
          </cell>
          <cell r="G186">
            <v>0</v>
          </cell>
          <cell r="I186">
            <v>0</v>
          </cell>
        </row>
        <row r="187">
          <cell r="A187" t="str">
            <v>B0184</v>
          </cell>
          <cell r="B187" t="str">
            <v xml:space="preserve"> Relay DPDT 24vDC DIN</v>
          </cell>
          <cell r="D187">
            <v>0</v>
          </cell>
          <cell r="F187">
            <v>0</v>
          </cell>
          <cell r="G187">
            <v>0</v>
          </cell>
          <cell r="I187">
            <v>0</v>
          </cell>
        </row>
        <row r="188">
          <cell r="A188" t="str">
            <v>B0185</v>
          </cell>
          <cell r="B188" t="str">
            <v>NHP Din Rail TS35 Aluminium</v>
          </cell>
          <cell r="D188" t="str">
            <v>SDR2</v>
          </cell>
          <cell r="F188">
            <v>19.692307692307693</v>
          </cell>
          <cell r="G188">
            <v>12.8</v>
          </cell>
          <cell r="H188" t="str">
            <v>3-Tradezone</v>
          </cell>
          <cell r="I188">
            <v>0.35</v>
          </cell>
        </row>
        <row r="189">
          <cell r="A189" t="str">
            <v>B0186</v>
          </cell>
          <cell r="B189" t="str">
            <v xml:space="preserve"> DIN Rail end stop 35x6mm</v>
          </cell>
          <cell r="D189">
            <v>0</v>
          </cell>
          <cell r="F189">
            <v>0</v>
          </cell>
          <cell r="G189">
            <v>0</v>
          </cell>
          <cell r="I189">
            <v>0</v>
          </cell>
        </row>
        <row r="190">
          <cell r="A190" t="str">
            <v>B0187</v>
          </cell>
          <cell r="B190" t="str">
            <v xml:space="preserve"> Collar 1/2" HDPE Spinweld</v>
          </cell>
          <cell r="D190">
            <v>0</v>
          </cell>
          <cell r="F190">
            <v>0</v>
          </cell>
          <cell r="G190">
            <v>0</v>
          </cell>
          <cell r="I190">
            <v>0</v>
          </cell>
        </row>
        <row r="191">
          <cell r="A191" t="str">
            <v>B0188</v>
          </cell>
          <cell r="B191" t="str">
            <v xml:space="preserve"> Collar 3/4" HDPE Spinweld</v>
          </cell>
          <cell r="D191">
            <v>0</v>
          </cell>
          <cell r="F191">
            <v>0</v>
          </cell>
          <cell r="G191">
            <v>0</v>
          </cell>
          <cell r="I191">
            <v>0</v>
          </cell>
        </row>
        <row r="192">
          <cell r="A192" t="str">
            <v>B0189</v>
          </cell>
          <cell r="B192" t="str">
            <v xml:space="preserve"> Solar Connector MC4 Negative</v>
          </cell>
          <cell r="D192">
            <v>0</v>
          </cell>
          <cell r="F192">
            <v>0</v>
          </cell>
          <cell r="G192">
            <v>0</v>
          </cell>
          <cell r="I192">
            <v>0</v>
          </cell>
        </row>
        <row r="193">
          <cell r="A193" t="str">
            <v>B0190</v>
          </cell>
          <cell r="B193" t="str">
            <v xml:space="preserve"> Solar Connector MC4 Positive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B0191</v>
          </cell>
          <cell r="B194" t="str">
            <v xml:space="preserve"> Screw M10x60 S/S 316 Hex</v>
          </cell>
          <cell r="D194">
            <v>0</v>
          </cell>
          <cell r="F194">
            <v>0</v>
          </cell>
          <cell r="G194">
            <v>0</v>
          </cell>
          <cell r="I194">
            <v>0</v>
          </cell>
        </row>
        <row r="195">
          <cell r="A195" t="str">
            <v>B0192</v>
          </cell>
          <cell r="B195" t="str">
            <v xml:space="preserve"> Screw M10x20 S/S 316 Hex</v>
          </cell>
          <cell r="D195">
            <v>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B0193</v>
          </cell>
          <cell r="B196" t="str">
            <v xml:space="preserve"> Washer M10 Flat S/S316</v>
          </cell>
          <cell r="D196">
            <v>0</v>
          </cell>
          <cell r="F196">
            <v>0</v>
          </cell>
          <cell r="G196">
            <v>0</v>
          </cell>
          <cell r="I196">
            <v>0</v>
          </cell>
        </row>
        <row r="197">
          <cell r="A197" t="str">
            <v>B0194</v>
          </cell>
          <cell r="B197" t="str">
            <v xml:space="preserve"> Nut M10 S/S 316</v>
          </cell>
          <cell r="D197">
            <v>0</v>
          </cell>
          <cell r="F197">
            <v>0</v>
          </cell>
          <cell r="G197">
            <v>0</v>
          </cell>
          <cell r="I197">
            <v>0</v>
          </cell>
        </row>
        <row r="198">
          <cell r="A198" t="str">
            <v>B0195</v>
          </cell>
          <cell r="B198" t="str">
            <v xml:space="preserve"> Solar Panel 290W</v>
          </cell>
          <cell r="D198">
            <v>0</v>
          </cell>
          <cell r="F198">
            <v>0</v>
          </cell>
          <cell r="G198">
            <v>0</v>
          </cell>
          <cell r="I198">
            <v>0</v>
          </cell>
        </row>
        <row r="199">
          <cell r="A199" t="str">
            <v>B0196</v>
          </cell>
          <cell r="B199" t="str">
            <v xml:space="preserve"> Terminal Block 12 Pole 10A</v>
          </cell>
          <cell r="D199">
            <v>0</v>
          </cell>
          <cell r="F199">
            <v>0</v>
          </cell>
          <cell r="G199">
            <v>0</v>
          </cell>
          <cell r="I199">
            <v>0</v>
          </cell>
        </row>
        <row r="200">
          <cell r="A200" t="str">
            <v>B0197</v>
          </cell>
          <cell r="B200" t="str">
            <v xml:space="preserve"> Connector cable-joiner Blue 4mm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B0198</v>
          </cell>
          <cell r="B201" t="str">
            <v>Innotech Micro 3000 Controller M3K03</v>
          </cell>
          <cell r="D201" t="str">
            <v>M3K03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B0199</v>
          </cell>
          <cell r="B202" t="str">
            <v>Victron EasySolar 24/3000/70-50</v>
          </cell>
          <cell r="D202" t="str">
            <v>PMP243027010</v>
          </cell>
          <cell r="F202">
            <v>0</v>
          </cell>
          <cell r="G202">
            <v>2215.2000000000003</v>
          </cell>
          <cell r="H202" t="str">
            <v>1-Victron</v>
          </cell>
          <cell r="I202">
            <v>0.31111111111111112</v>
          </cell>
        </row>
        <row r="203">
          <cell r="A203" t="str">
            <v>B0200</v>
          </cell>
          <cell r="B203" t="str">
            <v xml:space="preserve"> Screw M5x16 Pan Phillips SS316</v>
          </cell>
          <cell r="D203">
            <v>0</v>
          </cell>
          <cell r="F203">
            <v>0</v>
          </cell>
          <cell r="G203">
            <v>0</v>
          </cell>
          <cell r="I203">
            <v>0</v>
          </cell>
        </row>
        <row r="204">
          <cell r="A204" t="str">
            <v>B0201</v>
          </cell>
          <cell r="B204" t="str">
            <v xml:space="preserve"> Victron SOLAR CHRG CONTR 100 12/24-30A</v>
          </cell>
          <cell r="D204">
            <v>0</v>
          </cell>
          <cell r="F204">
            <v>0</v>
          </cell>
          <cell r="G204">
            <v>0</v>
          </cell>
          <cell r="I204">
            <v>0</v>
          </cell>
        </row>
        <row r="205">
          <cell r="A205" t="str">
            <v>B0202</v>
          </cell>
          <cell r="B205" t="str">
            <v xml:space="preserve"> Solar Charge Controller 20A Victron Pro</v>
          </cell>
          <cell r="D205">
            <v>0</v>
          </cell>
          <cell r="F205">
            <v>0</v>
          </cell>
          <cell r="G205">
            <v>0</v>
          </cell>
          <cell r="I205">
            <v>0</v>
          </cell>
        </row>
        <row r="206">
          <cell r="A206" t="str">
            <v>B0203</v>
          </cell>
          <cell r="B206" t="str">
            <v xml:space="preserve"> Battery Lithium 18AH</v>
          </cell>
          <cell r="D206">
            <v>0</v>
          </cell>
          <cell r="F206">
            <v>0</v>
          </cell>
          <cell r="G206">
            <v>0</v>
          </cell>
          <cell r="I206">
            <v>0</v>
          </cell>
        </row>
        <row r="207">
          <cell r="A207" t="str">
            <v>B0204</v>
          </cell>
          <cell r="B207" t="str">
            <v>IP Enclosures Vent 130x130mm (IP Enclosures: IP-PSLV130130)</v>
          </cell>
          <cell r="D207" t="str">
            <v>IPPSLV130130</v>
          </cell>
          <cell r="F207">
            <v>12.153846153846153</v>
          </cell>
          <cell r="G207">
            <v>7.9</v>
          </cell>
          <cell r="H207" t="str">
            <v>3-Tradezone</v>
          </cell>
          <cell r="I207">
            <v>0.35</v>
          </cell>
        </row>
        <row r="208">
          <cell r="A208" t="str">
            <v>B0205</v>
          </cell>
          <cell r="B208" t="str">
            <v xml:space="preserve"> Washer M6 Split S/S304</v>
          </cell>
          <cell r="D208">
            <v>0</v>
          </cell>
          <cell r="F208">
            <v>0</v>
          </cell>
          <cell r="G208">
            <v>0</v>
          </cell>
          <cell r="I208">
            <v>0</v>
          </cell>
        </row>
        <row r="209">
          <cell r="A209" t="str">
            <v>B0206</v>
          </cell>
          <cell r="B209" t="str">
            <v>SMA  Sunny Boy 5.0kW Inverter</v>
          </cell>
          <cell r="D209" t="str">
            <v>SB 5.0-1</v>
          </cell>
          <cell r="F209">
            <v>2141.4285714285716</v>
          </cell>
          <cell r="G209">
            <v>1499</v>
          </cell>
          <cell r="H209" t="str">
            <v>2-Krannich</v>
          </cell>
          <cell r="I209">
            <v>0.3</v>
          </cell>
        </row>
        <row r="210">
          <cell r="A210" t="str">
            <v>B0207</v>
          </cell>
          <cell r="B210" t="str">
            <v>SMA  Sunny Boy 1.5kW Inverter</v>
          </cell>
          <cell r="D210" t="str">
            <v>SB 1.5-1VL-40</v>
          </cell>
          <cell r="F210">
            <v>1214.2857142857144</v>
          </cell>
          <cell r="G210">
            <v>850</v>
          </cell>
          <cell r="H210" t="str">
            <v>2-Krannich</v>
          </cell>
          <cell r="I210">
            <v>0.3</v>
          </cell>
        </row>
        <row r="211">
          <cell r="A211" t="str">
            <v>B0208</v>
          </cell>
          <cell r="B211" t="str">
            <v>SMA  Sunny Boy 2.5kW Inverter</v>
          </cell>
          <cell r="D211" t="str">
            <v>SB 2.5-1VL-40</v>
          </cell>
          <cell r="F211">
            <v>1614.2857142857144</v>
          </cell>
          <cell r="G211">
            <v>1130</v>
          </cell>
          <cell r="H211" t="str">
            <v>2-Krannich</v>
          </cell>
          <cell r="I211">
            <v>0.3</v>
          </cell>
        </row>
        <row r="212">
          <cell r="A212" t="str">
            <v>B0209</v>
          </cell>
          <cell r="B212" t="e">
            <v>#N/A</v>
          </cell>
          <cell r="D212" t="e">
            <v>#N/A</v>
          </cell>
          <cell r="F212">
            <v>0</v>
          </cell>
          <cell r="G212">
            <v>0</v>
          </cell>
          <cell r="H212" t="str">
            <v>7-Baywa</v>
          </cell>
          <cell r="I212">
            <v>0</v>
          </cell>
        </row>
        <row r="213">
          <cell r="A213" t="str">
            <v>B0210</v>
          </cell>
          <cell r="B213" t="str">
            <v xml:space="preserve"> SMA Sunny Boy 240 Micro Inverter</v>
          </cell>
          <cell r="D213">
            <v>0</v>
          </cell>
          <cell r="F213">
            <v>0</v>
          </cell>
          <cell r="G213">
            <v>0</v>
          </cell>
          <cell r="I213">
            <v>0</v>
          </cell>
        </row>
        <row r="214">
          <cell r="A214" t="str">
            <v>B0211</v>
          </cell>
          <cell r="B214" t="str">
            <v xml:space="preserve"> Inverter SMA Multigate controller - Microinverter</v>
          </cell>
          <cell r="D214">
            <v>0</v>
          </cell>
          <cell r="F214">
            <v>0</v>
          </cell>
          <cell r="G214">
            <v>0</v>
          </cell>
          <cell r="I214">
            <v>0</v>
          </cell>
        </row>
        <row r="215">
          <cell r="A215" t="str">
            <v>B0212</v>
          </cell>
          <cell r="B215" t="str">
            <v>SMA SMA Energy Meter</v>
          </cell>
          <cell r="D215" t="str">
            <v>EMETER-20</v>
          </cell>
          <cell r="F215">
            <v>698.52941176470597</v>
          </cell>
          <cell r="G215">
            <v>475</v>
          </cell>
          <cell r="H215" t="str">
            <v>2-Krannich</v>
          </cell>
          <cell r="I215">
            <v>0.32</v>
          </cell>
        </row>
        <row r="216">
          <cell r="A216" t="str">
            <v>B0213</v>
          </cell>
          <cell r="B216" t="str">
            <v xml:space="preserve"> Fuse 30A Midi</v>
          </cell>
          <cell r="D216">
            <v>0</v>
          </cell>
          <cell r="F216">
            <v>0</v>
          </cell>
          <cell r="G216">
            <v>0</v>
          </cell>
          <cell r="I216">
            <v>0</v>
          </cell>
        </row>
        <row r="217">
          <cell r="A217" t="str">
            <v>B0214</v>
          </cell>
          <cell r="B217" t="str">
            <v xml:space="preserve"> Shunt Adaptor DSA  for Plasmatronics Dingo</v>
          </cell>
          <cell r="D217">
            <v>0</v>
          </cell>
          <cell r="F217">
            <v>0</v>
          </cell>
          <cell r="G217">
            <v>0</v>
          </cell>
          <cell r="I217">
            <v>0</v>
          </cell>
        </row>
        <row r="218">
          <cell r="A218" t="str">
            <v>B0215</v>
          </cell>
          <cell r="B218" t="str">
            <v>Victron SmartSolar MPPT 150/85-TR VE.Can</v>
          </cell>
          <cell r="D218" t="str">
            <v>SCC115085410</v>
          </cell>
          <cell r="F218">
            <v>0</v>
          </cell>
          <cell r="G218">
            <v>0</v>
          </cell>
          <cell r="H218" t="str">
            <v>1-Victron</v>
          </cell>
          <cell r="I218">
            <v>0</v>
          </cell>
        </row>
        <row r="219">
          <cell r="A219" t="str">
            <v>B0216</v>
          </cell>
          <cell r="B219" t="str">
            <v>Victron SmartSolar MPPT 150/100 TR</v>
          </cell>
          <cell r="D219" t="str">
            <v>SCC115110211</v>
          </cell>
          <cell r="F219">
            <v>0</v>
          </cell>
          <cell r="G219">
            <v>0</v>
          </cell>
          <cell r="H219" t="str">
            <v>1-Victron</v>
          </cell>
          <cell r="I219">
            <v>0.31111111111111112</v>
          </cell>
        </row>
        <row r="220">
          <cell r="A220" t="str">
            <v>B0217</v>
          </cell>
          <cell r="B220" t="str">
            <v>Victron VE.Direct Bluetooth LE Dongle</v>
          </cell>
          <cell r="D220" t="str">
            <v>ASS030536011</v>
          </cell>
          <cell r="F220">
            <v>61.2</v>
          </cell>
          <cell r="G220">
            <v>42.16</v>
          </cell>
          <cell r="H220" t="str">
            <v>1-Victron</v>
          </cell>
          <cell r="I220">
            <v>0.31111111111111112</v>
          </cell>
        </row>
        <row r="221">
          <cell r="A221" t="str">
            <v>B0218</v>
          </cell>
          <cell r="B221" t="str">
            <v>Wattmaster Cable Lug 25mm2 x 6mm Copper (Bell/Straight)</v>
          </cell>
          <cell r="D221" t="str">
            <v>ALCL25M6/25</v>
          </cell>
          <cell r="F221">
            <v>1.0769230769230769</v>
          </cell>
          <cell r="G221">
            <v>0.7</v>
          </cell>
          <cell r="H221" t="str">
            <v>3-Tradezone</v>
          </cell>
          <cell r="I221">
            <v>0.35</v>
          </cell>
        </row>
        <row r="222">
          <cell r="A222" t="str">
            <v>B0219</v>
          </cell>
          <cell r="B222" t="str">
            <v xml:space="preserve"> Cable for SMA Micro Inverter - DC</v>
          </cell>
          <cell r="D222">
            <v>0</v>
          </cell>
          <cell r="F222">
            <v>0</v>
          </cell>
          <cell r="G222">
            <v>0</v>
          </cell>
          <cell r="I222">
            <v>0</v>
          </cell>
        </row>
        <row r="223">
          <cell r="A223" t="str">
            <v>B0220</v>
          </cell>
          <cell r="B223" t="str">
            <v>Victron SmartSolar LCD plugable screen</v>
          </cell>
          <cell r="D223" t="str">
            <v>SCC900650010</v>
          </cell>
          <cell r="F223">
            <v>0</v>
          </cell>
          <cell r="G223">
            <v>54.6</v>
          </cell>
          <cell r="H223" t="str">
            <v>1-Victron</v>
          </cell>
          <cell r="I223">
            <v>0.31111111111111112</v>
          </cell>
        </row>
        <row r="224">
          <cell r="A224" t="str">
            <v>B0221</v>
          </cell>
          <cell r="B224" t="str">
            <v>Victron Phoenix 24/1200 VE.Direct Inverter</v>
          </cell>
          <cell r="D224" t="str">
            <v>PIN242121300</v>
          </cell>
          <cell r="E224" t="str">
            <v>PIN242121300</v>
          </cell>
          <cell r="F224">
            <v>516.6</v>
          </cell>
          <cell r="G224">
            <v>355.88</v>
          </cell>
          <cell r="H224" t="str">
            <v>1-Victron</v>
          </cell>
          <cell r="I224">
            <v>0.31111111111111112</v>
          </cell>
        </row>
        <row r="225">
          <cell r="A225" t="str">
            <v>B0222</v>
          </cell>
          <cell r="B225" t="str">
            <v>Victron Phoenix 12/500  VE.Direct Inverter</v>
          </cell>
          <cell r="D225" t="str">
            <v>PIN125010300</v>
          </cell>
          <cell r="F225">
            <v>0</v>
          </cell>
          <cell r="G225">
            <v>0</v>
          </cell>
          <cell r="H225" t="str">
            <v>1-Victron</v>
          </cell>
          <cell r="I225">
            <v>0</v>
          </cell>
        </row>
        <row r="226">
          <cell r="A226" t="str">
            <v>B0223</v>
          </cell>
          <cell r="B226" t="str">
            <v>Victron LoRaWan Tranceiver Module</v>
          </cell>
          <cell r="D226" t="str">
            <v>ASS030542010</v>
          </cell>
          <cell r="F226">
            <v>0</v>
          </cell>
          <cell r="G226">
            <v>98.156190476190488</v>
          </cell>
          <cell r="H226" t="str">
            <v>1-Victron</v>
          </cell>
          <cell r="I226">
            <v>0.31111111111111112</v>
          </cell>
        </row>
        <row r="227">
          <cell r="A227" t="str">
            <v>B0224</v>
          </cell>
          <cell r="B227" t="str">
            <v>Victron BlueSolar MPPT 100/30A</v>
          </cell>
          <cell r="D227" t="str">
            <v>SCC020030200</v>
          </cell>
          <cell r="F227">
            <v>172.8</v>
          </cell>
          <cell r="G227">
            <v>119.03999999999999</v>
          </cell>
          <cell r="H227" t="str">
            <v>1-Victron</v>
          </cell>
          <cell r="I227">
            <v>0.31111111111111112</v>
          </cell>
        </row>
        <row r="228">
          <cell r="A228" t="str">
            <v>B0225</v>
          </cell>
          <cell r="B228" t="str">
            <v>IP Enclosures Enclosure 600H x 600W x 300D Steel Powdercoated</v>
          </cell>
          <cell r="D228" t="str">
            <v>IP606030</v>
          </cell>
          <cell r="F228">
            <v>478.26470588235304</v>
          </cell>
          <cell r="G228">
            <v>325.22000000000003</v>
          </cell>
          <cell r="H228" t="str">
            <v>6-Various</v>
          </cell>
          <cell r="I228">
            <v>0.32</v>
          </cell>
        </row>
        <row r="229">
          <cell r="A229" t="str">
            <v>B0226</v>
          </cell>
          <cell r="B229" t="str">
            <v>Plasmatronics WYS, WXS, WZS Cable Double Adaptor</v>
          </cell>
          <cell r="D229" t="str">
            <v>PLDA</v>
          </cell>
          <cell r="F229">
            <v>7.7913500000000004</v>
          </cell>
          <cell r="G229">
            <v>5.97</v>
          </cell>
          <cell r="H229" t="str">
            <v>4-Plasmatronics</v>
          </cell>
          <cell r="I229">
            <v>0.15736040609137059</v>
          </cell>
        </row>
        <row r="230">
          <cell r="A230" t="str">
            <v>B0227</v>
          </cell>
          <cell r="B230" t="str">
            <v>SMA Sunny Island 6.0H</v>
          </cell>
          <cell r="D230" t="str">
            <v>SI 6.0H</v>
          </cell>
          <cell r="F230">
            <v>5138.2428571428572</v>
          </cell>
          <cell r="G230">
            <v>3596.77</v>
          </cell>
          <cell r="H230" t="str">
            <v>7-Baywa</v>
          </cell>
          <cell r="I230">
            <v>0</v>
          </cell>
        </row>
        <row r="231">
          <cell r="A231" t="str">
            <v>B0228</v>
          </cell>
          <cell r="B231" t="str">
            <v>SMA Sunny Island 8.0H</v>
          </cell>
          <cell r="D231" t="str">
            <v>SI 8.0H</v>
          </cell>
          <cell r="F231">
            <v>5601.2857142857147</v>
          </cell>
          <cell r="G231">
            <v>3920.9</v>
          </cell>
          <cell r="H231" t="str">
            <v>7-Baywa</v>
          </cell>
          <cell r="I231">
            <v>0</v>
          </cell>
        </row>
        <row r="232">
          <cell r="A232" t="str">
            <v>B0229</v>
          </cell>
          <cell r="B232" t="e">
            <v>#N/A</v>
          </cell>
          <cell r="D232" t="e">
            <v>#N/A</v>
          </cell>
          <cell r="F232">
            <v>0</v>
          </cell>
          <cell r="G232">
            <v>0</v>
          </cell>
          <cell r="H232" t="str">
            <v>7-Baywa</v>
          </cell>
          <cell r="I232">
            <v>0</v>
          </cell>
        </row>
        <row r="233">
          <cell r="A233" t="str">
            <v>B0230</v>
          </cell>
          <cell r="B233" t="str">
            <v xml:space="preserve"> Inverter SMA Sunny Island 3.3M</v>
          </cell>
          <cell r="D233">
            <v>0</v>
          </cell>
          <cell r="F233">
            <v>0</v>
          </cell>
          <cell r="G233">
            <v>0</v>
          </cell>
          <cell r="H233" t="str">
            <v>7-Baywa</v>
          </cell>
          <cell r="I233">
            <v>0</v>
          </cell>
        </row>
        <row r="234">
          <cell r="A234" t="str">
            <v>B0231</v>
          </cell>
          <cell r="B234" t="str">
            <v>VICTRON AGM Super Cycle Batt. (M5) 12V60Ah</v>
          </cell>
          <cell r="D234" t="str">
            <v>BAT412060081</v>
          </cell>
          <cell r="F234">
            <v>0</v>
          </cell>
          <cell r="G234">
            <v>176.15619047619046</v>
          </cell>
          <cell r="H234" t="str">
            <v>1-Victron</v>
          </cell>
          <cell r="I234">
            <v>0.31111111111111112</v>
          </cell>
        </row>
        <row r="235">
          <cell r="A235" t="str">
            <v>B0232</v>
          </cell>
          <cell r="B235" t="str">
            <v xml:space="preserve"> Remote Controler for Sunny Island</v>
          </cell>
          <cell r="D235">
            <v>0</v>
          </cell>
          <cell r="F235">
            <v>0</v>
          </cell>
          <cell r="G235">
            <v>0</v>
          </cell>
          <cell r="I235">
            <v>0</v>
          </cell>
        </row>
        <row r="236">
          <cell r="A236" t="str">
            <v>B0233</v>
          </cell>
          <cell r="B236" t="str">
            <v xml:space="preserve"> Fuse 80A Midi</v>
          </cell>
          <cell r="D236">
            <v>0</v>
          </cell>
          <cell r="F236">
            <v>0</v>
          </cell>
          <cell r="G236">
            <v>0</v>
          </cell>
          <cell r="I236">
            <v>0</v>
          </cell>
        </row>
        <row r="237">
          <cell r="A237" t="str">
            <v>B0234</v>
          </cell>
          <cell r="B237" t="str">
            <v>Victron Phoenix 24/375 VE.Direct  IEC Socket</v>
          </cell>
          <cell r="D237" t="str">
            <v>PIN243750300</v>
          </cell>
          <cell r="F237">
            <v>192.6</v>
          </cell>
          <cell r="G237">
            <v>132.68</v>
          </cell>
          <cell r="H237" t="str">
            <v>1-Victron</v>
          </cell>
          <cell r="I237">
            <v>0.31111111111111112</v>
          </cell>
        </row>
        <row r="238">
          <cell r="A238" t="str">
            <v>B0235</v>
          </cell>
          <cell r="B238" t="str">
            <v>IP Enclosures Enclosure 500H x 500W x 250D Steel Powdercoated</v>
          </cell>
          <cell r="D238" t="str">
            <v>IP505025</v>
          </cell>
          <cell r="F238">
            <v>263.11764705882354</v>
          </cell>
          <cell r="G238">
            <v>178.92</v>
          </cell>
          <cell r="H238" t="str">
            <v>3-Tradezone</v>
          </cell>
          <cell r="I238">
            <v>0.32</v>
          </cell>
        </row>
        <row r="239">
          <cell r="A239" t="str">
            <v>B0236</v>
          </cell>
          <cell r="B239" t="str">
            <v>IP Enclosures Enclosure 800H x 600W x 300D Steel Powdercoated</v>
          </cell>
          <cell r="D239" t="str">
            <v>IP806030</v>
          </cell>
          <cell r="F239">
            <v>558.0441176470589</v>
          </cell>
          <cell r="G239">
            <v>379.47</v>
          </cell>
          <cell r="H239" t="str">
            <v>3-Tradezone</v>
          </cell>
          <cell r="I239">
            <v>0.32</v>
          </cell>
        </row>
        <row r="240">
          <cell r="A240" t="str">
            <v>B0237</v>
          </cell>
          <cell r="B240" t="str">
            <v>IP Enclosures Enclosure 1000H x 600W x 300D Steel Powdercoated</v>
          </cell>
          <cell r="D240" t="str">
            <v>IP1008030</v>
          </cell>
          <cell r="F240">
            <v>710.41176470588243</v>
          </cell>
          <cell r="G240">
            <v>483.08</v>
          </cell>
          <cell r="H240" t="str">
            <v>3-Tradezone</v>
          </cell>
          <cell r="I240">
            <v>0.32</v>
          </cell>
        </row>
        <row r="241">
          <cell r="A241" t="str">
            <v>B0238</v>
          </cell>
          <cell r="B241" t="str">
            <v>Victron Color Control GX Controller</v>
          </cell>
          <cell r="D241" t="str">
            <v>BPP010300100R</v>
          </cell>
          <cell r="F241">
            <v>668.7</v>
          </cell>
          <cell r="G241">
            <v>460.66</v>
          </cell>
          <cell r="H241" t="str">
            <v>1-Victron</v>
          </cell>
          <cell r="I241">
            <v>0.31111111111111112</v>
          </cell>
        </row>
        <row r="242">
          <cell r="A242" t="str">
            <v>B0239</v>
          </cell>
          <cell r="B242" t="str">
            <v>Victron MultiPlus 48/3000/35-50</v>
          </cell>
          <cell r="D242" t="str">
            <v>PMP483021010</v>
          </cell>
          <cell r="F242">
            <v>1394.1000000000001</v>
          </cell>
          <cell r="G242">
            <v>960.38</v>
          </cell>
          <cell r="H242" t="str">
            <v>1-Victron</v>
          </cell>
          <cell r="I242">
            <v>0.31111111111111112</v>
          </cell>
        </row>
        <row r="243">
          <cell r="A243" t="str">
            <v>B0240</v>
          </cell>
          <cell r="B243" t="str">
            <v>Victron MultiPlus-II 48/3000/35-32</v>
          </cell>
          <cell r="D243" t="str">
            <v>PMP482305010</v>
          </cell>
          <cell r="F243">
            <v>1121.4000000000001</v>
          </cell>
          <cell r="G243">
            <v>772.52</v>
          </cell>
          <cell r="H243" t="str">
            <v>1-Victron</v>
          </cell>
          <cell r="I243">
            <v>0.31111111111111112</v>
          </cell>
        </row>
        <row r="244">
          <cell r="A244" t="str">
            <v>B0241</v>
          </cell>
          <cell r="B244" t="str">
            <v xml:space="preserve">Victron Venus GX Controller </v>
          </cell>
          <cell r="D244" t="str">
            <v>BPP900400100</v>
          </cell>
          <cell r="F244">
            <v>421.2</v>
          </cell>
          <cell r="G244">
            <v>290.16000000000003</v>
          </cell>
          <cell r="H244" t="str">
            <v>1-Victron</v>
          </cell>
          <cell r="I244">
            <v>0.31111111111111112</v>
          </cell>
        </row>
        <row r="245">
          <cell r="A245" t="str">
            <v>B0242</v>
          </cell>
          <cell r="B245" t="str">
            <v>Victron MultiPlus 48/800/9-16</v>
          </cell>
          <cell r="D245" t="str">
            <v>PMP481800000</v>
          </cell>
          <cell r="F245">
            <v>583.20000000000005</v>
          </cell>
          <cell r="G245">
            <v>401.76</v>
          </cell>
          <cell r="H245" t="str">
            <v>1-Victron</v>
          </cell>
          <cell r="I245">
            <v>0.31111111111111112</v>
          </cell>
        </row>
        <row r="246">
          <cell r="A246" t="str">
            <v>B0243</v>
          </cell>
          <cell r="B246" t="str">
            <v>Victron MultiPlus 48/1200/13-16</v>
          </cell>
          <cell r="D246" t="str">
            <v>PMP482120000</v>
          </cell>
          <cell r="F246">
            <v>814.5</v>
          </cell>
          <cell r="G246">
            <v>561.1</v>
          </cell>
          <cell r="H246" t="str">
            <v>1-Victron</v>
          </cell>
          <cell r="I246">
            <v>0.31111111111111112</v>
          </cell>
        </row>
        <row r="247">
          <cell r="A247" t="str">
            <v>B0244</v>
          </cell>
          <cell r="B247" t="str">
            <v xml:space="preserve"> Sensor Victron - AC Current Sensor</v>
          </cell>
          <cell r="D247">
            <v>0</v>
          </cell>
          <cell r="F247">
            <v>0</v>
          </cell>
          <cell r="G247">
            <v>0</v>
          </cell>
          <cell r="H247" t="str">
            <v>1-Victron</v>
          </cell>
          <cell r="I247">
            <v>0.31111111111111112</v>
          </cell>
        </row>
        <row r="248">
          <cell r="A248" t="str">
            <v>B0245</v>
          </cell>
          <cell r="B248" t="str">
            <v>Victron Energy meter ET112 - 1 phase - max 100A</v>
          </cell>
          <cell r="D248" t="str">
            <v>REL300100000</v>
          </cell>
          <cell r="F248">
            <v>96.3</v>
          </cell>
          <cell r="G248">
            <v>66.34</v>
          </cell>
          <cell r="H248" t="str">
            <v>1-Victron</v>
          </cell>
          <cell r="I248">
            <v>0.31111111111111112</v>
          </cell>
        </row>
        <row r="249">
          <cell r="A249" t="str">
            <v>B0246</v>
          </cell>
          <cell r="B249" t="str">
            <v>Victron Phoenix 24/375 VE.Direct  AU Socket</v>
          </cell>
          <cell r="D249" t="str">
            <v>PIN243750300</v>
          </cell>
          <cell r="F249">
            <v>192.6</v>
          </cell>
          <cell r="G249">
            <v>132.68</v>
          </cell>
          <cell r="H249" t="str">
            <v>1-Victron</v>
          </cell>
          <cell r="I249">
            <v>0.31111111111111112</v>
          </cell>
        </row>
        <row r="250">
          <cell r="A250" t="str">
            <v>B0247</v>
          </cell>
          <cell r="B250" t="str">
            <v>SMA Tripower 10000TL-20</v>
          </cell>
          <cell r="D250" t="str">
            <v>STP 10000TL-20</v>
          </cell>
          <cell r="F250">
            <v>3557.9857142857145</v>
          </cell>
          <cell r="G250">
            <v>2490.59</v>
          </cell>
          <cell r="H250" t="str">
            <v>7-Baywa</v>
          </cell>
          <cell r="I250">
            <v>0</v>
          </cell>
        </row>
        <row r="251">
          <cell r="A251" t="str">
            <v>B0248</v>
          </cell>
          <cell r="B251" t="str">
            <v>SMA Tripower 15000TL-30</v>
          </cell>
          <cell r="D251" t="str">
            <v>STP 15000TL-30</v>
          </cell>
          <cell r="F251">
            <v>4562.2142857142862</v>
          </cell>
          <cell r="G251">
            <v>3193.55</v>
          </cell>
          <cell r="H251" t="str">
            <v>7-Baywa</v>
          </cell>
          <cell r="I251">
            <v>0</v>
          </cell>
        </row>
        <row r="252">
          <cell r="A252" t="str">
            <v>B0249</v>
          </cell>
          <cell r="B252" t="str">
            <v>SMA Tripower 5000TL-20</v>
          </cell>
          <cell r="D252" t="str">
            <v>STP 5000TL-20</v>
          </cell>
          <cell r="F252">
            <v>2336.3428571428572</v>
          </cell>
          <cell r="G252">
            <v>1635.44</v>
          </cell>
          <cell r="H252" t="str">
            <v>7-Baywa</v>
          </cell>
          <cell r="I252">
            <v>0</v>
          </cell>
        </row>
        <row r="253">
          <cell r="A253" t="str">
            <v>B0250</v>
          </cell>
          <cell r="B253" t="str">
            <v>SMA Tripower 20000TL-30</v>
          </cell>
          <cell r="D253" t="str">
            <v>STP 20000TL-30</v>
          </cell>
          <cell r="F253">
            <v>4899.3714285714286</v>
          </cell>
          <cell r="G253">
            <v>3429.56</v>
          </cell>
          <cell r="H253" t="str">
            <v>7-Baywa</v>
          </cell>
          <cell r="I253">
            <v>0</v>
          </cell>
        </row>
        <row r="254">
          <cell r="A254" t="str">
            <v>B0251</v>
          </cell>
          <cell r="B254" t="str">
            <v>SMA Sunny Home Manager 2.0</v>
          </cell>
          <cell r="D254" t="str">
            <v>HM-20</v>
          </cell>
          <cell r="F254">
            <v>1111.0714285714287</v>
          </cell>
          <cell r="G254">
            <v>777.75</v>
          </cell>
          <cell r="H254" t="str">
            <v>7-Baywa</v>
          </cell>
          <cell r="I254">
            <v>0</v>
          </cell>
        </row>
        <row r="255">
          <cell r="A255" t="str">
            <v>B0252</v>
          </cell>
          <cell r="B255" t="str">
            <v>Victron SmartSolar MPPT 150/35</v>
          </cell>
          <cell r="D255" t="str">
            <v>SCC115035210</v>
          </cell>
          <cell r="F255">
            <v>285.3</v>
          </cell>
          <cell r="G255">
            <v>196.54</v>
          </cell>
          <cell r="H255" t="str">
            <v>1-Victron</v>
          </cell>
          <cell r="I255">
            <v>0.31111111111111112</v>
          </cell>
        </row>
        <row r="256">
          <cell r="A256" t="str">
            <v>B0253</v>
          </cell>
          <cell r="B256" t="str">
            <v xml:space="preserve">Victron SmartSolar MPPT 150/60 TR </v>
          </cell>
          <cell r="D256" t="str">
            <v>SCC115060210</v>
          </cell>
          <cell r="F256">
            <v>492.3</v>
          </cell>
          <cell r="G256">
            <v>339.14</v>
          </cell>
          <cell r="H256" t="str">
            <v>1-Victron</v>
          </cell>
          <cell r="I256">
            <v>0.31111111111111112</v>
          </cell>
        </row>
        <row r="257">
          <cell r="A257" t="str">
            <v>B0254</v>
          </cell>
          <cell r="B257" t="str">
            <v xml:space="preserve"> Cable Gland 20mm Nylon</v>
          </cell>
          <cell r="D257">
            <v>0</v>
          </cell>
          <cell r="F257">
            <v>0</v>
          </cell>
          <cell r="G257">
            <v>0</v>
          </cell>
          <cell r="I257">
            <v>0</v>
          </cell>
        </row>
        <row r="258">
          <cell r="A258" t="str">
            <v>B0255</v>
          </cell>
          <cell r="B258" t="str">
            <v xml:space="preserve"> Cable Gland 16mm Nylon</v>
          </cell>
          <cell r="D258">
            <v>0</v>
          </cell>
          <cell r="F258">
            <v>0</v>
          </cell>
          <cell r="G258">
            <v>0</v>
          </cell>
          <cell r="I258">
            <v>0</v>
          </cell>
        </row>
        <row r="259">
          <cell r="A259" t="str">
            <v>B0256</v>
          </cell>
          <cell r="B259" t="str">
            <v xml:space="preserve"> RJ45 UTP Cable 0.9m</v>
          </cell>
          <cell r="D259">
            <v>0</v>
          </cell>
          <cell r="F259">
            <v>0</v>
          </cell>
          <cell r="G259">
            <v>0</v>
          </cell>
          <cell r="I259">
            <v>0</v>
          </cell>
        </row>
        <row r="260">
          <cell r="A260" t="str">
            <v>B0257</v>
          </cell>
          <cell r="B260" t="str">
            <v xml:space="preserve"> Solar Control Victron BlueSolar PWM-Light 48V-30A</v>
          </cell>
          <cell r="D260">
            <v>0</v>
          </cell>
          <cell r="F260">
            <v>0</v>
          </cell>
          <cell r="G260">
            <v>0</v>
          </cell>
          <cell r="H260" t="str">
            <v>1-Victron</v>
          </cell>
          <cell r="I260">
            <v>0.31111111111111112</v>
          </cell>
        </row>
        <row r="261">
          <cell r="A261" t="str">
            <v>B0258</v>
          </cell>
          <cell r="B261" t="str">
            <v>Victron RJ12 UTP Cable 1.8 m</v>
          </cell>
          <cell r="D261" t="str">
            <v>ASS030066018</v>
          </cell>
          <cell r="F261">
            <v>0</v>
          </cell>
          <cell r="G261">
            <v>0</v>
          </cell>
          <cell r="I261">
            <v>0</v>
          </cell>
        </row>
        <row r="262">
          <cell r="A262" t="str">
            <v>B0259</v>
          </cell>
          <cell r="B262" t="str">
            <v>Victron Battery Charger Blue Smart IP22 12/30(1)</v>
          </cell>
          <cell r="D262" t="str">
            <v>BPC123047012</v>
          </cell>
          <cell r="F262">
            <v>281.7</v>
          </cell>
          <cell r="G262">
            <v>194.06</v>
          </cell>
          <cell r="H262" t="str">
            <v>1-Victron</v>
          </cell>
          <cell r="I262">
            <v>0.31111111111111112</v>
          </cell>
        </row>
        <row r="263">
          <cell r="A263" t="str">
            <v>B0260</v>
          </cell>
          <cell r="B263" t="str">
            <v>SMA  Sunny Boy 6.0kW Inverter</v>
          </cell>
          <cell r="D263" t="str">
            <v>SB 6.0-1</v>
          </cell>
          <cell r="F263">
            <v>2450</v>
          </cell>
          <cell r="G263">
            <v>1715</v>
          </cell>
          <cell r="H263" t="str">
            <v>2-Krannich</v>
          </cell>
          <cell r="I263">
            <v>0.3</v>
          </cell>
        </row>
        <row r="264">
          <cell r="A264" t="str">
            <v>B0261</v>
          </cell>
          <cell r="B264" t="str">
            <v>Victron Battery Charger Blue Smart IP22 24/16 (1)</v>
          </cell>
          <cell r="D264" t="str">
            <v>BPC241647012</v>
          </cell>
          <cell r="F264">
            <v>0</v>
          </cell>
          <cell r="G264">
            <v>213.19999999999996</v>
          </cell>
          <cell r="H264" t="str">
            <v>1-Victron</v>
          </cell>
          <cell r="I264">
            <v>0.31111111111111112</v>
          </cell>
        </row>
        <row r="265">
          <cell r="A265" t="str">
            <v>B0262</v>
          </cell>
          <cell r="B265" t="str">
            <v>Victron Battery Charger Blue Smart IP22 24/16 (3)</v>
          </cell>
          <cell r="D265" t="str">
            <v>BPC241644012</v>
          </cell>
          <cell r="F265">
            <v>0</v>
          </cell>
          <cell r="G265">
            <v>241.8</v>
          </cell>
          <cell r="H265" t="str">
            <v>1-Victron</v>
          </cell>
          <cell r="I265">
            <v>0.31111111111111112</v>
          </cell>
        </row>
        <row r="266">
          <cell r="A266" t="str">
            <v>B0263</v>
          </cell>
          <cell r="B266" t="str">
            <v>Victron Battery Charger Blue Smart IP67 12/7 (1)</v>
          </cell>
          <cell r="D266" t="str">
            <v>BPC120713016</v>
          </cell>
          <cell r="F266">
            <v>0</v>
          </cell>
          <cell r="G266">
            <v>115.04380952380953</v>
          </cell>
          <cell r="H266" t="str">
            <v>1-Victron</v>
          </cell>
          <cell r="I266">
            <v>0.31111111111111112</v>
          </cell>
        </row>
        <row r="267">
          <cell r="A267" t="str">
            <v>B0264</v>
          </cell>
          <cell r="B267" t="str">
            <v>Victron Battery Charger Blue Smart IP67 12/17 (1)</v>
          </cell>
          <cell r="D267" t="str">
            <v>BPC121713016</v>
          </cell>
          <cell r="F267">
            <v>0</v>
          </cell>
          <cell r="G267">
            <v>148.84380952380954</v>
          </cell>
          <cell r="H267" t="str">
            <v>1-Victron</v>
          </cell>
          <cell r="I267">
            <v>0.31111111111111112</v>
          </cell>
        </row>
        <row r="268">
          <cell r="A268" t="str">
            <v>B0265</v>
          </cell>
          <cell r="B268" t="str">
            <v>ABB Uno 3.3KW 1ph</v>
          </cell>
          <cell r="D268" t="str">
            <v>UNO-DM-3.3-TL</v>
          </cell>
          <cell r="F268">
            <v>0</v>
          </cell>
          <cell r="G268">
            <v>0</v>
          </cell>
          <cell r="H268" t="str">
            <v>9-SolarJuice</v>
          </cell>
          <cell r="I268">
            <v>0</v>
          </cell>
        </row>
        <row r="269">
          <cell r="A269" t="str">
            <v>B0266</v>
          </cell>
          <cell r="B269" t="e">
            <v>#N/A</v>
          </cell>
          <cell r="D269" t="e">
            <v>#N/A</v>
          </cell>
          <cell r="F269">
            <v>0</v>
          </cell>
          <cell r="G269">
            <v>0</v>
          </cell>
          <cell r="H269" t="str">
            <v>1-Victron</v>
          </cell>
          <cell r="I269">
            <v>0</v>
          </cell>
        </row>
        <row r="270">
          <cell r="A270" t="str">
            <v>B0267</v>
          </cell>
          <cell r="B270" t="str">
            <v>Victron BlueSolar MPPT 100/15</v>
          </cell>
          <cell r="D270" t="str">
            <v>SCC010015200R</v>
          </cell>
          <cell r="F270">
            <v>95.4</v>
          </cell>
          <cell r="G270">
            <v>65.72</v>
          </cell>
          <cell r="H270" t="str">
            <v>1-Victron</v>
          </cell>
          <cell r="I270">
            <v>0.31111111111111112</v>
          </cell>
        </row>
        <row r="271">
          <cell r="A271" t="str">
            <v>B0268</v>
          </cell>
          <cell r="B271" t="str">
            <v>Victron BlueSolar MPPT 150/35</v>
          </cell>
          <cell r="D271" t="str">
            <v>SCC020035000</v>
          </cell>
          <cell r="F271">
            <v>259.2</v>
          </cell>
          <cell r="G271">
            <v>178.56</v>
          </cell>
          <cell r="H271" t="str">
            <v>1-Victron</v>
          </cell>
          <cell r="I271">
            <v>0.31111111111111112</v>
          </cell>
        </row>
        <row r="272">
          <cell r="A272" t="str">
            <v>B0269</v>
          </cell>
          <cell r="B272" t="str">
            <v>Victron BlueSolar MPPT 150/45-Tr</v>
          </cell>
          <cell r="D272" t="str">
            <v>SCC010045200</v>
          </cell>
          <cell r="F272">
            <v>0</v>
          </cell>
          <cell r="G272">
            <v>0</v>
          </cell>
          <cell r="H272" t="str">
            <v>1-Victron</v>
          </cell>
          <cell r="I272">
            <v>0</v>
          </cell>
        </row>
        <row r="273">
          <cell r="A273" t="str">
            <v>B0270</v>
          </cell>
          <cell r="B273" t="str">
            <v>Victron BlueSolar MPPT 150/45-MC4</v>
          </cell>
          <cell r="D273" t="str">
            <v>SCC010045300</v>
          </cell>
          <cell r="F273">
            <v>0</v>
          </cell>
          <cell r="G273">
            <v>0</v>
          </cell>
          <cell r="H273" t="str">
            <v>1-Victron</v>
          </cell>
          <cell r="I273">
            <v>0.31111111111111112</v>
          </cell>
        </row>
        <row r="274">
          <cell r="A274" t="str">
            <v>B0271</v>
          </cell>
          <cell r="B274" t="str">
            <v>Victron BlueSolar MPPT 150/60-Tr</v>
          </cell>
          <cell r="D274" t="str">
            <v>SCC010060200</v>
          </cell>
          <cell r="F274">
            <v>492.3</v>
          </cell>
          <cell r="G274">
            <v>339.14</v>
          </cell>
          <cell r="H274" t="str">
            <v>1-Victron</v>
          </cell>
          <cell r="I274">
            <v>0.31111111111111112</v>
          </cell>
        </row>
        <row r="275">
          <cell r="A275" t="str">
            <v>B0272</v>
          </cell>
          <cell r="B275" t="str">
            <v>Victron BlueSolar MPPT 150/60-MC4</v>
          </cell>
          <cell r="D275" t="str">
            <v>SCC010060300</v>
          </cell>
          <cell r="F275">
            <v>492.3</v>
          </cell>
          <cell r="G275">
            <v>339.14</v>
          </cell>
          <cell r="H275" t="str">
            <v>1-Victron</v>
          </cell>
          <cell r="I275">
            <v>0.31111111111111112</v>
          </cell>
        </row>
        <row r="276">
          <cell r="A276" t="str">
            <v>B0273</v>
          </cell>
          <cell r="B276" t="str">
            <v>Victron BlueSolar MPPT 150/70-Tr</v>
          </cell>
          <cell r="D276" t="str">
            <v>SCC010070200</v>
          </cell>
          <cell r="F276">
            <v>541.80000000000007</v>
          </cell>
          <cell r="G276">
            <v>373.24</v>
          </cell>
          <cell r="H276" t="str">
            <v>1-Victron</v>
          </cell>
          <cell r="I276">
            <v>0.31111111111111112</v>
          </cell>
        </row>
        <row r="277">
          <cell r="A277" t="str">
            <v>B0274</v>
          </cell>
          <cell r="B277" t="str">
            <v>Victron BlueSolar MPPT 150/70-MC4</v>
          </cell>
          <cell r="D277" t="str">
            <v>SCC010070300</v>
          </cell>
          <cell r="F277">
            <v>542.70000000000005</v>
          </cell>
          <cell r="G277">
            <v>373.86</v>
          </cell>
          <cell r="H277" t="str">
            <v>1-Victron</v>
          </cell>
          <cell r="I277">
            <v>0.31111111111111112</v>
          </cell>
        </row>
        <row r="278">
          <cell r="A278" t="str">
            <v>B0275</v>
          </cell>
          <cell r="B278" t="str">
            <v>Victron SmartSolar MPPT 75/10</v>
          </cell>
          <cell r="D278" t="str">
            <v>SCC075010060R</v>
          </cell>
          <cell r="F278">
            <v>95.4</v>
          </cell>
          <cell r="G278">
            <v>65.72</v>
          </cell>
          <cell r="H278" t="str">
            <v>1-Victron</v>
          </cell>
          <cell r="I278">
            <v>0.31111111111111112</v>
          </cell>
        </row>
        <row r="279">
          <cell r="A279" t="str">
            <v>B0276</v>
          </cell>
          <cell r="B279" t="str">
            <v>Victron SmartSolar MPPT 75/15</v>
          </cell>
          <cell r="D279" t="str">
            <v>SCC075015060R</v>
          </cell>
          <cell r="F279">
            <v>103.5</v>
          </cell>
          <cell r="G279">
            <v>71.3</v>
          </cell>
          <cell r="H279" t="str">
            <v>1-Victron</v>
          </cell>
          <cell r="I279">
            <v>0.31111111111111112</v>
          </cell>
        </row>
        <row r="280">
          <cell r="A280" t="str">
            <v>B0277</v>
          </cell>
          <cell r="B280" t="str">
            <v>Victron SmartSolar MPPT 100/15</v>
          </cell>
          <cell r="D280" t="str">
            <v>SCC110015060R</v>
          </cell>
          <cell r="F280">
            <v>120.60000000000001</v>
          </cell>
          <cell r="G280">
            <v>83.08</v>
          </cell>
          <cell r="H280" t="str">
            <v>1-Victron</v>
          </cell>
          <cell r="I280">
            <v>0.31111111111111112</v>
          </cell>
        </row>
        <row r="281">
          <cell r="A281" t="str">
            <v>B0278</v>
          </cell>
          <cell r="B281" t="str">
            <v>Victron SmartSolar MPPT 100/20</v>
          </cell>
          <cell r="D281" t="str">
            <v>SCC110020060R</v>
          </cell>
          <cell r="F281">
            <v>0</v>
          </cell>
          <cell r="G281">
            <v>0</v>
          </cell>
          <cell r="H281" t="str">
            <v>1-Victron</v>
          </cell>
          <cell r="I281">
            <v>0.31111111111111112</v>
          </cell>
        </row>
        <row r="282">
          <cell r="A282" t="str">
            <v>B0279</v>
          </cell>
          <cell r="B282" t="str">
            <v>Victron SmartSolar MPPT 100/30</v>
          </cell>
          <cell r="D282" t="str">
            <v>SCC110030210</v>
          </cell>
          <cell r="F282">
            <v>198.9</v>
          </cell>
          <cell r="G282">
            <v>137.02000000000001</v>
          </cell>
          <cell r="H282" t="str">
            <v>1-Victron</v>
          </cell>
          <cell r="I282">
            <v>0.31111111111111112</v>
          </cell>
        </row>
        <row r="283">
          <cell r="A283" t="str">
            <v>B0280</v>
          </cell>
          <cell r="B283" t="str">
            <v>Victron SmartSolar MPPT 100/50</v>
          </cell>
          <cell r="D283" t="str">
            <v>SCC110050210</v>
          </cell>
          <cell r="F283">
            <v>285.3</v>
          </cell>
          <cell r="G283">
            <v>196.54</v>
          </cell>
          <cell r="H283" t="str">
            <v>1-Victron</v>
          </cell>
          <cell r="I283">
            <v>0.31111111111111112</v>
          </cell>
        </row>
        <row r="284">
          <cell r="A284" t="str">
            <v>B0281</v>
          </cell>
          <cell r="B284" t="str">
            <v>Victron SmartSolar MPPT 150/45-Tr</v>
          </cell>
          <cell r="D284" t="str">
            <v>SCC115045210</v>
          </cell>
          <cell r="F284">
            <v>0</v>
          </cell>
          <cell r="G284">
            <v>0</v>
          </cell>
          <cell r="H284" t="str">
            <v>1-Victron</v>
          </cell>
          <cell r="I284">
            <v>0.31111111111111112</v>
          </cell>
        </row>
        <row r="285">
          <cell r="A285" t="str">
            <v>B0282</v>
          </cell>
          <cell r="B285" t="str">
            <v>Victron SmartSolar MPPT 150/45-MC4</v>
          </cell>
          <cell r="D285" t="str">
            <v>SCC115045310</v>
          </cell>
          <cell r="F285">
            <v>0</v>
          </cell>
          <cell r="G285">
            <v>0</v>
          </cell>
          <cell r="H285" t="str">
            <v>1-Victron</v>
          </cell>
          <cell r="I285">
            <v>0</v>
          </cell>
        </row>
        <row r="286">
          <cell r="A286" t="str">
            <v>B0283</v>
          </cell>
          <cell r="B286" t="str">
            <v>Victron SmartSolar MPPT 150/60-MC4</v>
          </cell>
          <cell r="D286" t="str">
            <v>SCC115060310</v>
          </cell>
          <cell r="F286">
            <v>492.3</v>
          </cell>
          <cell r="G286">
            <v>339.14</v>
          </cell>
          <cell r="H286" t="str">
            <v>1-Victron</v>
          </cell>
          <cell r="I286">
            <v>0.31111111111111112</v>
          </cell>
        </row>
        <row r="287">
          <cell r="A287" t="str">
            <v>B0284</v>
          </cell>
          <cell r="B287" t="str">
            <v>Victron SmartSolar MPPT 150/70-Tr</v>
          </cell>
          <cell r="D287" t="str">
            <v>SCC115070210</v>
          </cell>
          <cell r="F287">
            <v>0</v>
          </cell>
          <cell r="G287">
            <v>0</v>
          </cell>
          <cell r="H287" t="str">
            <v>1-Victron</v>
          </cell>
          <cell r="I287">
            <v>0</v>
          </cell>
        </row>
        <row r="288">
          <cell r="A288" t="str">
            <v>B0285</v>
          </cell>
          <cell r="B288" t="str">
            <v>Victron SmartSolar MPPT 150/70-MC4 VE.Can</v>
          </cell>
          <cell r="D288" t="str">
            <v xml:space="preserve">SCC115070511 </v>
          </cell>
          <cell r="F288">
            <v>0</v>
          </cell>
          <cell r="G288">
            <v>0</v>
          </cell>
          <cell r="H288" t="str">
            <v>1-Victron</v>
          </cell>
          <cell r="I288">
            <v>0</v>
          </cell>
        </row>
        <row r="289">
          <cell r="A289" t="str">
            <v>B0286</v>
          </cell>
          <cell r="B289" t="str">
            <v>Victron SmartSolar MPPT 150/85-MC-4</v>
          </cell>
          <cell r="D289" t="str">
            <v>SCC115085311</v>
          </cell>
          <cell r="F289">
            <v>0</v>
          </cell>
          <cell r="G289">
            <v>0</v>
          </cell>
          <cell r="H289" t="str">
            <v>1-Victron</v>
          </cell>
          <cell r="I289">
            <v>0</v>
          </cell>
        </row>
        <row r="290">
          <cell r="A290" t="str">
            <v>B0287</v>
          </cell>
          <cell r="B290" t="str">
            <v>Victron SmartSolar MPPT 150/100-MC-4</v>
          </cell>
          <cell r="D290" t="str">
            <v>SCC115110311</v>
          </cell>
          <cell r="F290">
            <v>0</v>
          </cell>
          <cell r="G290">
            <v>0</v>
          </cell>
          <cell r="H290" t="str">
            <v>1-Victron</v>
          </cell>
          <cell r="I290">
            <v>0</v>
          </cell>
        </row>
        <row r="291">
          <cell r="A291" t="str">
            <v>B0288</v>
          </cell>
          <cell r="B291" t="str">
            <v>Victron SmartSolar MPPT 250/60-Tr</v>
          </cell>
          <cell r="D291" t="str">
            <v>SCC125060221</v>
          </cell>
          <cell r="F291">
            <v>639.9</v>
          </cell>
          <cell r="G291">
            <v>440.82</v>
          </cell>
          <cell r="H291" t="str">
            <v>1-Victron</v>
          </cell>
          <cell r="I291">
            <v>0.31111111111111112</v>
          </cell>
        </row>
        <row r="292">
          <cell r="A292" t="str">
            <v>B0289</v>
          </cell>
          <cell r="B292" t="str">
            <v>Victron SmartSolar MPPT 250/60-MC4</v>
          </cell>
          <cell r="D292" t="str">
            <v>SCC125060320</v>
          </cell>
          <cell r="F292">
            <v>0</v>
          </cell>
          <cell r="G292">
            <v>0</v>
          </cell>
          <cell r="H292" t="str">
            <v>1-Victron</v>
          </cell>
          <cell r="I292">
            <v>0</v>
          </cell>
        </row>
        <row r="293">
          <cell r="A293" t="str">
            <v>B0290</v>
          </cell>
          <cell r="B293" t="str">
            <v>Victron SmartSolar MPPT 250/70-Tr</v>
          </cell>
          <cell r="D293" t="str">
            <v>SCC125070221</v>
          </cell>
          <cell r="F293">
            <v>738</v>
          </cell>
          <cell r="G293">
            <v>508.4</v>
          </cell>
          <cell r="H293" t="str">
            <v>1-Victron</v>
          </cell>
          <cell r="I293">
            <v>0.31111111111111112</v>
          </cell>
        </row>
        <row r="294">
          <cell r="A294" t="str">
            <v>B0291</v>
          </cell>
          <cell r="B294" t="str">
            <v>Victron SmartSolar MPPT 250/70-MC4</v>
          </cell>
          <cell r="D294" t="str">
            <v>SCC125070310</v>
          </cell>
          <cell r="F294">
            <v>0</v>
          </cell>
          <cell r="G294">
            <v>0</v>
          </cell>
          <cell r="H294" t="str">
            <v>1-Victron</v>
          </cell>
          <cell r="I294">
            <v>0.31111111111111112</v>
          </cell>
        </row>
        <row r="295">
          <cell r="A295" t="str">
            <v>B0292</v>
          </cell>
          <cell r="B295" t="str">
            <v>Victron SmartSolar MPPT 250/85-Tr</v>
          </cell>
          <cell r="D295" t="str">
            <v>SCC125085210</v>
          </cell>
          <cell r="F295">
            <v>0</v>
          </cell>
          <cell r="G295">
            <v>0</v>
          </cell>
          <cell r="H295" t="str">
            <v>1-Victron</v>
          </cell>
          <cell r="I295">
            <v>0.31111111111111112</v>
          </cell>
        </row>
        <row r="296">
          <cell r="A296" t="str">
            <v>B0293</v>
          </cell>
          <cell r="B296" t="str">
            <v>Victron SmartSolar MPPT 250/85-MC4</v>
          </cell>
          <cell r="D296" t="str">
            <v>SCC125085310</v>
          </cell>
          <cell r="F296">
            <v>0</v>
          </cell>
          <cell r="G296">
            <v>0</v>
          </cell>
          <cell r="H296" t="str">
            <v>1-Victron</v>
          </cell>
          <cell r="I296">
            <v>0.31111111111111112</v>
          </cell>
        </row>
        <row r="297">
          <cell r="A297" t="str">
            <v>B0294</v>
          </cell>
          <cell r="B297" t="e">
            <v>#N/A</v>
          </cell>
          <cell r="D297" t="e">
            <v>#N/A</v>
          </cell>
          <cell r="F297">
            <v>0</v>
          </cell>
          <cell r="G297">
            <v>0</v>
          </cell>
          <cell r="H297" t="str">
            <v>1-Victron</v>
          </cell>
          <cell r="I297">
            <v>0</v>
          </cell>
        </row>
        <row r="298">
          <cell r="A298" t="str">
            <v>B0295</v>
          </cell>
          <cell r="B298" t="e">
            <v>#N/A</v>
          </cell>
          <cell r="D298" t="e">
            <v>#N/A</v>
          </cell>
          <cell r="F298">
            <v>0</v>
          </cell>
          <cell r="G298">
            <v>0</v>
          </cell>
          <cell r="H298" t="str">
            <v>1-Victron</v>
          </cell>
          <cell r="I298">
            <v>0</v>
          </cell>
        </row>
        <row r="299">
          <cell r="A299" t="str">
            <v>B0296</v>
          </cell>
          <cell r="B299" t="str">
            <v xml:space="preserve"> Solar Controller Victron BlueSolar MPPT 150/70 CAN</v>
          </cell>
          <cell r="D299">
            <v>0</v>
          </cell>
          <cell r="F299">
            <v>0</v>
          </cell>
          <cell r="G299">
            <v>0</v>
          </cell>
          <cell r="H299" t="str">
            <v>1-Victron</v>
          </cell>
          <cell r="I299">
            <v>0.31111111111111112</v>
          </cell>
        </row>
        <row r="300">
          <cell r="A300" t="str">
            <v>B0297</v>
          </cell>
          <cell r="B300" t="str">
            <v xml:space="preserve"> Solar Controller Victron BlueSolar MPPT 150/85 CAN</v>
          </cell>
          <cell r="D300">
            <v>0</v>
          </cell>
          <cell r="F300">
            <v>0</v>
          </cell>
          <cell r="G300">
            <v>0</v>
          </cell>
          <cell r="H300" t="str">
            <v>1-Victron</v>
          </cell>
          <cell r="I300">
            <v>0.31111111111111112</v>
          </cell>
        </row>
        <row r="301">
          <cell r="A301" t="str">
            <v>B0298</v>
          </cell>
          <cell r="B301" t="str">
            <v>Victron RJ45 UTP Cable 3m</v>
          </cell>
          <cell r="D301" t="str">
            <v>ASS030064980</v>
          </cell>
          <cell r="F301">
            <v>0</v>
          </cell>
          <cell r="G301">
            <v>13.324999999999999</v>
          </cell>
          <cell r="H301" t="str">
            <v>1-Victron</v>
          </cell>
          <cell r="I301">
            <v>0.31111111111111112</v>
          </cell>
        </row>
        <row r="302">
          <cell r="A302" t="str">
            <v>B0299</v>
          </cell>
          <cell r="B302" t="str">
            <v>Victron MultiPlus 12/3000/120-16  VE.Bus</v>
          </cell>
          <cell r="D302" t="str">
            <v>PMP122300001</v>
          </cell>
          <cell r="F302">
            <v>0</v>
          </cell>
          <cell r="G302">
            <v>0</v>
          </cell>
          <cell r="H302" t="str">
            <v>1-Victron</v>
          </cell>
          <cell r="I302">
            <v>0</v>
          </cell>
        </row>
        <row r="303">
          <cell r="A303" t="str">
            <v>B0300</v>
          </cell>
          <cell r="B303" t="str">
            <v>Victron WireBox-L Tr (for Tr h=200mm)</v>
          </cell>
          <cell r="D303" t="str">
            <v>SCC950300210</v>
          </cell>
          <cell r="F303">
            <v>54.9</v>
          </cell>
          <cell r="G303">
            <v>37.82</v>
          </cell>
          <cell r="H303" t="str">
            <v>1-Victron</v>
          </cell>
          <cell r="I303">
            <v>0.31111111111111112</v>
          </cell>
        </row>
        <row r="304">
          <cell r="A304" t="str">
            <v>B0301</v>
          </cell>
          <cell r="B304" t="str">
            <v>Victron WireBox-L MC4 (for MC4 h=200mm)</v>
          </cell>
          <cell r="D304" t="str">
            <v>SCC950300300</v>
          </cell>
          <cell r="F304">
            <v>54.9</v>
          </cell>
          <cell r="G304">
            <v>37.82</v>
          </cell>
          <cell r="H304" t="str">
            <v>1-Victron</v>
          </cell>
          <cell r="I304">
            <v>0.31111111111111112</v>
          </cell>
        </row>
        <row r="305">
          <cell r="A305" t="str">
            <v>B0302</v>
          </cell>
          <cell r="B305" t="str">
            <v>Victron WireBox-XL Tr (for Tr h=216mm)</v>
          </cell>
          <cell r="D305" t="str">
            <v>SCC950400200</v>
          </cell>
          <cell r="F305">
            <v>0</v>
          </cell>
          <cell r="G305">
            <v>0</v>
          </cell>
          <cell r="H305" t="str">
            <v>1-Victron</v>
          </cell>
          <cell r="I305">
            <v>0</v>
          </cell>
        </row>
        <row r="306">
          <cell r="A306" t="str">
            <v>B0303</v>
          </cell>
          <cell r="B306" t="str">
            <v>Victron WireBox-XL MC4 (for MC4 h=216mm)</v>
          </cell>
          <cell r="D306" t="str">
            <v>SCC950400300</v>
          </cell>
          <cell r="F306">
            <v>54.9</v>
          </cell>
          <cell r="G306">
            <v>37.82</v>
          </cell>
          <cell r="H306" t="str">
            <v>1-Victron</v>
          </cell>
          <cell r="I306">
            <v>0.31111111111111112</v>
          </cell>
        </row>
        <row r="307">
          <cell r="A307" t="str">
            <v>B0304</v>
          </cell>
          <cell r="B307" t="str">
            <v>Victron Orion-Tr Smart 12/12-18A (220W) DC-DC charger</v>
          </cell>
          <cell r="D307" t="str">
            <v>ORI121222120</v>
          </cell>
          <cell r="F307">
            <v>0</v>
          </cell>
          <cell r="G307">
            <v>182.64380952380955</v>
          </cell>
          <cell r="H307" t="str">
            <v>1-Victron</v>
          </cell>
          <cell r="I307">
            <v>0.31111111111111112</v>
          </cell>
        </row>
        <row r="308">
          <cell r="A308" t="str">
            <v>B0305</v>
          </cell>
          <cell r="B308" t="str">
            <v>Victron Orion-Tr Smart 12/12-30A (360W) DC-DC charger</v>
          </cell>
          <cell r="D308" t="str">
            <v>ORI121236120</v>
          </cell>
          <cell r="F308">
            <v>0</v>
          </cell>
          <cell r="G308">
            <v>293.15619047619049</v>
          </cell>
          <cell r="H308" t="str">
            <v>1-Victron</v>
          </cell>
          <cell r="I308">
            <v>0.31111111111111112</v>
          </cell>
        </row>
        <row r="309">
          <cell r="A309" t="str">
            <v>B0306</v>
          </cell>
          <cell r="B309" t="str">
            <v>Victron Orion-Tr Smart 12/24-10A (240W) DC-DC charger</v>
          </cell>
          <cell r="D309" t="str">
            <v>ORI122424120</v>
          </cell>
          <cell r="F309">
            <v>0</v>
          </cell>
          <cell r="G309">
            <v>182.64380952380955</v>
          </cell>
          <cell r="H309" t="str">
            <v>1-Victron</v>
          </cell>
          <cell r="I309">
            <v>0.31111111111111112</v>
          </cell>
        </row>
        <row r="310">
          <cell r="A310" t="str">
            <v>B0307</v>
          </cell>
          <cell r="B310" t="str">
            <v>Victron Orion-Tr Smart 12/24-15A (360W) DC-DC charger</v>
          </cell>
          <cell r="D310" t="str">
            <v>ORI122436120</v>
          </cell>
          <cell r="F310">
            <v>0</v>
          </cell>
          <cell r="G310">
            <v>293.15619047619049</v>
          </cell>
          <cell r="H310" t="str">
            <v>1-Victron</v>
          </cell>
          <cell r="I310">
            <v>0.31111111111111112</v>
          </cell>
        </row>
        <row r="311">
          <cell r="A311" t="str">
            <v>B0308</v>
          </cell>
          <cell r="B311" t="str">
            <v>Victron Orion-Tr Smart 24/12-20A (240W) DC-DC charger</v>
          </cell>
          <cell r="D311" t="str">
            <v>ORI241224120</v>
          </cell>
          <cell r="F311">
            <v>0</v>
          </cell>
          <cell r="G311">
            <v>182.64380952380955</v>
          </cell>
          <cell r="H311" t="str">
            <v>1-Victron</v>
          </cell>
          <cell r="I311">
            <v>0.31111111111111112</v>
          </cell>
        </row>
        <row r="312">
          <cell r="A312" t="str">
            <v>B0309</v>
          </cell>
          <cell r="B312" t="str">
            <v>Victron Orion-Tr Smart 24/12-30A (360W) DC-DC charger (Isolated)</v>
          </cell>
          <cell r="D312" t="str">
            <v>ORI241236120</v>
          </cell>
          <cell r="F312">
            <v>0</v>
          </cell>
          <cell r="G312">
            <v>293.15619047619049</v>
          </cell>
          <cell r="H312" t="str">
            <v>1-Victron</v>
          </cell>
          <cell r="I312">
            <v>0.31111111111111112</v>
          </cell>
        </row>
        <row r="313">
          <cell r="A313" t="str">
            <v>B0310</v>
          </cell>
          <cell r="B313" t="str">
            <v>Victron Phoenix 12/800 VE.Direct AU/NZ</v>
          </cell>
          <cell r="D313" t="str">
            <v>PIN121800300</v>
          </cell>
          <cell r="F313">
            <v>0</v>
          </cell>
          <cell r="G313">
            <v>0</v>
          </cell>
          <cell r="H313" t="str">
            <v>1-Victron</v>
          </cell>
          <cell r="I313">
            <v>0</v>
          </cell>
        </row>
        <row r="314">
          <cell r="A314" t="str">
            <v>B0311</v>
          </cell>
          <cell r="B314" t="str">
            <v>Victron Orion-Tr Smart 24/24-12A (280W) DC-DC charger (Isolated)</v>
          </cell>
          <cell r="D314" t="str">
            <v>ORI242428120</v>
          </cell>
          <cell r="F314">
            <v>0</v>
          </cell>
          <cell r="G314">
            <v>182.64380952380955</v>
          </cell>
          <cell r="H314" t="str">
            <v>1-Victron</v>
          </cell>
          <cell r="I314">
            <v>0.31111111111111112</v>
          </cell>
        </row>
        <row r="315">
          <cell r="A315" t="str">
            <v>B0312</v>
          </cell>
          <cell r="B315" t="str">
            <v>Victron Phoenix 24/250 VE.Direct AU/NZ</v>
          </cell>
          <cell r="D315" t="str">
            <v>PIN242510300</v>
          </cell>
          <cell r="F315">
            <v>0</v>
          </cell>
          <cell r="G315">
            <v>0</v>
          </cell>
          <cell r="H315" t="str">
            <v>1-Victron</v>
          </cell>
          <cell r="I315">
            <v>0</v>
          </cell>
        </row>
        <row r="316">
          <cell r="A316" t="str">
            <v>B0313</v>
          </cell>
          <cell r="B316" t="e">
            <v>#N/A</v>
          </cell>
          <cell r="D316" t="e">
            <v>#N/A</v>
          </cell>
          <cell r="F316">
            <v>0</v>
          </cell>
          <cell r="G316">
            <v>0</v>
          </cell>
          <cell r="H316" t="str">
            <v>1-Victron</v>
          </cell>
          <cell r="I316">
            <v>0</v>
          </cell>
        </row>
        <row r="317">
          <cell r="A317" t="str">
            <v>B0314</v>
          </cell>
          <cell r="B317" t="str">
            <v>Victron Phoenix 24/500 VE.Direct AU/NZ</v>
          </cell>
          <cell r="D317" t="str">
            <v>PIN245010300</v>
          </cell>
          <cell r="F317">
            <v>0</v>
          </cell>
          <cell r="G317">
            <v>0</v>
          </cell>
          <cell r="H317" t="str">
            <v>1-Victron</v>
          </cell>
          <cell r="I317">
            <v>0</v>
          </cell>
        </row>
        <row r="318">
          <cell r="A318" t="str">
            <v>B0315</v>
          </cell>
          <cell r="B318" t="str">
            <v>Victron Cyrix-Li-load 12/24V-120A</v>
          </cell>
          <cell r="D318" t="str">
            <v>CYR010120450</v>
          </cell>
          <cell r="F318">
            <v>0</v>
          </cell>
          <cell r="G318">
            <v>72.156190476190474</v>
          </cell>
          <cell r="H318" t="str">
            <v>1-Victron</v>
          </cell>
          <cell r="I318">
            <v>0.31111111111111112</v>
          </cell>
        </row>
        <row r="319">
          <cell r="A319" t="str">
            <v>B0316</v>
          </cell>
          <cell r="B319" t="str">
            <v>Victron Phoenix 24/800 VE.Direct AU/NZ</v>
          </cell>
          <cell r="D319" t="str">
            <v>PIN241800300</v>
          </cell>
          <cell r="F319">
            <v>0</v>
          </cell>
          <cell r="G319">
            <v>0</v>
          </cell>
          <cell r="H319" t="str">
            <v>1-Victron</v>
          </cell>
          <cell r="I319">
            <v>0</v>
          </cell>
        </row>
        <row r="320">
          <cell r="A320" t="str">
            <v>B0317</v>
          </cell>
          <cell r="B320" t="str">
            <v>Victron Cyrix-Li-load 24/48V-120A</v>
          </cell>
          <cell r="D320" t="str">
            <v>CYR020120450</v>
          </cell>
          <cell r="F320">
            <v>0</v>
          </cell>
          <cell r="G320">
            <v>72.156190476190474</v>
          </cell>
          <cell r="H320" t="str">
            <v>1-Victron</v>
          </cell>
          <cell r="I320">
            <v>0.31111111111111112</v>
          </cell>
        </row>
        <row r="321">
          <cell r="A321" t="str">
            <v>B0318</v>
          </cell>
          <cell r="B321" t="str">
            <v>Victron Cyrix-Li-Charge 12/24V-120A</v>
          </cell>
          <cell r="D321" t="str">
            <v>CYR010120430</v>
          </cell>
          <cell r="F321">
            <v>0</v>
          </cell>
          <cell r="G321">
            <v>84.5</v>
          </cell>
          <cell r="H321" t="str">
            <v>1-Victron</v>
          </cell>
          <cell r="I321">
            <v>0.31111111111111112</v>
          </cell>
        </row>
        <row r="322">
          <cell r="A322" t="str">
            <v>B0319</v>
          </cell>
          <cell r="B322" t="str">
            <v>Victron Cyrix-Li-Charge 24/48V-120A</v>
          </cell>
          <cell r="D322" t="str">
            <v>CYR020120430</v>
          </cell>
          <cell r="F322">
            <v>0</v>
          </cell>
          <cell r="G322">
            <v>84.5</v>
          </cell>
          <cell r="H322" t="str">
            <v>1-Victron</v>
          </cell>
          <cell r="I322">
            <v>0.31111111111111112</v>
          </cell>
        </row>
        <row r="323">
          <cell r="A323" t="str">
            <v>B0320</v>
          </cell>
          <cell r="B323" t="str">
            <v>Victron Cyrix-Li-ct 12/24V-120A combiner</v>
          </cell>
          <cell r="D323" t="str">
            <v>CYR010120412</v>
          </cell>
          <cell r="F323">
            <v>0</v>
          </cell>
          <cell r="G323">
            <v>84.5</v>
          </cell>
          <cell r="H323" t="str">
            <v>1-Victron</v>
          </cell>
          <cell r="I323">
            <v>0.31111111111111112</v>
          </cell>
        </row>
        <row r="324">
          <cell r="A324" t="str">
            <v>B0321</v>
          </cell>
          <cell r="B324" t="str">
            <v>Latronics 12V 500W Inverter</v>
          </cell>
          <cell r="D324" t="str">
            <v>LS512</v>
          </cell>
          <cell r="F324">
            <v>0</v>
          </cell>
          <cell r="G324">
            <v>0</v>
          </cell>
          <cell r="H324" t="str">
            <v>5-Latronics</v>
          </cell>
          <cell r="I324">
            <v>0</v>
          </cell>
        </row>
        <row r="325">
          <cell r="A325" t="str">
            <v>B0322</v>
          </cell>
          <cell r="B325" t="str">
            <v>Latronics 12V 1000W Inverter</v>
          </cell>
          <cell r="D325" t="str">
            <v>LS1012</v>
          </cell>
          <cell r="F325">
            <v>0</v>
          </cell>
          <cell r="G325">
            <v>0</v>
          </cell>
          <cell r="H325" t="str">
            <v>5-Latronics</v>
          </cell>
          <cell r="I325">
            <v>0</v>
          </cell>
        </row>
        <row r="326">
          <cell r="A326" t="str">
            <v>B0323</v>
          </cell>
          <cell r="B326" t="str">
            <v>Latronics 12V 1500W Inverter</v>
          </cell>
          <cell r="D326" t="str">
            <v>LS1512</v>
          </cell>
          <cell r="F326">
            <v>0</v>
          </cell>
          <cell r="G326">
            <v>0</v>
          </cell>
          <cell r="H326" t="str">
            <v>5-Latronics</v>
          </cell>
          <cell r="I326">
            <v>0</v>
          </cell>
        </row>
        <row r="327">
          <cell r="A327" t="str">
            <v>B0324</v>
          </cell>
          <cell r="B327" t="str">
            <v>Latronics 12V 2000W Inverter</v>
          </cell>
          <cell r="D327" t="str">
            <v>LS2012</v>
          </cell>
          <cell r="F327">
            <v>0</v>
          </cell>
          <cell r="G327">
            <v>0</v>
          </cell>
          <cell r="H327" t="str">
            <v>5-Latronics</v>
          </cell>
          <cell r="I327">
            <v>0</v>
          </cell>
        </row>
        <row r="328">
          <cell r="A328" t="str">
            <v>B0325</v>
          </cell>
          <cell r="B328" t="str">
            <v>Latronics 24V 600W Inverter</v>
          </cell>
          <cell r="D328" t="str">
            <v>LS624</v>
          </cell>
          <cell r="F328">
            <v>0</v>
          </cell>
          <cell r="G328">
            <v>0</v>
          </cell>
          <cell r="H328" t="str">
            <v>5-Latronics</v>
          </cell>
          <cell r="I328">
            <v>0</v>
          </cell>
        </row>
        <row r="329">
          <cell r="A329" t="str">
            <v>B0326</v>
          </cell>
          <cell r="B329" t="str">
            <v>Latronics 24V 1200W Inverter</v>
          </cell>
          <cell r="D329" t="str">
            <v>LS1224</v>
          </cell>
          <cell r="F329">
            <v>0</v>
          </cell>
          <cell r="G329">
            <v>0</v>
          </cell>
          <cell r="H329" t="str">
            <v>5-Latronics</v>
          </cell>
          <cell r="I329">
            <v>0</v>
          </cell>
        </row>
        <row r="330">
          <cell r="A330" t="str">
            <v>B0327</v>
          </cell>
          <cell r="B330" t="str">
            <v>Latronics 24V 1800W Inverter</v>
          </cell>
          <cell r="D330" t="str">
            <v>LS1824</v>
          </cell>
          <cell r="F330">
            <v>0</v>
          </cell>
          <cell r="G330">
            <v>0</v>
          </cell>
          <cell r="H330" t="str">
            <v>5-Latronics</v>
          </cell>
          <cell r="I330">
            <v>0</v>
          </cell>
        </row>
        <row r="331">
          <cell r="A331" t="str">
            <v>B0328</v>
          </cell>
          <cell r="B331" t="str">
            <v>SMA Sunny Highpower Peak1 75KW</v>
          </cell>
          <cell r="D331" t="str">
            <v>SHP-75-10-Peak3</v>
          </cell>
          <cell r="F331">
            <v>9570</v>
          </cell>
          <cell r="G331">
            <v>6699</v>
          </cell>
          <cell r="H331" t="str">
            <v>2-Krannich</v>
          </cell>
          <cell r="I331">
            <v>0.3</v>
          </cell>
        </row>
        <row r="332">
          <cell r="A332" t="str">
            <v>B0329</v>
          </cell>
          <cell r="B332" t="str">
            <v>Victron Phoenix 48/800 VE.Direct AU/NZ</v>
          </cell>
          <cell r="D332" t="str">
            <v>PIN481800300</v>
          </cell>
          <cell r="F332">
            <v>390.6</v>
          </cell>
          <cell r="G332">
            <v>269.08</v>
          </cell>
          <cell r="H332" t="str">
            <v>1-Victron</v>
          </cell>
          <cell r="I332">
            <v>0.31111111111111112</v>
          </cell>
        </row>
        <row r="333">
          <cell r="A333" t="str">
            <v>B0330</v>
          </cell>
          <cell r="B333" t="str">
            <v xml:space="preserve"> Inverter Victron Phoenix 48/1200 VE.Direct AU</v>
          </cell>
          <cell r="D333">
            <v>0</v>
          </cell>
          <cell r="F333">
            <v>0</v>
          </cell>
          <cell r="G333">
            <v>0</v>
          </cell>
          <cell r="H333" t="str">
            <v>1-Victron</v>
          </cell>
          <cell r="I333">
            <v>0.31111111111111112</v>
          </cell>
        </row>
        <row r="334">
          <cell r="A334" t="str">
            <v>B0331</v>
          </cell>
          <cell r="B334" t="str">
            <v>Victron Phoenix 48/1200 VE.Direct IEC</v>
          </cell>
          <cell r="D334" t="str">
            <v>PIN482120100</v>
          </cell>
          <cell r="F334">
            <v>0</v>
          </cell>
          <cell r="G334">
            <v>720</v>
          </cell>
          <cell r="H334" t="str">
            <v>1-Victron</v>
          </cell>
          <cell r="I334">
            <v>0.31111111111111112</v>
          </cell>
        </row>
        <row r="335">
          <cell r="A335" t="str">
            <v>B0332</v>
          </cell>
          <cell r="B335" t="str">
            <v>Victron Phoenix Inverter C 12/1200</v>
          </cell>
          <cell r="D335" t="str">
            <v>CIN121220000</v>
          </cell>
          <cell r="F335">
            <v>671.4</v>
          </cell>
          <cell r="G335">
            <v>462.52</v>
          </cell>
          <cell r="H335" t="str">
            <v>1-Victron</v>
          </cell>
          <cell r="I335">
            <v>0.31111111111111112</v>
          </cell>
        </row>
        <row r="336">
          <cell r="A336" t="str">
            <v>B0333</v>
          </cell>
          <cell r="B336" t="str">
            <v>Victron Phoenix Inverter C 12/1600</v>
          </cell>
          <cell r="D336" t="str">
            <v>CIN121620000</v>
          </cell>
          <cell r="F336">
            <v>945</v>
          </cell>
          <cell r="G336">
            <v>651</v>
          </cell>
          <cell r="H336" t="str">
            <v>1-Victron</v>
          </cell>
          <cell r="I336">
            <v>0.31111111111111112</v>
          </cell>
        </row>
        <row r="337">
          <cell r="A337" t="str">
            <v>B0334</v>
          </cell>
          <cell r="B337" t="str">
            <v xml:space="preserve">Victron Phoenix Inverter C 12/2000 </v>
          </cell>
          <cell r="D337" t="str">
            <v>CIN122200000</v>
          </cell>
          <cell r="F337">
            <v>1142.1000000000001</v>
          </cell>
          <cell r="G337">
            <v>786.78</v>
          </cell>
          <cell r="H337" t="str">
            <v>1-Victron</v>
          </cell>
          <cell r="I337">
            <v>0.31111111111111112</v>
          </cell>
        </row>
        <row r="338">
          <cell r="A338" t="str">
            <v>B0335</v>
          </cell>
          <cell r="B338" t="str">
            <v xml:space="preserve">Victron Phoenix Inverter  24/2000 SMART </v>
          </cell>
          <cell r="D338" t="str">
            <v>PIN242200000</v>
          </cell>
          <cell r="F338">
            <v>0</v>
          </cell>
          <cell r="G338">
            <v>0</v>
          </cell>
          <cell r="H338" t="str">
            <v>1-Victron</v>
          </cell>
          <cell r="I338">
            <v>0</v>
          </cell>
        </row>
        <row r="339">
          <cell r="A339" t="str">
            <v>B0336</v>
          </cell>
          <cell r="B339" t="str">
            <v>Victron Phoenix Inverter C 24/1200</v>
          </cell>
          <cell r="D339" t="str">
            <v>CIN241220000</v>
          </cell>
          <cell r="F339">
            <v>0</v>
          </cell>
          <cell r="G339">
            <v>692.24380952380955</v>
          </cell>
          <cell r="H339" t="str">
            <v>1-Victron</v>
          </cell>
          <cell r="I339">
            <v>0.31111111111111112</v>
          </cell>
        </row>
        <row r="340">
          <cell r="A340" t="str">
            <v>B0337</v>
          </cell>
          <cell r="B340" t="str">
            <v>Victron Phoenix Inverter C 24/1600</v>
          </cell>
          <cell r="D340" t="str">
            <v>CIN241620000</v>
          </cell>
          <cell r="F340">
            <v>945</v>
          </cell>
          <cell r="G340">
            <v>651</v>
          </cell>
          <cell r="H340" t="str">
            <v>1-Victron</v>
          </cell>
          <cell r="I340">
            <v>0.31111111111111112</v>
          </cell>
        </row>
        <row r="341">
          <cell r="A341" t="str">
            <v>B0338</v>
          </cell>
          <cell r="B341" t="str">
            <v>Victron Phoenix Inverter C 24/2000</v>
          </cell>
          <cell r="D341" t="str">
            <v>CIN242200000</v>
          </cell>
          <cell r="F341">
            <v>1142.1000000000001</v>
          </cell>
          <cell r="G341">
            <v>786.78</v>
          </cell>
          <cell r="H341" t="str">
            <v>1-Victron</v>
          </cell>
          <cell r="I341">
            <v>0.31111111111111112</v>
          </cell>
        </row>
        <row r="342">
          <cell r="A342" t="str">
            <v>B0339</v>
          </cell>
          <cell r="B342" t="str">
            <v>Victron Phoenix Inverter 24/3000</v>
          </cell>
          <cell r="D342" t="str">
            <v>PIN243020000</v>
          </cell>
          <cell r="F342">
            <v>1474.2</v>
          </cell>
          <cell r="G342">
            <v>1015.56</v>
          </cell>
          <cell r="H342" t="str">
            <v>1-Victron</v>
          </cell>
          <cell r="I342">
            <v>0.31111111111111112</v>
          </cell>
        </row>
        <row r="343">
          <cell r="A343" t="str">
            <v>B0340</v>
          </cell>
          <cell r="B343" t="str">
            <v>Victron Phoenix Inverter 24/5000</v>
          </cell>
          <cell r="D343" t="str">
            <v>PIN245020000</v>
          </cell>
          <cell r="F343">
            <v>2571.3000000000002</v>
          </cell>
          <cell r="G343">
            <v>1771.34</v>
          </cell>
          <cell r="H343" t="str">
            <v>1-Victron</v>
          </cell>
          <cell r="I343">
            <v>0.31111111111111112</v>
          </cell>
        </row>
        <row r="344">
          <cell r="A344" t="str">
            <v>B0341</v>
          </cell>
          <cell r="B344" t="str">
            <v>Victron Phoenix Inverter 48/3000</v>
          </cell>
          <cell r="D344" t="str">
            <v>PIN483020000</v>
          </cell>
          <cell r="F344">
            <v>1425.6000000000001</v>
          </cell>
          <cell r="G344">
            <v>982.08</v>
          </cell>
          <cell r="H344" t="str">
            <v>1-Victron</v>
          </cell>
          <cell r="I344">
            <v>0.31111111111111112</v>
          </cell>
        </row>
        <row r="345">
          <cell r="A345" t="str">
            <v>B0342</v>
          </cell>
          <cell r="B345" t="str">
            <v>Victron Phoenix Inverter 48/5000</v>
          </cell>
          <cell r="D345" t="str">
            <v>PIN485020000</v>
          </cell>
          <cell r="F345">
            <v>2115</v>
          </cell>
          <cell r="G345">
            <v>1457</v>
          </cell>
          <cell r="H345" t="str">
            <v>1-Victron</v>
          </cell>
          <cell r="I345">
            <v>0.31111111111111112</v>
          </cell>
        </row>
        <row r="346">
          <cell r="A346" t="str">
            <v>B0343</v>
          </cell>
          <cell r="B346" t="str">
            <v>Victron MultiPlus 12/500/20-16</v>
          </cell>
          <cell r="D346" t="str">
            <v>PMP121500000</v>
          </cell>
          <cell r="F346">
            <v>573.30000000000007</v>
          </cell>
          <cell r="G346">
            <v>394.94</v>
          </cell>
          <cell r="H346" t="str">
            <v>1-Victron</v>
          </cell>
          <cell r="I346">
            <v>0.31111111111111112</v>
          </cell>
        </row>
        <row r="347">
          <cell r="A347" t="str">
            <v>B0344</v>
          </cell>
          <cell r="B347" t="str">
            <v>Victron MultiPlus 12/800/35-16</v>
          </cell>
          <cell r="D347" t="str">
            <v>PMP121800000</v>
          </cell>
          <cell r="F347">
            <v>751.5</v>
          </cell>
          <cell r="G347">
            <v>517.70000000000005</v>
          </cell>
          <cell r="H347" t="str">
            <v>1-Victron</v>
          </cell>
          <cell r="I347">
            <v>0.31111111111111112</v>
          </cell>
        </row>
        <row r="348">
          <cell r="A348" t="str">
            <v>B0345</v>
          </cell>
          <cell r="B348" t="str">
            <v>Victron MultiPlus 12/1200/50-16</v>
          </cell>
          <cell r="D348" t="str">
            <v>PMP122120000</v>
          </cell>
          <cell r="F348">
            <v>1050.3</v>
          </cell>
          <cell r="G348">
            <v>723.54</v>
          </cell>
          <cell r="H348" t="str">
            <v>1-Victron</v>
          </cell>
          <cell r="I348">
            <v>0.31111111111111112</v>
          </cell>
        </row>
        <row r="349">
          <cell r="A349" t="str">
            <v>B0346</v>
          </cell>
          <cell r="B349" t="str">
            <v>Victron MultiPlus C 12/800/35-16</v>
          </cell>
          <cell r="D349" t="str">
            <v>CMP128010000</v>
          </cell>
          <cell r="F349">
            <v>765.9</v>
          </cell>
          <cell r="G349">
            <v>527.62</v>
          </cell>
          <cell r="H349" t="str">
            <v>1-Victron</v>
          </cell>
          <cell r="I349">
            <v>0.31111111111111112</v>
          </cell>
        </row>
        <row r="350">
          <cell r="A350" t="str">
            <v>B0347</v>
          </cell>
          <cell r="B350" t="str">
            <v>Victron MultiPlus C 12/1200/50-16</v>
          </cell>
          <cell r="D350" t="str">
            <v>CMP121220000</v>
          </cell>
          <cell r="F350">
            <v>1083.6000000000001</v>
          </cell>
          <cell r="G350">
            <v>746.48</v>
          </cell>
          <cell r="H350" t="str">
            <v>1-Victron</v>
          </cell>
          <cell r="I350">
            <v>0.31111111111111112</v>
          </cell>
        </row>
        <row r="351">
          <cell r="A351" t="str">
            <v>B0348</v>
          </cell>
          <cell r="B351" t="str">
            <v>Victron MultiPlus C 12/1600/70-16</v>
          </cell>
          <cell r="D351" t="str">
            <v>CMP121620000</v>
          </cell>
          <cell r="F351">
            <v>1215</v>
          </cell>
          <cell r="G351">
            <v>837</v>
          </cell>
          <cell r="H351" t="str">
            <v>1-Victron</v>
          </cell>
          <cell r="I351">
            <v>0.31111111111111112</v>
          </cell>
        </row>
        <row r="352">
          <cell r="A352" t="str">
            <v>B0349</v>
          </cell>
          <cell r="B352" t="str">
            <v>Victron MultiPlus C 12/2000/80-30</v>
          </cell>
          <cell r="D352" t="str">
            <v>CMP122200000</v>
          </cell>
          <cell r="F352">
            <v>1641.6000000000001</v>
          </cell>
          <cell r="G352">
            <v>1130.8799999999999</v>
          </cell>
          <cell r="H352" t="str">
            <v>1-Victron</v>
          </cell>
          <cell r="I352">
            <v>0.31111111111111112</v>
          </cell>
        </row>
        <row r="353">
          <cell r="A353" t="str">
            <v>B0350</v>
          </cell>
          <cell r="B353" t="str">
            <v>Victron MultiPlus 12/3000/120-16</v>
          </cell>
          <cell r="D353" t="str">
            <v>PMP123020001</v>
          </cell>
          <cell r="F353">
            <v>0</v>
          </cell>
          <cell r="G353">
            <v>0</v>
          </cell>
          <cell r="H353" t="str">
            <v>1-Victron</v>
          </cell>
          <cell r="I353">
            <v>0</v>
          </cell>
        </row>
        <row r="354">
          <cell r="A354" t="str">
            <v>B0351</v>
          </cell>
          <cell r="B354" t="str">
            <v>Victron MultiPlus 12/3000/120-50</v>
          </cell>
          <cell r="D354" t="str">
            <v>PMP123021010</v>
          </cell>
          <cell r="F354">
            <v>2190.6</v>
          </cell>
          <cell r="G354">
            <v>1509.08</v>
          </cell>
          <cell r="H354" t="str">
            <v>1-Victron</v>
          </cell>
          <cell r="I354">
            <v>0.31111111111111112</v>
          </cell>
        </row>
        <row r="355">
          <cell r="A355" t="str">
            <v>B0352</v>
          </cell>
          <cell r="B355" t="str">
            <v>Victron Quattro 12/3000/120-50/50</v>
          </cell>
          <cell r="D355" t="str">
            <v>QUA123020010</v>
          </cell>
          <cell r="F355">
            <v>3095.1</v>
          </cell>
          <cell r="G355">
            <v>2132.1799999999998</v>
          </cell>
          <cell r="H355" t="str">
            <v>1-Victron</v>
          </cell>
          <cell r="I355">
            <v>0.31111111111111112</v>
          </cell>
        </row>
        <row r="356">
          <cell r="A356" t="str">
            <v>B0353</v>
          </cell>
          <cell r="B356" t="str">
            <v>Victron Quattro 12/5000/220-100/100</v>
          </cell>
          <cell r="D356" t="str">
            <v>QUA125020000</v>
          </cell>
          <cell r="F356">
            <v>4820.4000000000005</v>
          </cell>
          <cell r="G356">
            <v>3320.72</v>
          </cell>
          <cell r="H356" t="str">
            <v>1-Victron</v>
          </cell>
          <cell r="I356">
            <v>0.31111111111111112</v>
          </cell>
        </row>
        <row r="357">
          <cell r="A357" t="str">
            <v>B0354</v>
          </cell>
          <cell r="B357" t="str">
            <v>Victron MultiPlus 24/500/10-16</v>
          </cell>
          <cell r="D357" t="str">
            <v>PMP241500000</v>
          </cell>
          <cell r="F357">
            <v>573.30000000000007</v>
          </cell>
          <cell r="G357">
            <v>394.94</v>
          </cell>
          <cell r="H357" t="str">
            <v>1-Victron</v>
          </cell>
          <cell r="I357">
            <v>0.31111111111111112</v>
          </cell>
        </row>
        <row r="358">
          <cell r="A358" t="str">
            <v>B0355</v>
          </cell>
          <cell r="B358" t="str">
            <v>Victron MultiPlus 24/800/16-16</v>
          </cell>
          <cell r="D358" t="str">
            <v>PMP241800000</v>
          </cell>
          <cell r="F358">
            <v>751.5</v>
          </cell>
          <cell r="G358">
            <v>517.70000000000005</v>
          </cell>
          <cell r="H358" t="str">
            <v>1-Victron</v>
          </cell>
          <cell r="I358">
            <v>0.31111111111111112</v>
          </cell>
        </row>
        <row r="359">
          <cell r="A359" t="str">
            <v>B0356</v>
          </cell>
          <cell r="B359" t="str">
            <v>Victron MultiPlus 24/1200/25-16</v>
          </cell>
          <cell r="D359" t="str">
            <v>PMP242120000</v>
          </cell>
          <cell r="F359">
            <v>1050.3</v>
          </cell>
          <cell r="G359">
            <v>723.54</v>
          </cell>
          <cell r="H359" t="str">
            <v>1-Victron</v>
          </cell>
          <cell r="I359">
            <v>0.31111111111111112</v>
          </cell>
        </row>
        <row r="360">
          <cell r="A360" t="str">
            <v>B0357</v>
          </cell>
          <cell r="B360" t="str">
            <v>Victron MultiPlus C 24/800/16-16</v>
          </cell>
          <cell r="D360" t="str">
            <v>CMP248010000</v>
          </cell>
          <cell r="F360">
            <v>0</v>
          </cell>
          <cell r="G360">
            <v>0</v>
          </cell>
          <cell r="H360" t="str">
            <v>1-Victron</v>
          </cell>
          <cell r="I360">
            <v>0</v>
          </cell>
        </row>
        <row r="361">
          <cell r="A361" t="str">
            <v>B0358</v>
          </cell>
          <cell r="B361" t="str">
            <v>Victron MultiPlus C 24/1200/25-16</v>
          </cell>
          <cell r="D361" t="str">
            <v>CMP241220000</v>
          </cell>
          <cell r="F361">
            <v>1083.6000000000001</v>
          </cell>
          <cell r="G361">
            <v>746.48</v>
          </cell>
          <cell r="H361" t="str">
            <v>1-Victron</v>
          </cell>
          <cell r="I361">
            <v>0.31111111111111112</v>
          </cell>
        </row>
        <row r="362">
          <cell r="A362" t="str">
            <v>B0359</v>
          </cell>
          <cell r="B362" t="str">
            <v>Victron MultiPlus C 24/1600/40-16</v>
          </cell>
          <cell r="D362" t="str">
            <v>CMP241620000</v>
          </cell>
          <cell r="F362">
            <v>1215</v>
          </cell>
          <cell r="G362">
            <v>837</v>
          </cell>
          <cell r="H362" t="str">
            <v>1-Victron</v>
          </cell>
          <cell r="I362">
            <v>0.31111111111111112</v>
          </cell>
        </row>
        <row r="363">
          <cell r="A363" t="str">
            <v>B0360</v>
          </cell>
          <cell r="B363" t="str">
            <v>Victron MultiPlus C 24/2000/50-30</v>
          </cell>
          <cell r="D363" t="str">
            <v>CMP242200000</v>
          </cell>
          <cell r="F363">
            <v>1579.5</v>
          </cell>
          <cell r="G363">
            <v>1088.0999999999999</v>
          </cell>
          <cell r="H363" t="str">
            <v>1-Victron</v>
          </cell>
          <cell r="I363">
            <v>0.31111111111111112</v>
          </cell>
        </row>
        <row r="364">
          <cell r="A364" t="str">
            <v>B0361</v>
          </cell>
          <cell r="B364" t="str">
            <v>Victron MultiPlus 24/3000/70-16</v>
          </cell>
          <cell r="D364" t="str">
            <v>PMP242300001</v>
          </cell>
          <cell r="F364">
            <v>2029.5</v>
          </cell>
          <cell r="G364">
            <v>1398.1</v>
          </cell>
          <cell r="H364" t="str">
            <v>1-Victron</v>
          </cell>
          <cell r="I364">
            <v>0.31111111111111112</v>
          </cell>
        </row>
        <row r="365">
          <cell r="A365" t="str">
            <v>B0362</v>
          </cell>
          <cell r="B365" t="str">
            <v>Victron MultiPlus 24/3000/70-50</v>
          </cell>
          <cell r="D365" t="str">
            <v>PMP242301011</v>
          </cell>
          <cell r="F365">
            <v>2190.6</v>
          </cell>
          <cell r="G365">
            <v>1509.08</v>
          </cell>
          <cell r="H365" t="str">
            <v>1-Victron</v>
          </cell>
          <cell r="I365">
            <v>0.31111111111111112</v>
          </cell>
        </row>
        <row r="366">
          <cell r="A366" t="str">
            <v>B0363</v>
          </cell>
          <cell r="B366" t="str">
            <v>Victron MultiPlus 24/5000/120-100</v>
          </cell>
          <cell r="D366" t="str">
            <v>PMP245021010</v>
          </cell>
          <cell r="F366">
            <v>3220.2000000000003</v>
          </cell>
          <cell r="G366">
            <v>2218.36</v>
          </cell>
          <cell r="H366" t="str">
            <v>1-Victron</v>
          </cell>
          <cell r="I366">
            <v>0.31111111111111112</v>
          </cell>
        </row>
        <row r="367">
          <cell r="A367" t="str">
            <v>B0364</v>
          </cell>
          <cell r="B367" t="str">
            <v>Victron Quattro 24/3000/70-50/50</v>
          </cell>
          <cell r="D367" t="str">
            <v>QUA243020010</v>
          </cell>
          <cell r="F367">
            <v>2969.1</v>
          </cell>
          <cell r="G367">
            <v>2045.3799999999999</v>
          </cell>
          <cell r="H367" t="str">
            <v>1-Victron</v>
          </cell>
          <cell r="I367">
            <v>0.31111111111111112</v>
          </cell>
        </row>
        <row r="368">
          <cell r="A368" t="str">
            <v>B0365</v>
          </cell>
          <cell r="B368" t="str">
            <v>Victron Quattro 24/5000/120-100/100</v>
          </cell>
          <cell r="D368" t="str">
            <v>QUA245021010</v>
          </cell>
          <cell r="F368">
            <v>4068.9</v>
          </cell>
          <cell r="G368">
            <v>2803.02</v>
          </cell>
          <cell r="H368" t="str">
            <v>1-Victron</v>
          </cell>
          <cell r="I368">
            <v>0.31111111111111112</v>
          </cell>
        </row>
        <row r="369">
          <cell r="A369" t="str">
            <v>B0366</v>
          </cell>
          <cell r="B369" t="str">
            <v>Victron Quattro 24/8000/200-100/100</v>
          </cell>
          <cell r="D369" t="str">
            <v>QUA248020010</v>
          </cell>
          <cell r="F369">
            <v>5135.4000000000005</v>
          </cell>
          <cell r="G369">
            <v>3537.72</v>
          </cell>
          <cell r="H369" t="str">
            <v>1-Victron</v>
          </cell>
          <cell r="I369">
            <v>0.31111111111111112</v>
          </cell>
        </row>
        <row r="370">
          <cell r="A370" t="str">
            <v>B0367</v>
          </cell>
          <cell r="B370" t="str">
            <v>Victron MultiPlus 48/500/6-16</v>
          </cell>
          <cell r="D370" t="str">
            <v>PMP481500000</v>
          </cell>
          <cell r="F370">
            <v>495</v>
          </cell>
          <cell r="G370">
            <v>341</v>
          </cell>
          <cell r="H370" t="str">
            <v>1-Victron</v>
          </cell>
          <cell r="I370">
            <v>0.31111111111111112</v>
          </cell>
        </row>
        <row r="371">
          <cell r="A371" t="str">
            <v>B0368</v>
          </cell>
          <cell r="B371" t="str">
            <v>Victron MultiPlus 48/3000/35-16</v>
          </cell>
          <cell r="D371" t="str">
            <v>PMP483020001</v>
          </cell>
          <cell r="F371">
            <v>1335.6000000000001</v>
          </cell>
          <cell r="G371">
            <v>920.08</v>
          </cell>
          <cell r="H371" t="str">
            <v>1-Victron</v>
          </cell>
          <cell r="I371">
            <v>0.31111111111111112</v>
          </cell>
        </row>
        <row r="372">
          <cell r="A372" t="str">
            <v>B0369</v>
          </cell>
          <cell r="B372" t="str">
            <v>Victron MultiPlus 48/5000/70-100</v>
          </cell>
          <cell r="D372" t="str">
            <v>PMP485021010</v>
          </cell>
          <cell r="F372">
            <v>1990.8</v>
          </cell>
          <cell r="G372">
            <v>1371.44</v>
          </cell>
          <cell r="H372" t="str">
            <v>1-Victron</v>
          </cell>
          <cell r="I372">
            <v>0.31111111111111112</v>
          </cell>
        </row>
        <row r="373">
          <cell r="A373" t="str">
            <v>B0370</v>
          </cell>
          <cell r="B373" t="str">
            <v>Victron Quattro 48/5000/70-100/100</v>
          </cell>
          <cell r="D373" t="str">
            <v>QUA485021010</v>
          </cell>
          <cell r="F373">
            <v>3356.1</v>
          </cell>
          <cell r="G373">
            <v>2311.98</v>
          </cell>
          <cell r="H373" t="str">
            <v>1-Victron</v>
          </cell>
          <cell r="I373">
            <v>0.31111111111111112</v>
          </cell>
        </row>
        <row r="374">
          <cell r="A374" t="str">
            <v>B0371</v>
          </cell>
          <cell r="B374" t="str">
            <v>Victron Quattro 48/5000/70-100/100-S</v>
          </cell>
          <cell r="D374" t="str">
            <v>QUA485021011</v>
          </cell>
          <cell r="F374">
            <v>0</v>
          </cell>
          <cell r="G374">
            <v>0</v>
          </cell>
          <cell r="H374" t="str">
            <v>1-Victron</v>
          </cell>
          <cell r="I374">
            <v>0</v>
          </cell>
        </row>
        <row r="375">
          <cell r="A375" t="str">
            <v>B0372</v>
          </cell>
          <cell r="B375" t="str">
            <v>Victron Quattro 48/8000/110-100/100</v>
          </cell>
          <cell r="D375" t="str">
            <v>QUA488024000</v>
          </cell>
          <cell r="F375">
            <v>4429.8</v>
          </cell>
          <cell r="G375">
            <v>3051.64</v>
          </cell>
          <cell r="H375" t="str">
            <v>1-Victron</v>
          </cell>
          <cell r="I375">
            <v>0.31111111111111112</v>
          </cell>
        </row>
        <row r="376">
          <cell r="A376" t="str">
            <v>B0373</v>
          </cell>
          <cell r="B376" t="str">
            <v>Victron Quattro 48/10000/140-100/100</v>
          </cell>
          <cell r="D376" t="str">
            <v>QUA481030010</v>
          </cell>
          <cell r="F376">
            <v>5292</v>
          </cell>
          <cell r="G376">
            <v>3645.6</v>
          </cell>
          <cell r="H376" t="str">
            <v>1-Victron</v>
          </cell>
          <cell r="I376">
            <v>0.31111111111111112</v>
          </cell>
        </row>
        <row r="377">
          <cell r="A377" t="str">
            <v>B0374</v>
          </cell>
          <cell r="B377" t="str">
            <v>Victron Quattro 48/15000/200-100/100</v>
          </cell>
          <cell r="D377" t="str">
            <v>QUA483150000</v>
          </cell>
          <cell r="F377">
            <v>6952.5</v>
          </cell>
          <cell r="G377">
            <v>4789.5</v>
          </cell>
          <cell r="H377" t="str">
            <v>1-Victron</v>
          </cell>
          <cell r="I377">
            <v>0.31111111111111112</v>
          </cell>
        </row>
        <row r="378">
          <cell r="A378" t="str">
            <v>B0375</v>
          </cell>
          <cell r="B378" t="str">
            <v>Victron EasyPlus C 12/1600/70-16</v>
          </cell>
          <cell r="D378" t="str">
            <v>CEP121620000</v>
          </cell>
          <cell r="F378">
            <v>1555.2</v>
          </cell>
          <cell r="G378">
            <v>1071.3599999999999</v>
          </cell>
          <cell r="H378" t="str">
            <v>1-Victron</v>
          </cell>
          <cell r="I378">
            <v>0.31111111111111112</v>
          </cell>
        </row>
        <row r="379">
          <cell r="A379" t="str">
            <v>B0376</v>
          </cell>
          <cell r="B379" t="str">
            <v>Victron VE.Direct Cable 1.8m</v>
          </cell>
          <cell r="D379" t="str">
            <v>ASS030530218</v>
          </cell>
          <cell r="F379">
            <v>0</v>
          </cell>
          <cell r="G379">
            <v>14.26</v>
          </cell>
          <cell r="H379" t="str">
            <v>1-Victron</v>
          </cell>
          <cell r="I379">
            <v>0</v>
          </cell>
        </row>
        <row r="380">
          <cell r="A380" t="str">
            <v>B0377</v>
          </cell>
          <cell r="B380" t="str">
            <v>SMA Sunny Tripower Core2 110KW</v>
          </cell>
          <cell r="D380" t="str">
            <v>STP110-60-Core-2</v>
          </cell>
          <cell r="F380">
            <v>12500</v>
          </cell>
          <cell r="G380">
            <v>8750</v>
          </cell>
          <cell r="H380" t="str">
            <v>2-Krannich</v>
          </cell>
          <cell r="I380">
            <v>0.3</v>
          </cell>
        </row>
        <row r="381">
          <cell r="A381" t="str">
            <v>B0378</v>
          </cell>
          <cell r="B381" t="str">
            <v>Victron MultiPlus-II 48/15000/200-100/100</v>
          </cell>
          <cell r="D381" t="str">
            <v>PMP483150000</v>
          </cell>
          <cell r="F381">
            <v>6258.6</v>
          </cell>
          <cell r="G381">
            <v>4311.4799999999996</v>
          </cell>
          <cell r="H381" t="str">
            <v>1-Victron</v>
          </cell>
          <cell r="I381">
            <v>0.31111111111111112</v>
          </cell>
        </row>
        <row r="382">
          <cell r="A382" t="str">
            <v>B0379</v>
          </cell>
          <cell r="B382" t="str">
            <v>Fronius Eco 25KW 3Ph Inverter</v>
          </cell>
          <cell r="D382" t="str">
            <v>Eco 25.0-3-S</v>
          </cell>
          <cell r="F382">
            <v>4998.5714285714284</v>
          </cell>
          <cell r="G382">
            <v>3499</v>
          </cell>
          <cell r="H382" t="str">
            <v>2-Krannich</v>
          </cell>
          <cell r="I382">
            <v>0.3</v>
          </cell>
        </row>
        <row r="383">
          <cell r="A383" t="str">
            <v>B0380</v>
          </cell>
          <cell r="B383" t="str">
            <v>Fronius Eco 27KW 3Ph Inverter</v>
          </cell>
          <cell r="D383" t="str">
            <v>Eco 27.0-3-S</v>
          </cell>
          <cell r="F383">
            <v>5141.4285714285716</v>
          </cell>
          <cell r="G383">
            <v>3599</v>
          </cell>
          <cell r="H383" t="str">
            <v>2-Krannich</v>
          </cell>
          <cell r="I383">
            <v>0.3</v>
          </cell>
        </row>
        <row r="384">
          <cell r="A384" t="str">
            <v>B0381</v>
          </cell>
          <cell r="B384" t="str">
            <v>Fronius Symo 3.0KW 3ph Inverter</v>
          </cell>
          <cell r="D384" t="str">
            <v>Symo-3.0-3-M</v>
          </cell>
          <cell r="F384">
            <v>2284.2857142857142</v>
          </cell>
          <cell r="G384">
            <v>1599</v>
          </cell>
          <cell r="H384" t="str">
            <v>2-Krannich</v>
          </cell>
          <cell r="I384">
            <v>0.3</v>
          </cell>
        </row>
        <row r="385">
          <cell r="A385" t="str">
            <v>B0382</v>
          </cell>
          <cell r="B385" t="str">
            <v>Fronius Symo 3.7KW 3ph Inverter</v>
          </cell>
          <cell r="D385" t="str">
            <v>Symo-3.7-3-M</v>
          </cell>
          <cell r="F385">
            <v>2427.1428571428573</v>
          </cell>
          <cell r="G385">
            <v>1699</v>
          </cell>
          <cell r="H385" t="str">
            <v>2-Krannich</v>
          </cell>
          <cell r="I385">
            <v>0.3</v>
          </cell>
        </row>
        <row r="386">
          <cell r="A386" t="str">
            <v>B0383</v>
          </cell>
          <cell r="B386" t="e">
            <v>#N/A</v>
          </cell>
          <cell r="D386" t="e">
            <v>#N/A</v>
          </cell>
          <cell r="F386">
            <v>0</v>
          </cell>
          <cell r="G386">
            <v>0</v>
          </cell>
          <cell r="H386" t="str">
            <v>2-Krannich</v>
          </cell>
          <cell r="I386">
            <v>0</v>
          </cell>
        </row>
        <row r="387">
          <cell r="A387" t="str">
            <v>B0384</v>
          </cell>
          <cell r="B387" t="e">
            <v>#N/A</v>
          </cell>
          <cell r="D387" t="e">
            <v>#N/A</v>
          </cell>
          <cell r="F387">
            <v>0</v>
          </cell>
          <cell r="G387">
            <v>0</v>
          </cell>
          <cell r="H387" t="str">
            <v>2-Krannich</v>
          </cell>
          <cell r="I387">
            <v>0</v>
          </cell>
        </row>
        <row r="388">
          <cell r="A388" t="str">
            <v>B0385</v>
          </cell>
          <cell r="B388" t="e">
            <v>#N/A</v>
          </cell>
          <cell r="D388" t="e">
            <v>#N/A</v>
          </cell>
          <cell r="F388">
            <v>0</v>
          </cell>
          <cell r="G388">
            <v>0</v>
          </cell>
          <cell r="H388" t="str">
            <v>2-Krannich</v>
          </cell>
          <cell r="I388">
            <v>0</v>
          </cell>
        </row>
        <row r="389">
          <cell r="A389" t="str">
            <v>B0386</v>
          </cell>
          <cell r="B389" t="str">
            <v>Fronius Symo 4.5KW 3ph Inverter</v>
          </cell>
          <cell r="D389" t="str">
            <v>Symo-4.5-3-M</v>
          </cell>
          <cell r="F389">
            <v>2570</v>
          </cell>
          <cell r="G389">
            <v>1799</v>
          </cell>
          <cell r="H389" t="str">
            <v>2-Krannich</v>
          </cell>
          <cell r="I389">
            <v>0.3</v>
          </cell>
        </row>
        <row r="390">
          <cell r="A390" t="str">
            <v>B0387</v>
          </cell>
          <cell r="B390" t="str">
            <v>Fronius Symo 5.0KW 3ph Inverter</v>
          </cell>
          <cell r="D390" t="str">
            <v>Symo-5.0-3-M</v>
          </cell>
          <cell r="F390">
            <v>2642.8571428571431</v>
          </cell>
          <cell r="G390">
            <v>1850</v>
          </cell>
          <cell r="H390" t="str">
            <v>2-Krannich</v>
          </cell>
          <cell r="I390">
            <v>0.3</v>
          </cell>
        </row>
        <row r="391">
          <cell r="A391" t="str">
            <v>B0388</v>
          </cell>
          <cell r="B391" t="str">
            <v>Fronius Symo 6.0KW 3ph Inverter</v>
          </cell>
          <cell r="D391" t="str">
            <v>Symo-6.0-3-M</v>
          </cell>
          <cell r="F391">
            <v>2712.8571428571431</v>
          </cell>
          <cell r="G391">
            <v>1899</v>
          </cell>
          <cell r="H391" t="str">
            <v>2-Krannich</v>
          </cell>
          <cell r="I391">
            <v>0.3</v>
          </cell>
        </row>
        <row r="392">
          <cell r="A392" t="str">
            <v>B0389</v>
          </cell>
          <cell r="B392" t="str">
            <v>Fronius Symo 7.0KW 3ph Inverter</v>
          </cell>
          <cell r="D392" t="str">
            <v>Symo-7.0-3-M</v>
          </cell>
          <cell r="F392">
            <v>3321.4285714285716</v>
          </cell>
          <cell r="G392">
            <v>2325</v>
          </cell>
          <cell r="H392" t="str">
            <v>2-Krannich</v>
          </cell>
          <cell r="I392">
            <v>0.3</v>
          </cell>
        </row>
        <row r="393">
          <cell r="A393" t="str">
            <v>B0390</v>
          </cell>
          <cell r="B393" t="str">
            <v>Fronius Symo 8.2KW 3ph Inverter</v>
          </cell>
          <cell r="D393" t="str">
            <v>Symo8.2-3-M</v>
          </cell>
          <cell r="F393">
            <v>3678.5714285714289</v>
          </cell>
          <cell r="G393">
            <v>2575</v>
          </cell>
          <cell r="H393" t="str">
            <v>2-Krannich</v>
          </cell>
          <cell r="I393">
            <v>0.3</v>
          </cell>
        </row>
        <row r="394">
          <cell r="A394" t="str">
            <v>B0391</v>
          </cell>
          <cell r="B394" t="str">
            <v xml:space="preserve"> Control Victron Digital Multi 200/200A GX</v>
          </cell>
          <cell r="D394">
            <v>0</v>
          </cell>
          <cell r="F394">
            <v>0</v>
          </cell>
          <cell r="G394">
            <v>0</v>
          </cell>
          <cell r="H394" t="str">
            <v>1-Victron</v>
          </cell>
          <cell r="I394">
            <v>0.31111111111111112</v>
          </cell>
        </row>
        <row r="395">
          <cell r="A395" t="str">
            <v>B0392</v>
          </cell>
          <cell r="B395" t="str">
            <v xml:space="preserve"> Cable Victron VE Direct to USB (double up, See B0901)</v>
          </cell>
          <cell r="D395" t="str">
            <v>ASS030530010</v>
          </cell>
          <cell r="F395">
            <v>42.300000000000004</v>
          </cell>
          <cell r="G395">
            <v>29.14</v>
          </cell>
          <cell r="H395" t="str">
            <v>1-Victron</v>
          </cell>
          <cell r="I395">
            <v>0.31111111111111112</v>
          </cell>
        </row>
        <row r="396">
          <cell r="A396" t="str">
            <v>B0393</v>
          </cell>
          <cell r="B396" t="str">
            <v>SolarWatt Battery My Reserve Matrix 2.4 KWh Kit</v>
          </cell>
          <cell r="D396" t="str">
            <v>MRKIT-2.4</v>
          </cell>
          <cell r="F396">
            <v>0</v>
          </cell>
          <cell r="G396">
            <v>0</v>
          </cell>
          <cell r="H396" t="str">
            <v>1-Victron</v>
          </cell>
          <cell r="I396">
            <v>0</v>
          </cell>
        </row>
        <row r="397">
          <cell r="A397" t="str">
            <v>B0394</v>
          </cell>
          <cell r="B397" t="str">
            <v>Victron VICTRON Centaur IP20 Battery Charger 12/80 (3)</v>
          </cell>
          <cell r="D397" t="str">
            <v>CCH012080000</v>
          </cell>
          <cell r="F397">
            <v>0</v>
          </cell>
          <cell r="G397">
            <v>962.64380952380952</v>
          </cell>
          <cell r="H397" t="str">
            <v>1-Victron</v>
          </cell>
          <cell r="I397">
            <v>0.31111111111111112</v>
          </cell>
        </row>
        <row r="398">
          <cell r="A398" t="str">
            <v>B0395</v>
          </cell>
          <cell r="B398" t="str">
            <v>SMA Sunny Highpower Peak3 100KW</v>
          </cell>
          <cell r="D398" t="str">
            <v>SHP-100-20-Peak3</v>
          </cell>
          <cell r="F398">
            <v>15998.571428571429</v>
          </cell>
          <cell r="G398">
            <v>11199</v>
          </cell>
          <cell r="H398" t="str">
            <v>2-Krannich</v>
          </cell>
          <cell r="I398">
            <v>0.3</v>
          </cell>
        </row>
        <row r="399">
          <cell r="A399" t="str">
            <v>B0396</v>
          </cell>
          <cell r="B399" t="str">
            <v>Fronius Primo 3.0kW Grid Inverter</v>
          </cell>
          <cell r="D399" t="str">
            <v>Primo 3.0-1</v>
          </cell>
          <cell r="F399">
            <v>1855.7142857142858</v>
          </cell>
          <cell r="G399">
            <v>1299</v>
          </cell>
          <cell r="H399" t="str">
            <v>2-Krannich</v>
          </cell>
          <cell r="I399">
            <v>0.3</v>
          </cell>
        </row>
        <row r="400">
          <cell r="A400" t="str">
            <v>B0397</v>
          </cell>
          <cell r="B400" t="str">
            <v>Fronius Primo 3.5KW Grid Inverter</v>
          </cell>
          <cell r="D400" t="str">
            <v>Primo-3.5-1</v>
          </cell>
          <cell r="F400">
            <v>1998.5714285714287</v>
          </cell>
          <cell r="G400">
            <v>1399</v>
          </cell>
          <cell r="H400" t="str">
            <v>2-Krannich</v>
          </cell>
          <cell r="I400">
            <v>0.3</v>
          </cell>
        </row>
        <row r="401">
          <cell r="A401" t="str">
            <v>B0398</v>
          </cell>
          <cell r="B401" t="str">
            <v>Fronius Primo 4.0KW Grid Inverter</v>
          </cell>
          <cell r="D401" t="str">
            <v>Primo-4.0-1</v>
          </cell>
          <cell r="F401">
            <v>2141.4285714285716</v>
          </cell>
          <cell r="G401">
            <v>1499</v>
          </cell>
          <cell r="H401" t="str">
            <v>2-Krannich</v>
          </cell>
          <cell r="I401">
            <v>0.3</v>
          </cell>
        </row>
        <row r="402">
          <cell r="A402" t="str">
            <v>B0399</v>
          </cell>
          <cell r="B402" t="str">
            <v>Fronius Primo 5.0KW Int Grid Inverter</v>
          </cell>
          <cell r="D402" t="str">
            <v>Primo-5.0-1 INT</v>
          </cell>
          <cell r="F402">
            <v>2427.1428571428573</v>
          </cell>
          <cell r="G402">
            <v>1699</v>
          </cell>
          <cell r="H402" t="str">
            <v>2-Krannich</v>
          </cell>
          <cell r="I402">
            <v>0.3</v>
          </cell>
        </row>
        <row r="403">
          <cell r="A403" t="str">
            <v>B0400</v>
          </cell>
          <cell r="B403" t="str">
            <v>Fronius Inverter Fronius Primo 5.0KW 1ph AUS inc WiFi</v>
          </cell>
          <cell r="D403">
            <v>0</v>
          </cell>
          <cell r="F403">
            <v>0</v>
          </cell>
          <cell r="G403">
            <v>0</v>
          </cell>
          <cell r="H403" t="str">
            <v>2-Krannich</v>
          </cell>
          <cell r="I403">
            <v>0</v>
          </cell>
        </row>
        <row r="404">
          <cell r="A404" t="str">
            <v>B0401</v>
          </cell>
          <cell r="B404" t="str">
            <v>Fronius Primo 6.0kW Grid Inverter</v>
          </cell>
          <cell r="D404" t="str">
            <v>Primo-6.0-1</v>
          </cell>
          <cell r="F404">
            <v>2712.8571428571431</v>
          </cell>
          <cell r="G404">
            <v>1899</v>
          </cell>
          <cell r="H404" t="str">
            <v>2-Krannich</v>
          </cell>
          <cell r="I404">
            <v>0.3</v>
          </cell>
        </row>
        <row r="405">
          <cell r="A405" t="str">
            <v>B0402</v>
          </cell>
          <cell r="B405" t="str">
            <v>Fronius Primo 8.2kW Grid Inverter</v>
          </cell>
          <cell r="D405" t="str">
            <v>Primo-8.2-1</v>
          </cell>
          <cell r="F405">
            <v>3107.1428571428573</v>
          </cell>
          <cell r="G405">
            <v>2175</v>
          </cell>
          <cell r="H405" t="str">
            <v>2-Krannich</v>
          </cell>
          <cell r="I405">
            <v>0.3</v>
          </cell>
        </row>
        <row r="406">
          <cell r="A406" t="str">
            <v>B0403</v>
          </cell>
          <cell r="B406" t="str">
            <v>Noark MCB 63A 360V DC 2 Pole</v>
          </cell>
          <cell r="D406">
            <v>84456</v>
          </cell>
          <cell r="F406">
            <v>29.892307692307689</v>
          </cell>
          <cell r="G406">
            <v>19.43</v>
          </cell>
          <cell r="H406" t="str">
            <v>3-Tradezone</v>
          </cell>
          <cell r="I406">
            <v>0.35</v>
          </cell>
        </row>
        <row r="407">
          <cell r="A407" t="str">
            <v>B0404</v>
          </cell>
          <cell r="B407" t="str">
            <v>Victron Battery Protect 12/24V 65A</v>
          </cell>
          <cell r="D407" t="str">
            <v>BPR000065400</v>
          </cell>
          <cell r="F407">
            <v>0</v>
          </cell>
          <cell r="G407">
            <v>44.843809523809526</v>
          </cell>
          <cell r="H407" t="str">
            <v>1-Victron</v>
          </cell>
          <cell r="I407">
            <v>0.31111111111111112</v>
          </cell>
        </row>
        <row r="408">
          <cell r="A408" t="str">
            <v>B0405</v>
          </cell>
          <cell r="B408" t="str">
            <v>Victron Battery Protect 12/24V-220A</v>
          </cell>
          <cell r="D408" t="str">
            <v>BPR000220400</v>
          </cell>
          <cell r="F408">
            <v>0</v>
          </cell>
          <cell r="G408">
            <v>108.55619047619048</v>
          </cell>
          <cell r="H408" t="str">
            <v>1-Victron</v>
          </cell>
          <cell r="I408">
            <v>0.31111111111111112</v>
          </cell>
        </row>
        <row r="409">
          <cell r="A409" t="str">
            <v>B0406</v>
          </cell>
          <cell r="B409" t="str">
            <v>Victron VE Bus Smart Dongle Bluetooth</v>
          </cell>
          <cell r="D409" t="str">
            <v>ASS030537010</v>
          </cell>
          <cell r="F409">
            <v>144.9</v>
          </cell>
          <cell r="G409">
            <v>99.82</v>
          </cell>
          <cell r="H409" t="str">
            <v>1-Victron</v>
          </cell>
          <cell r="I409">
            <v>0.31111111111111112</v>
          </cell>
        </row>
        <row r="410">
          <cell r="A410" t="str">
            <v>B0407</v>
          </cell>
          <cell r="B410" t="str">
            <v>Victron Temperature sensor for BMV-702/712</v>
          </cell>
          <cell r="D410" t="str">
            <v>ASS000100000</v>
          </cell>
          <cell r="F410">
            <v>48.6</v>
          </cell>
          <cell r="G410">
            <v>33.479999999999997</v>
          </cell>
          <cell r="H410" t="str">
            <v>1-Victron</v>
          </cell>
          <cell r="I410">
            <v>0.31111111111111112</v>
          </cell>
        </row>
        <row r="411">
          <cell r="A411" t="str">
            <v>B0408</v>
          </cell>
          <cell r="B411" t="str">
            <v>SMA Sunny Tripower Core1 50KW</v>
          </cell>
          <cell r="D411" t="str">
            <v>STP-50-41-Core-1</v>
          </cell>
          <cell r="F411">
            <v>9712.8571428571431</v>
          </cell>
          <cell r="G411">
            <v>6799</v>
          </cell>
          <cell r="H411" t="str">
            <v>2-Krannich</v>
          </cell>
          <cell r="I411">
            <v>0.3</v>
          </cell>
        </row>
        <row r="412">
          <cell r="A412" t="str">
            <v>B0409</v>
          </cell>
          <cell r="B412" t="str">
            <v>Victron Battery Protect 48V-100A</v>
          </cell>
          <cell r="D412" t="str">
            <v>BPR048100400</v>
          </cell>
          <cell r="F412">
            <v>0</v>
          </cell>
          <cell r="G412">
            <v>147.55619047619049</v>
          </cell>
          <cell r="H412" t="str">
            <v>1-Victron</v>
          </cell>
          <cell r="I412">
            <v>0.31111111111111112</v>
          </cell>
        </row>
        <row r="413">
          <cell r="A413" t="str">
            <v>B0410</v>
          </cell>
          <cell r="B413" t="str">
            <v>Victron Smart Battery Protect 12/24V-65A</v>
          </cell>
          <cell r="D413" t="str">
            <v>BPR065022000</v>
          </cell>
          <cell r="F413">
            <v>0</v>
          </cell>
          <cell r="G413">
            <v>66.956190476190471</v>
          </cell>
          <cell r="H413" t="str">
            <v>1-Victron</v>
          </cell>
          <cell r="I413">
            <v>0.31111111111111112</v>
          </cell>
        </row>
        <row r="414">
          <cell r="A414" t="str">
            <v>B0411</v>
          </cell>
          <cell r="B414" t="str">
            <v>Victron Smart BatteryProtect 12/24V-100A</v>
          </cell>
          <cell r="D414" t="str">
            <v>BPR110022000</v>
          </cell>
          <cell r="F414">
            <v>0</v>
          </cell>
          <cell r="G414">
            <v>87.756190476190469</v>
          </cell>
          <cell r="H414" t="str">
            <v>1-Victron</v>
          </cell>
          <cell r="I414">
            <v>0.31111111111111112</v>
          </cell>
        </row>
        <row r="415">
          <cell r="A415" t="str">
            <v>B0412</v>
          </cell>
          <cell r="B415" t="str">
            <v>Victron Smart BatteryProtect 12/24V-220A</v>
          </cell>
          <cell r="D415" t="str">
            <v>BPR122022000</v>
          </cell>
          <cell r="F415">
            <v>0</v>
          </cell>
          <cell r="G415">
            <v>130</v>
          </cell>
          <cell r="H415" t="str">
            <v>1-Victron</v>
          </cell>
          <cell r="I415">
            <v>0.31111111111111112</v>
          </cell>
        </row>
        <row r="416">
          <cell r="A416" t="str">
            <v>B0413</v>
          </cell>
          <cell r="B416" t="str">
            <v>Victron Smart BatteryProtect 48V-100A</v>
          </cell>
          <cell r="D416" t="str">
            <v>BPR110048000</v>
          </cell>
          <cell r="F416">
            <v>0</v>
          </cell>
          <cell r="G416">
            <v>169.64380952380955</v>
          </cell>
          <cell r="H416" t="str">
            <v>1-Victron</v>
          </cell>
          <cell r="I416">
            <v>0.31111111111111112</v>
          </cell>
        </row>
        <row r="417">
          <cell r="A417" t="str">
            <v>B0414</v>
          </cell>
          <cell r="B417" t="str">
            <v>Victron VE.Bus BMS (&amp; AC detector)</v>
          </cell>
          <cell r="D417" t="str">
            <v>BMS300200000</v>
          </cell>
          <cell r="F417">
            <v>0</v>
          </cell>
          <cell r="G417">
            <v>131.30000000000001</v>
          </cell>
          <cell r="H417" t="str">
            <v>1-Victron</v>
          </cell>
          <cell r="I417">
            <v>0.31111111111111112</v>
          </cell>
        </row>
        <row r="418">
          <cell r="A418" t="str">
            <v>B0415</v>
          </cell>
          <cell r="B418" t="str">
            <v>SMA Sunny Tripower 5.0 KW</v>
          </cell>
          <cell r="D418" t="str">
            <v>STP-5.0-3AV-40</v>
          </cell>
          <cell r="F418">
            <v>2427.1428571428573</v>
          </cell>
          <cell r="G418">
            <v>1699</v>
          </cell>
          <cell r="H418" t="str">
            <v>2-Krannich</v>
          </cell>
          <cell r="I418">
            <v>0.3</v>
          </cell>
        </row>
        <row r="419">
          <cell r="A419" t="str">
            <v>B0416</v>
          </cell>
          <cell r="B419" t="str">
            <v>SMA Sunny Tripower 6.0 KW</v>
          </cell>
          <cell r="D419" t="str">
            <v>STP-6.0-3AV-40</v>
          </cell>
          <cell r="F419">
            <v>2712.8571428571431</v>
          </cell>
          <cell r="G419">
            <v>1899</v>
          </cell>
          <cell r="H419" t="str">
            <v>2-Krannich</v>
          </cell>
          <cell r="I419">
            <v>0.3</v>
          </cell>
        </row>
        <row r="420">
          <cell r="A420" t="str">
            <v>B0417</v>
          </cell>
          <cell r="B420" t="str">
            <v>SMA Sunny Highpower Peak3 150KW</v>
          </cell>
          <cell r="D420" t="str">
            <v>SHP-150-20-Peak3</v>
          </cell>
          <cell r="F420">
            <v>17428.571428571431</v>
          </cell>
          <cell r="G420">
            <v>12200</v>
          </cell>
          <cell r="H420" t="str">
            <v>2-Krannich</v>
          </cell>
          <cell r="I420">
            <v>0.3</v>
          </cell>
        </row>
        <row r="421">
          <cell r="A421" t="str">
            <v>B0418</v>
          </cell>
          <cell r="B421" t="str">
            <v>Victron SmartSolar MPPT 100/20-48V</v>
          </cell>
          <cell r="D421" t="str">
            <v>SCC110020160R</v>
          </cell>
          <cell r="F421">
            <v>137.70000000000002</v>
          </cell>
          <cell r="G421">
            <v>94.86</v>
          </cell>
          <cell r="H421" t="str">
            <v>1-Victron</v>
          </cell>
          <cell r="I421">
            <v>0.31111111111111112</v>
          </cell>
        </row>
        <row r="422">
          <cell r="A422" t="str">
            <v>B0419</v>
          </cell>
          <cell r="B422" t="str">
            <v>SMA Sunny Tripower 3.0 KW</v>
          </cell>
          <cell r="D422" t="str">
            <v>STP-3.0-3AV-40</v>
          </cell>
          <cell r="F422">
            <v>2250</v>
          </cell>
          <cell r="G422">
            <v>1575</v>
          </cell>
          <cell r="H422" t="str">
            <v>2-Krannich</v>
          </cell>
          <cell r="I422">
            <v>0.3</v>
          </cell>
        </row>
        <row r="423">
          <cell r="A423" t="str">
            <v>B0420</v>
          </cell>
          <cell r="B423" t="str">
            <v>SMA Sunny Tripower 4.0 KW</v>
          </cell>
          <cell r="D423" t="str">
            <v>STP-4.0-3AV-40</v>
          </cell>
          <cell r="F423">
            <v>2392.8571428571431</v>
          </cell>
          <cell r="G423">
            <v>1675</v>
          </cell>
          <cell r="H423" t="str">
            <v>2-Krannich</v>
          </cell>
          <cell r="I423">
            <v>0.3</v>
          </cell>
        </row>
        <row r="424">
          <cell r="A424" t="str">
            <v>B0421</v>
          </cell>
          <cell r="B424" t="str">
            <v>SMA Sunny Tripower 8.0 KW</v>
          </cell>
          <cell r="D424" t="str">
            <v>STP-8.0-3AV-40</v>
          </cell>
          <cell r="F424">
            <v>3284.2857142857147</v>
          </cell>
          <cell r="G424">
            <v>2299</v>
          </cell>
          <cell r="H424" t="str">
            <v>2-Krannich</v>
          </cell>
          <cell r="I424">
            <v>0.3</v>
          </cell>
        </row>
        <row r="425">
          <cell r="A425" t="str">
            <v>B0422</v>
          </cell>
          <cell r="B425" t="str">
            <v>Victron Temperature sensor for Venus GX</v>
          </cell>
          <cell r="D425" t="str">
            <v>ASS000001000</v>
          </cell>
          <cell r="F425">
            <v>31.5</v>
          </cell>
          <cell r="G425">
            <v>21.7</v>
          </cell>
          <cell r="H425" t="str">
            <v>1-Victron</v>
          </cell>
          <cell r="I425">
            <v>0.31111111111111112</v>
          </cell>
        </row>
        <row r="426">
          <cell r="A426" t="str">
            <v>B0423</v>
          </cell>
          <cell r="B426" t="str">
            <v>SMA Sunny Tripower 10.0 KW</v>
          </cell>
          <cell r="D426" t="str">
            <v>STP-10.0-3AV-40</v>
          </cell>
          <cell r="F426">
            <v>3712.8571428571431</v>
          </cell>
          <cell r="G426">
            <v>2599</v>
          </cell>
          <cell r="H426" t="str">
            <v>2-Krannich</v>
          </cell>
          <cell r="I426">
            <v>0.3</v>
          </cell>
        </row>
        <row r="427">
          <cell r="A427" t="str">
            <v>B0424</v>
          </cell>
          <cell r="B427" t="e">
            <v>#N/A</v>
          </cell>
          <cell r="D427" t="e">
            <v>#N/A</v>
          </cell>
          <cell r="F427">
            <v>0</v>
          </cell>
          <cell r="G427">
            <v>0</v>
          </cell>
          <cell r="H427" t="str">
            <v>2-Krannich</v>
          </cell>
          <cell r="I427">
            <v>0</v>
          </cell>
        </row>
        <row r="428">
          <cell r="A428" t="str">
            <v>B0425</v>
          </cell>
          <cell r="B428" t="str">
            <v xml:space="preserve"> Solar Panel Trina 280W Poly</v>
          </cell>
          <cell r="D428">
            <v>0</v>
          </cell>
          <cell r="F428">
            <v>0</v>
          </cell>
          <cell r="G428">
            <v>0</v>
          </cell>
          <cell r="H428" t="str">
            <v>2-Krannich</v>
          </cell>
          <cell r="I428">
            <v>0</v>
          </cell>
        </row>
        <row r="429">
          <cell r="A429" t="str">
            <v>B0426</v>
          </cell>
          <cell r="B429" t="e">
            <v>#N/A</v>
          </cell>
          <cell r="D429" t="e">
            <v>#N/A</v>
          </cell>
          <cell r="F429">
            <v>0</v>
          </cell>
          <cell r="G429">
            <v>0</v>
          </cell>
          <cell r="H429" t="str">
            <v>2-Krannich</v>
          </cell>
          <cell r="I429">
            <v>0</v>
          </cell>
        </row>
        <row r="430">
          <cell r="A430" t="str">
            <v>B0427</v>
          </cell>
          <cell r="B430" t="str">
            <v>VICTRON Battery monitor BMV 700 - Grey</v>
          </cell>
          <cell r="D430" t="str">
            <v>BAM010700000R</v>
          </cell>
          <cell r="F430">
            <v>210.6</v>
          </cell>
          <cell r="G430">
            <v>145.08000000000001</v>
          </cell>
          <cell r="H430" t="str">
            <v>1-Victron</v>
          </cell>
          <cell r="I430">
            <v>0.31111111111111112</v>
          </cell>
        </row>
        <row r="431">
          <cell r="A431" t="str">
            <v>B0428</v>
          </cell>
          <cell r="B431" t="str">
            <v>ABB Uno 4KW 1ph</v>
          </cell>
          <cell r="D431" t="str">
            <v>UNO-DM-4.0-TL</v>
          </cell>
          <cell r="F431">
            <v>0</v>
          </cell>
          <cell r="G431">
            <v>0</v>
          </cell>
          <cell r="H431" t="str">
            <v>9-SolarJuice</v>
          </cell>
          <cell r="I431">
            <v>0</v>
          </cell>
        </row>
        <row r="432">
          <cell r="A432" t="str">
            <v>B0429</v>
          </cell>
          <cell r="B432" t="str">
            <v>ABB Uno 4.6KW 1ph</v>
          </cell>
          <cell r="D432" t="str">
            <v>UNO-DM-4.6-TL</v>
          </cell>
          <cell r="F432">
            <v>0</v>
          </cell>
          <cell r="G432">
            <v>0</v>
          </cell>
          <cell r="H432" t="str">
            <v>9-SolarJuice</v>
          </cell>
          <cell r="I432">
            <v>0</v>
          </cell>
        </row>
        <row r="433">
          <cell r="A433" t="str">
            <v>B0430</v>
          </cell>
          <cell r="B433" t="str">
            <v>Victron VICTRON Centaur IP20 Battery Charger 12/100 (3)</v>
          </cell>
          <cell r="D433" t="str">
            <v>CCH012100000</v>
          </cell>
          <cell r="F433">
            <v>0</v>
          </cell>
          <cell r="G433">
            <v>1175.8438095238096</v>
          </cell>
          <cell r="H433" t="str">
            <v>1-Victron</v>
          </cell>
          <cell r="I433">
            <v>0.31111111111111112</v>
          </cell>
        </row>
        <row r="434">
          <cell r="A434" t="str">
            <v>B0431</v>
          </cell>
          <cell r="B434" t="str">
            <v>Victron VICTRON Orion-Tr 24/12-10 (120W) DC-DC Converter</v>
          </cell>
          <cell r="D434" t="str">
            <v>ORI241210200R</v>
          </cell>
          <cell r="F434">
            <v>0</v>
          </cell>
          <cell r="G434">
            <v>39.64380952380953</v>
          </cell>
          <cell r="H434" t="str">
            <v>1-Victron</v>
          </cell>
          <cell r="I434">
            <v>0.31111111111111112</v>
          </cell>
        </row>
        <row r="435">
          <cell r="A435" t="str">
            <v>B0432</v>
          </cell>
          <cell r="B435" t="str">
            <v xml:space="preserve"> Post Power Distribution 5/16in Blue Sea</v>
          </cell>
          <cell r="D435">
            <v>0</v>
          </cell>
          <cell r="F435">
            <v>0</v>
          </cell>
          <cell r="G435">
            <v>0</v>
          </cell>
          <cell r="I435">
            <v>0</v>
          </cell>
        </row>
        <row r="436">
          <cell r="A436" t="str">
            <v>B0433</v>
          </cell>
          <cell r="B436" t="str">
            <v>Adafruit Busbar 7 WAY DC 6mm2 White Insul. Mount</v>
          </cell>
          <cell r="D436" t="str">
            <v>ADA737</v>
          </cell>
          <cell r="F436">
            <v>5.8461538461538458</v>
          </cell>
          <cell r="G436">
            <v>3.8</v>
          </cell>
          <cell r="H436" t="str">
            <v>6-Various</v>
          </cell>
          <cell r="I436">
            <v>0.35</v>
          </cell>
        </row>
        <row r="437">
          <cell r="A437" t="str">
            <v>B0434</v>
          </cell>
          <cell r="B437" t="str">
            <v>VICTRON Battery monitor BMV 712 Smart - Grey</v>
          </cell>
          <cell r="D437" t="str">
            <v>BAM030712000R</v>
          </cell>
          <cell r="F437">
            <v>257.40000000000003</v>
          </cell>
          <cell r="G437">
            <v>177.32</v>
          </cell>
          <cell r="H437" t="str">
            <v>1-Victron</v>
          </cell>
          <cell r="I437">
            <v>0.31111111111111112</v>
          </cell>
        </row>
        <row r="438">
          <cell r="A438" t="str">
            <v>B0435</v>
          </cell>
          <cell r="B438" t="str">
            <v>Techbrands Busbar 8 WAY DC 4mm2 Blue Mounts</v>
          </cell>
          <cell r="D438" t="str">
            <v>SZ2003</v>
          </cell>
          <cell r="F438">
            <v>5.7692307692307692</v>
          </cell>
          <cell r="G438">
            <v>3.75</v>
          </cell>
          <cell r="H438" t="str">
            <v>6-Various</v>
          </cell>
          <cell r="I438">
            <v>0.35</v>
          </cell>
        </row>
        <row r="439">
          <cell r="A439" t="str">
            <v>B0436</v>
          </cell>
          <cell r="B439" t="str">
            <v>VICTRON Current Transformer for Multiplus II</v>
          </cell>
          <cell r="D439" t="str">
            <v>CTR110000500</v>
          </cell>
          <cell r="F439">
            <v>56.7</v>
          </cell>
          <cell r="G439">
            <v>39.06</v>
          </cell>
          <cell r="H439" t="str">
            <v>1-Victron</v>
          </cell>
          <cell r="I439">
            <v>0.31111111111111112</v>
          </cell>
        </row>
        <row r="440">
          <cell r="A440" t="str">
            <v>B0437</v>
          </cell>
          <cell r="B440" t="str">
            <v xml:space="preserve"> Temperature Sensor Plasmatronics PLT</v>
          </cell>
          <cell r="D440" t="str">
            <v>PLT</v>
          </cell>
          <cell r="F440">
            <v>37.016300000000001</v>
          </cell>
          <cell r="G440">
            <v>28.36</v>
          </cell>
          <cell r="H440" t="str">
            <v>4-Plasmatronics</v>
          </cell>
          <cell r="I440">
            <v>0.15736040609137059</v>
          </cell>
        </row>
        <row r="441">
          <cell r="A441" t="str">
            <v>B0438</v>
          </cell>
          <cell r="B441" t="str">
            <v>IP Enclosures Bracket Kit for IP Enclosures Wall Mtg</v>
          </cell>
          <cell r="D441" t="str">
            <v>IPWMBKIT</v>
          </cell>
          <cell r="F441">
            <v>10.215384615384615</v>
          </cell>
          <cell r="G441">
            <v>6.64</v>
          </cell>
          <cell r="H441" t="str">
            <v>3-Tradezone</v>
          </cell>
          <cell r="I441">
            <v>0.35</v>
          </cell>
        </row>
        <row r="442">
          <cell r="A442" t="str">
            <v>B0439</v>
          </cell>
          <cell r="B442" t="str">
            <v>Wattmaster Cable Lug 6mm2 x 6mm Hole Copper</v>
          </cell>
          <cell r="D442" t="str">
            <v>ALCL6M6/50</v>
          </cell>
          <cell r="F442">
            <v>0.35384615384615387</v>
          </cell>
          <cell r="G442">
            <v>0.23</v>
          </cell>
          <cell r="H442" t="str">
            <v>3-Tradezone</v>
          </cell>
          <cell r="I442">
            <v>0.35</v>
          </cell>
        </row>
        <row r="443">
          <cell r="A443" t="str">
            <v>B0440</v>
          </cell>
          <cell r="B443" t="str">
            <v>Avery Label Adhesive A4 Clear 1/page (Avery #L7567)</v>
          </cell>
          <cell r="D443" t="str">
            <v>L7567</v>
          </cell>
          <cell r="F443">
            <v>1.7692307692307689</v>
          </cell>
          <cell r="G443">
            <v>1.1499999999999999</v>
          </cell>
          <cell r="H443" t="str">
            <v>6-Various</v>
          </cell>
          <cell r="I443">
            <v>0.35</v>
          </cell>
        </row>
        <row r="444">
          <cell r="A444" t="str">
            <v>B0441</v>
          </cell>
          <cell r="B444" t="str">
            <v>Avery Label Adhesive A4 White 1/page (Avery #PVC White)</v>
          </cell>
          <cell r="D444">
            <v>0</v>
          </cell>
          <cell r="F444">
            <v>0</v>
          </cell>
          <cell r="G444">
            <v>0</v>
          </cell>
          <cell r="H444" t="str">
            <v>6-Various</v>
          </cell>
          <cell r="I444">
            <v>0</v>
          </cell>
        </row>
        <row r="445">
          <cell r="A445" t="str">
            <v>B0442</v>
          </cell>
          <cell r="B445" t="str">
            <v xml:space="preserve"> Enclosure MCB 6 Pole Legrand (Plexo3: #601976)</v>
          </cell>
          <cell r="D445">
            <v>0</v>
          </cell>
          <cell r="F445">
            <v>0</v>
          </cell>
          <cell r="G445">
            <v>0</v>
          </cell>
          <cell r="I445">
            <v>0</v>
          </cell>
        </row>
        <row r="446">
          <cell r="A446" t="str">
            <v>B0443</v>
          </cell>
          <cell r="B446" t="str">
            <v xml:space="preserve"> MCB 3 Pole 63A (ABB: S203)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</row>
        <row r="447">
          <cell r="A447" t="str">
            <v>B0444</v>
          </cell>
          <cell r="B447" t="str">
            <v xml:space="preserve"> Conduit Entry M32 PVC Grey</v>
          </cell>
          <cell r="D447" t="str">
            <v>263/32GY</v>
          </cell>
          <cell r="F447">
            <v>1.1692307692307693</v>
          </cell>
          <cell r="G447">
            <v>0.76</v>
          </cell>
          <cell r="H447" t="str">
            <v>3-Tradezone</v>
          </cell>
          <cell r="I447">
            <v>0.35</v>
          </cell>
        </row>
        <row r="448">
          <cell r="A448" t="str">
            <v>B0445</v>
          </cell>
          <cell r="B448" t="str">
            <v xml:space="preserve"> Conduit Electrical Medium Duty 32mm Grey</v>
          </cell>
          <cell r="D448">
            <v>0</v>
          </cell>
          <cell r="F448">
            <v>0</v>
          </cell>
          <cell r="G448">
            <v>0</v>
          </cell>
          <cell r="I448">
            <v>0</v>
          </cell>
        </row>
        <row r="449">
          <cell r="A449" t="str">
            <v>B0446</v>
          </cell>
          <cell r="B449" t="str">
            <v>RSPro Fuse 3AG Type 1 Amp</v>
          </cell>
          <cell r="D449" t="str">
            <v>Fuse-3AG-1A</v>
          </cell>
          <cell r="F449">
            <v>0.55944055944055948</v>
          </cell>
          <cell r="G449">
            <v>0.36363636363636365</v>
          </cell>
          <cell r="H449" t="str">
            <v>6-Various</v>
          </cell>
          <cell r="I449">
            <v>0.35</v>
          </cell>
        </row>
        <row r="450">
          <cell r="A450" t="str">
            <v>B0447</v>
          </cell>
          <cell r="B450" t="str">
            <v>RSPro Fuse Holder 3AG Type</v>
          </cell>
          <cell r="D450" t="str">
            <v>Fhold-3AG</v>
          </cell>
          <cell r="F450">
            <v>2.4475524475524475</v>
          </cell>
          <cell r="G450">
            <v>1.5909090909090908</v>
          </cell>
          <cell r="H450" t="str">
            <v>6-Various</v>
          </cell>
          <cell r="I450">
            <v>0.35</v>
          </cell>
        </row>
        <row r="451">
          <cell r="A451" t="str">
            <v>B0448</v>
          </cell>
          <cell r="B451" t="str">
            <v>Kemet Switch Thermostatic, 50DegC N/O (Kemet OHD3-50M)</v>
          </cell>
          <cell r="D451" t="str">
            <v>OHD3-50M</v>
          </cell>
          <cell r="F451">
            <v>18.907692307692304</v>
          </cell>
          <cell r="G451">
            <v>12.29</v>
          </cell>
          <cell r="H451" t="str">
            <v>6-Various</v>
          </cell>
          <cell r="I451">
            <v>0.35</v>
          </cell>
        </row>
        <row r="452">
          <cell r="A452" t="str">
            <v>B0449</v>
          </cell>
          <cell r="B452" t="str">
            <v xml:space="preserve"> Ring Binder A5 25mm Black (AJ Burrows)</v>
          </cell>
          <cell r="D452">
            <v>0</v>
          </cell>
          <cell r="F452">
            <v>0</v>
          </cell>
          <cell r="G452">
            <v>0</v>
          </cell>
          <cell r="I452">
            <v>0</v>
          </cell>
        </row>
        <row r="453">
          <cell r="A453" t="str">
            <v>B0450</v>
          </cell>
          <cell r="B453" t="str">
            <v xml:space="preserve"> Cable Tie 200X4.6mm Black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</row>
        <row r="454">
          <cell r="A454" t="str">
            <v>B0451</v>
          </cell>
          <cell r="B454" t="str">
            <v>Goliath Rubber Buffer DIA60x25mm Black</v>
          </cell>
          <cell r="D454">
            <v>9106</v>
          </cell>
          <cell r="F454">
            <v>5.8769230769230765</v>
          </cell>
          <cell r="G454">
            <v>3.82</v>
          </cell>
          <cell r="H454" t="str">
            <v>6-Various</v>
          </cell>
          <cell r="I454">
            <v>0.35</v>
          </cell>
        </row>
        <row r="455">
          <cell r="A455" t="str">
            <v>B0452</v>
          </cell>
          <cell r="B455" t="str">
            <v xml:space="preserve">Multicomp Buzzer DIA25mm 5-25V </v>
          </cell>
          <cell r="D455" t="str">
            <v>MCABI-047-RC</v>
          </cell>
          <cell r="F455">
            <v>21.23076923076923</v>
          </cell>
          <cell r="G455">
            <v>13.8</v>
          </cell>
          <cell r="H455" t="str">
            <v>6-Various</v>
          </cell>
          <cell r="I455">
            <v>0.35</v>
          </cell>
        </row>
        <row r="456">
          <cell r="A456" t="str">
            <v>B0453</v>
          </cell>
          <cell r="B456" t="str">
            <v>Redback SH5000 Hybrid Solar-Battery Inverter-charger</v>
          </cell>
          <cell r="D456" t="str">
            <v>SH5000</v>
          </cell>
          <cell r="F456">
            <v>0</v>
          </cell>
          <cell r="G456">
            <v>0</v>
          </cell>
          <cell r="I456">
            <v>0</v>
          </cell>
        </row>
        <row r="457">
          <cell r="A457" t="str">
            <v>B0454</v>
          </cell>
          <cell r="B457" t="str">
            <v>IP Enclosures Enclosure 700H x 500W x 250D Steel Powdercoated</v>
          </cell>
          <cell r="D457" t="str">
            <v>IP705025</v>
          </cell>
          <cell r="F457">
            <v>312.60294117647061</v>
          </cell>
          <cell r="G457">
            <v>212.57</v>
          </cell>
          <cell r="H457" t="str">
            <v>3-Tradezone</v>
          </cell>
          <cell r="I457">
            <v>0.32</v>
          </cell>
        </row>
        <row r="458">
          <cell r="A458" t="str">
            <v>B0455</v>
          </cell>
          <cell r="B458" t="str">
            <v>IP Enclosures Enclosure 600H x 400W x 250D Steel Powdercoated</v>
          </cell>
          <cell r="D458" t="str">
            <v>IP604025</v>
          </cell>
          <cell r="F458">
            <v>235.82352941176475</v>
          </cell>
          <cell r="G458">
            <v>160.36000000000001</v>
          </cell>
          <cell r="H458" t="str">
            <v>3-Tradezone</v>
          </cell>
          <cell r="I458">
            <v>0.32</v>
          </cell>
        </row>
        <row r="459">
          <cell r="A459" t="str">
            <v>B0456</v>
          </cell>
          <cell r="B459" t="str">
            <v>LG LG Chem RESU 6.5KWh 48V Lithium Battery</v>
          </cell>
          <cell r="D459" t="str">
            <v>RESU6.5</v>
          </cell>
          <cell r="F459">
            <v>5998.5714285714294</v>
          </cell>
          <cell r="G459">
            <v>4199</v>
          </cell>
          <cell r="H459" t="str">
            <v>2-Krannich</v>
          </cell>
          <cell r="I459">
            <v>0.3</v>
          </cell>
        </row>
        <row r="460">
          <cell r="A460" t="str">
            <v>B0457</v>
          </cell>
          <cell r="B460" t="str">
            <v>LG LG Chem RESU 10KWh 48V Lithium Battery</v>
          </cell>
          <cell r="D460" t="str">
            <v>RESU10</v>
          </cell>
          <cell r="F460">
            <v>8357.1428571428569</v>
          </cell>
          <cell r="G460">
            <v>5850</v>
          </cell>
          <cell r="H460" t="str">
            <v>2-Krannich</v>
          </cell>
          <cell r="I460">
            <v>0.3</v>
          </cell>
        </row>
        <row r="461">
          <cell r="A461" t="str">
            <v>B0458</v>
          </cell>
          <cell r="B461" t="str">
            <v>LG LG Chem RESU 13KWh 48V Lithium Battery</v>
          </cell>
          <cell r="D461" t="str">
            <v>RESU13</v>
          </cell>
          <cell r="F461">
            <v>10712.857142857143</v>
          </cell>
          <cell r="G461">
            <v>7499</v>
          </cell>
          <cell r="H461" t="str">
            <v>2-Krannich</v>
          </cell>
          <cell r="I461">
            <v>0.3</v>
          </cell>
        </row>
        <row r="462">
          <cell r="A462" t="str">
            <v>B0459</v>
          </cell>
          <cell r="B462" t="str">
            <v>Fronius Symo 12.5kW Grid 3Ph Inverter</v>
          </cell>
          <cell r="D462" t="str">
            <v>Symo-12.5-3-M</v>
          </cell>
          <cell r="F462">
            <v>4284.2857142857147</v>
          </cell>
          <cell r="G462">
            <v>2999</v>
          </cell>
          <cell r="H462" t="str">
            <v>2-Krannich</v>
          </cell>
          <cell r="I462">
            <v>0.3</v>
          </cell>
        </row>
        <row r="463">
          <cell r="A463" t="str">
            <v>B0460</v>
          </cell>
          <cell r="B463" t="str">
            <v>Fronius Symo 10.0KW 3ph Inverter</v>
          </cell>
          <cell r="D463" t="str">
            <v>Symo-10.0-3-M</v>
          </cell>
          <cell r="F463">
            <v>3785.7142857142858</v>
          </cell>
          <cell r="G463">
            <v>2650</v>
          </cell>
          <cell r="H463" t="str">
            <v>2-Krannich</v>
          </cell>
          <cell r="I463">
            <v>0.3</v>
          </cell>
        </row>
        <row r="464">
          <cell r="A464" t="str">
            <v>B0461</v>
          </cell>
          <cell r="B464" t="str">
            <v>Fronius Symo 15.0KW 3ph Inverter</v>
          </cell>
          <cell r="D464" t="str">
            <v>Symo-15.0-3-M</v>
          </cell>
          <cell r="F464">
            <v>4570</v>
          </cell>
          <cell r="G464">
            <v>3199</v>
          </cell>
          <cell r="H464" t="str">
            <v>2-Krannich</v>
          </cell>
          <cell r="I464">
            <v>0.3</v>
          </cell>
        </row>
        <row r="465">
          <cell r="A465" t="str">
            <v>B0462</v>
          </cell>
          <cell r="B465" t="str">
            <v>Fronius Symo 17.5KW 3ph Inverter</v>
          </cell>
          <cell r="D465" t="str">
            <v>Symo-17.5-3-M</v>
          </cell>
          <cell r="F465">
            <v>4712.8571428571431</v>
          </cell>
          <cell r="G465">
            <v>3299</v>
          </cell>
          <cell r="H465" t="str">
            <v>2-Krannich</v>
          </cell>
          <cell r="I465">
            <v>0.3</v>
          </cell>
        </row>
        <row r="466">
          <cell r="A466" t="str">
            <v>B0463</v>
          </cell>
          <cell r="B466" t="str">
            <v>Fronius Symo 20.0KW 3ph Inverter</v>
          </cell>
          <cell r="D466" t="str">
            <v>Symo-20.0-3-M</v>
          </cell>
          <cell r="F466">
            <v>4855.7142857142862</v>
          </cell>
          <cell r="G466">
            <v>3399</v>
          </cell>
          <cell r="H466" t="str">
            <v>2-Krannich</v>
          </cell>
          <cell r="I466">
            <v>0.3</v>
          </cell>
        </row>
        <row r="467">
          <cell r="A467" t="str">
            <v>B0464</v>
          </cell>
          <cell r="B467" t="str">
            <v>Fronius Symo 3.0KW Hyrbid 3Ph Inverter</v>
          </cell>
          <cell r="D467" t="str">
            <v>Symo-3.0-3-S</v>
          </cell>
          <cell r="F467">
            <v>3284.2857142857147</v>
          </cell>
          <cell r="G467">
            <v>2299</v>
          </cell>
          <cell r="H467" t="str">
            <v>2-Krannich</v>
          </cell>
          <cell r="I467">
            <v>0.3</v>
          </cell>
        </row>
        <row r="468">
          <cell r="A468" t="str">
            <v>B0465</v>
          </cell>
          <cell r="B468" t="str">
            <v>Fronius Symo 4.0KW Hyrbid 3Ph Inverter</v>
          </cell>
          <cell r="D468" t="str">
            <v>Symo-4.0-3-S</v>
          </cell>
          <cell r="F468">
            <v>3712.8571428571431</v>
          </cell>
          <cell r="G468">
            <v>2599</v>
          </cell>
          <cell r="H468" t="str">
            <v>2-Krannich</v>
          </cell>
          <cell r="I468">
            <v>0.3</v>
          </cell>
        </row>
        <row r="469">
          <cell r="A469" t="str">
            <v>B0466</v>
          </cell>
          <cell r="B469" t="str">
            <v xml:space="preserve">Fronius Symo 5.0KW Hyrbid 3Ph Inverter </v>
          </cell>
          <cell r="D469" t="str">
            <v>Symo-5.0-3-S</v>
          </cell>
          <cell r="F469">
            <v>3855.7142857142858</v>
          </cell>
          <cell r="G469">
            <v>2699</v>
          </cell>
          <cell r="H469" t="str">
            <v>2-Krannich</v>
          </cell>
          <cell r="I469">
            <v>0.3</v>
          </cell>
        </row>
        <row r="470">
          <cell r="A470" t="str">
            <v>B0467</v>
          </cell>
          <cell r="B470" t="e">
            <v>#N/A</v>
          </cell>
          <cell r="D470" t="e">
            <v>#N/A</v>
          </cell>
          <cell r="F470">
            <v>0</v>
          </cell>
          <cell r="G470">
            <v>0</v>
          </cell>
          <cell r="H470" t="str">
            <v>2-Krannich</v>
          </cell>
          <cell r="I470">
            <v>0</v>
          </cell>
        </row>
        <row r="471">
          <cell r="A471" t="str">
            <v>B0468</v>
          </cell>
          <cell r="B471" t="str">
            <v>PGK Solar Isolator 32A 4Pole</v>
          </cell>
          <cell r="D471" t="str">
            <v>SE030A</v>
          </cell>
          <cell r="F471">
            <v>52.753846153846148</v>
          </cell>
          <cell r="G471">
            <v>34.29</v>
          </cell>
          <cell r="H471" t="str">
            <v>3-Tradezone</v>
          </cell>
          <cell r="I471">
            <v>0.35</v>
          </cell>
        </row>
        <row r="472">
          <cell r="A472" t="str">
            <v>B0469</v>
          </cell>
          <cell r="B472" t="str">
            <v>LG LG Chem RESU 7KWh 400V Lithium Battery (Type R)</v>
          </cell>
          <cell r="D472" t="str">
            <v>RESU7H-R</v>
          </cell>
          <cell r="F472">
            <v>7427.1428571428578</v>
          </cell>
          <cell r="G472">
            <v>5199</v>
          </cell>
          <cell r="H472" t="str">
            <v>2-Krannich</v>
          </cell>
          <cell r="I472">
            <v>0.3</v>
          </cell>
        </row>
        <row r="473">
          <cell r="A473" t="str">
            <v>B0470</v>
          </cell>
          <cell r="B473" t="str">
            <v>LG LG Chem RESU 10KWh 400V Lithium Battery (Type R)</v>
          </cell>
          <cell r="D473" t="str">
            <v>RESU10H-R</v>
          </cell>
          <cell r="F473">
            <v>9500</v>
          </cell>
          <cell r="G473">
            <v>6650</v>
          </cell>
          <cell r="H473" t="str">
            <v>2-Krannich</v>
          </cell>
          <cell r="I473">
            <v>0.3</v>
          </cell>
        </row>
        <row r="474">
          <cell r="A474" t="str">
            <v>B0471</v>
          </cell>
          <cell r="B474" t="str">
            <v xml:space="preserve"> Battery LG Chem RESU 7KWh 400V Lithium (Type C)</v>
          </cell>
          <cell r="D474">
            <v>0</v>
          </cell>
          <cell r="F474">
            <v>0</v>
          </cell>
          <cell r="G474">
            <v>0</v>
          </cell>
          <cell r="H474" t="str">
            <v>2-Krannich</v>
          </cell>
          <cell r="I474">
            <v>0</v>
          </cell>
        </row>
        <row r="475">
          <cell r="A475" t="str">
            <v>B0472</v>
          </cell>
          <cell r="B475" t="str">
            <v>LG LG Chem RESU 10KWh 400V Lithium Battery (Type C)</v>
          </cell>
          <cell r="D475" t="str">
            <v>RESU10H-C</v>
          </cell>
          <cell r="F475">
            <v>9714.2857142857156</v>
          </cell>
          <cell r="G475">
            <v>6800</v>
          </cell>
          <cell r="H475" t="str">
            <v>2-Krannich</v>
          </cell>
          <cell r="I475">
            <v>0.3</v>
          </cell>
        </row>
        <row r="476">
          <cell r="A476" t="str">
            <v>B0473</v>
          </cell>
          <cell r="B476" t="str">
            <v>LG Resu Plus Battery combiner</v>
          </cell>
          <cell r="D476" t="str">
            <v>LG Resu Plus</v>
          </cell>
          <cell r="F476">
            <v>661.76470588235304</v>
          </cell>
          <cell r="G476">
            <v>450</v>
          </cell>
          <cell r="H476" t="str">
            <v>2-Krannich</v>
          </cell>
          <cell r="I476">
            <v>0.32</v>
          </cell>
        </row>
        <row r="477">
          <cell r="A477" t="str">
            <v>B0474</v>
          </cell>
          <cell r="B477" t="str">
            <v>Victron Battery Protect 12/24V 100A</v>
          </cell>
          <cell r="D477" t="str">
            <v>BPR000100400</v>
          </cell>
          <cell r="F477">
            <v>0</v>
          </cell>
          <cell r="G477">
            <v>65.643809523809523</v>
          </cell>
          <cell r="H477" t="str">
            <v>1-Victron</v>
          </cell>
          <cell r="I477">
            <v>0.31111111111111112</v>
          </cell>
        </row>
        <row r="478">
          <cell r="A478" t="str">
            <v>B0475</v>
          </cell>
          <cell r="B478" t="str">
            <v>SMA Multi Function Relay - for load control</v>
          </cell>
          <cell r="D478" t="str">
            <v>MFR01-10</v>
          </cell>
          <cell r="F478">
            <v>0</v>
          </cell>
          <cell r="G478">
            <v>0</v>
          </cell>
          <cell r="I478">
            <v>0</v>
          </cell>
        </row>
        <row r="479">
          <cell r="A479" t="str">
            <v>B0476</v>
          </cell>
          <cell r="B479" t="str">
            <v xml:space="preserve"> Fronius Checkbox 500V (For LG Battery)</v>
          </cell>
          <cell r="D479" t="str">
            <v>CheckBox</v>
          </cell>
          <cell r="F479">
            <v>573.52941176470597</v>
          </cell>
          <cell r="G479">
            <v>390</v>
          </cell>
          <cell r="H479" t="str">
            <v>2-Krannich</v>
          </cell>
          <cell r="I479">
            <v>0.32</v>
          </cell>
        </row>
        <row r="480">
          <cell r="A480" t="str">
            <v>B0477</v>
          </cell>
          <cell r="B480" t="str">
            <v>Fronius Smart Meter 63A Single Phase</v>
          </cell>
          <cell r="D480" t="str">
            <v>SM63A-1</v>
          </cell>
          <cell r="F480">
            <v>257.35294117647061</v>
          </cell>
          <cell r="G480">
            <v>175</v>
          </cell>
          <cell r="H480" t="str">
            <v>2-Krannich</v>
          </cell>
          <cell r="I480">
            <v>0.32</v>
          </cell>
        </row>
        <row r="481">
          <cell r="A481" t="str">
            <v>B0478</v>
          </cell>
          <cell r="B481" t="str">
            <v xml:space="preserve">Victron Solar Panel 175W 12V Poly </v>
          </cell>
          <cell r="D481" t="str">
            <v>SPP041751200</v>
          </cell>
          <cell r="F481">
            <v>0</v>
          </cell>
          <cell r="G481">
            <v>139.23990476190477</v>
          </cell>
          <cell r="H481" t="str">
            <v>1-Victron</v>
          </cell>
          <cell r="I481">
            <v>0.31111111111111112</v>
          </cell>
        </row>
        <row r="482">
          <cell r="A482" t="str">
            <v>B0479</v>
          </cell>
          <cell r="B482" t="str">
            <v xml:space="preserve"> Screw Metal 10G x 25mm Galv Hex Head Metal</v>
          </cell>
          <cell r="D482">
            <v>0</v>
          </cell>
          <cell r="F482">
            <v>0</v>
          </cell>
          <cell r="G482">
            <v>0</v>
          </cell>
          <cell r="I482">
            <v>0</v>
          </cell>
        </row>
        <row r="483">
          <cell r="A483" t="str">
            <v>B0480</v>
          </cell>
          <cell r="B483" t="str">
            <v xml:space="preserve"> Enclosure MCB 8 Pole IP65 DKSH N8D</v>
          </cell>
          <cell r="D483">
            <v>0</v>
          </cell>
          <cell r="F483">
            <v>0</v>
          </cell>
          <cell r="G483">
            <v>0</v>
          </cell>
          <cell r="I483">
            <v>0</v>
          </cell>
        </row>
        <row r="484">
          <cell r="A484" t="str">
            <v>B0481</v>
          </cell>
          <cell r="B484" t="str">
            <v>Victron Battery balancer</v>
          </cell>
          <cell r="D484" t="str">
            <v>BBA000100100</v>
          </cell>
          <cell r="F484">
            <v>0</v>
          </cell>
          <cell r="G484">
            <v>73.44380952380952</v>
          </cell>
          <cell r="H484" t="str">
            <v>1-Victron</v>
          </cell>
          <cell r="I484">
            <v>0.31111111111111112</v>
          </cell>
        </row>
        <row r="485">
          <cell r="A485" t="str">
            <v>B0482</v>
          </cell>
          <cell r="B485" t="str">
            <v>Victron Battery Charger Blue Smart IP22 12/30(3)</v>
          </cell>
          <cell r="D485" t="str">
            <v>BPC123048012</v>
          </cell>
          <cell r="F485">
            <v>0</v>
          </cell>
          <cell r="G485">
            <v>236.6</v>
          </cell>
          <cell r="H485" t="str">
            <v>1-Victron</v>
          </cell>
          <cell r="I485">
            <v>0.31111111111111112</v>
          </cell>
        </row>
        <row r="486">
          <cell r="A486" t="str">
            <v>B0483</v>
          </cell>
          <cell r="B486" t="str">
            <v>Victron MultiPlus-II 48/5000/70-50</v>
          </cell>
          <cell r="D486" t="str">
            <v>PMP482505010</v>
          </cell>
          <cell r="F486">
            <v>1764.9</v>
          </cell>
          <cell r="G486">
            <v>1215.82</v>
          </cell>
          <cell r="H486" t="str">
            <v>1-Victron</v>
          </cell>
          <cell r="I486">
            <v>0.31111111111111112</v>
          </cell>
        </row>
        <row r="487">
          <cell r="A487" t="str">
            <v>B0484</v>
          </cell>
          <cell r="B487" t="str">
            <v xml:space="preserve"> Battery Charger Victron Blue Smart IP65 24/5A</v>
          </cell>
          <cell r="D487">
            <v>0</v>
          </cell>
          <cell r="F487">
            <v>0</v>
          </cell>
          <cell r="G487">
            <v>0</v>
          </cell>
          <cell r="H487" t="str">
            <v>1-Victron</v>
          </cell>
          <cell r="I487">
            <v>0.31111111111111112</v>
          </cell>
        </row>
        <row r="488">
          <cell r="A488" t="str">
            <v>B0485</v>
          </cell>
          <cell r="B488" t="str">
            <v>Selectronic SP Pro 48V/5.0KW Series 2i</v>
          </cell>
          <cell r="D488" t="str">
            <v>SPMC481-AU</v>
          </cell>
          <cell r="F488">
            <v>7107.1428571428578</v>
          </cell>
          <cell r="G488">
            <v>4975</v>
          </cell>
          <cell r="H488" t="str">
            <v>2-Krannich</v>
          </cell>
          <cell r="I488">
            <v>0.3</v>
          </cell>
        </row>
        <row r="489">
          <cell r="A489" t="str">
            <v>B0486</v>
          </cell>
          <cell r="B489" t="str">
            <v>Selectronic SP Pro 48V/7.5KW Series 2i</v>
          </cell>
          <cell r="D489" t="str">
            <v>SPMC482-AU</v>
          </cell>
          <cell r="F489">
            <v>8821.4285714285725</v>
          </cell>
          <cell r="G489">
            <v>6175</v>
          </cell>
          <cell r="H489" t="str">
            <v>2-Krannich</v>
          </cell>
          <cell r="I489">
            <v>0.3</v>
          </cell>
        </row>
        <row r="490">
          <cell r="A490" t="str">
            <v>B0487</v>
          </cell>
          <cell r="B490" t="str">
            <v>Selectronic Select.live Remote Monitoring Unit</v>
          </cell>
          <cell r="D490" t="str">
            <v>Select.Live</v>
          </cell>
          <cell r="F490">
            <v>463.23529411764713</v>
          </cell>
          <cell r="G490">
            <v>315</v>
          </cell>
          <cell r="H490" t="str">
            <v>2-Krannich</v>
          </cell>
          <cell r="I490">
            <v>0.32</v>
          </cell>
        </row>
        <row r="491">
          <cell r="A491" t="str">
            <v>B0488</v>
          </cell>
          <cell r="B491" t="str">
            <v>Victron Cable Victron RS485 to USB 5m</v>
          </cell>
          <cell r="D491" t="str">
            <v>ASS030572050</v>
          </cell>
          <cell r="F491">
            <v>0</v>
          </cell>
          <cell r="G491">
            <v>35.1</v>
          </cell>
          <cell r="H491" t="str">
            <v>1-Victron</v>
          </cell>
          <cell r="I491">
            <v>0.31111111111111112</v>
          </cell>
        </row>
        <row r="492">
          <cell r="A492" t="str">
            <v>B0489</v>
          </cell>
          <cell r="B492" t="str">
            <v xml:space="preserve"> Communications Kit Selectronic Battery Upgrade Uni</v>
          </cell>
          <cell r="D492">
            <v>0</v>
          </cell>
          <cell r="F492">
            <v>0</v>
          </cell>
          <cell r="G492">
            <v>0</v>
          </cell>
          <cell r="I492">
            <v>0</v>
          </cell>
        </row>
        <row r="493">
          <cell r="A493" t="str">
            <v>B0490</v>
          </cell>
          <cell r="B493" t="str">
            <v>Wattmaster Cable Lug 16mm2 x 6mm Hole</v>
          </cell>
          <cell r="D493" t="str">
            <v>ALCL16M6/25</v>
          </cell>
          <cell r="F493">
            <v>0.70769230769230773</v>
          </cell>
          <cell r="G493">
            <v>0.46</v>
          </cell>
          <cell r="H493" t="str">
            <v>3-Tradezone</v>
          </cell>
          <cell r="I493">
            <v>0.35</v>
          </cell>
        </row>
        <row r="494">
          <cell r="A494" t="str">
            <v>B0491</v>
          </cell>
          <cell r="B494" t="str">
            <v xml:space="preserve">Noark MCB 50A 360V DC 2 Pole </v>
          </cell>
          <cell r="D494">
            <v>84455</v>
          </cell>
          <cell r="F494">
            <v>37.92307692307692</v>
          </cell>
          <cell r="G494">
            <v>24.65</v>
          </cell>
          <cell r="H494" t="str">
            <v>3-Tradezone</v>
          </cell>
          <cell r="I494">
            <v>0.35</v>
          </cell>
        </row>
        <row r="495">
          <cell r="A495" t="str">
            <v>B0492</v>
          </cell>
          <cell r="B495" t="str">
            <v xml:space="preserve"> Cable Lug - M6 x 35mm2 Cu</v>
          </cell>
          <cell r="D495">
            <v>0</v>
          </cell>
          <cell r="F495">
            <v>0</v>
          </cell>
          <cell r="G495">
            <v>0</v>
          </cell>
          <cell r="H495" t="str">
            <v>3-Tradezone</v>
          </cell>
          <cell r="I495">
            <v>0</v>
          </cell>
        </row>
        <row r="496">
          <cell r="A496" t="str">
            <v>B0493</v>
          </cell>
          <cell r="B496" t="str">
            <v xml:space="preserve">Victron Wall Mount Enclosure for Color GX </v>
          </cell>
          <cell r="D496" t="str">
            <v>ASS050400000</v>
          </cell>
          <cell r="F496">
            <v>0</v>
          </cell>
          <cell r="G496">
            <v>43.55619047619048</v>
          </cell>
          <cell r="H496" t="str">
            <v>1-Victron</v>
          </cell>
          <cell r="I496">
            <v>0.31111111111111112</v>
          </cell>
        </row>
        <row r="497">
          <cell r="A497" t="str">
            <v>B0494</v>
          </cell>
          <cell r="B497" t="str">
            <v>DC Solutions Fuse disconnector NH1 3 pole</v>
          </cell>
          <cell r="D497" t="str">
            <v>FH01/3P</v>
          </cell>
          <cell r="F497">
            <v>152.36764705882354</v>
          </cell>
          <cell r="G497">
            <v>103.61</v>
          </cell>
          <cell r="H497" t="str">
            <v>3-Tradezone</v>
          </cell>
          <cell r="I497">
            <v>0.32</v>
          </cell>
        </row>
        <row r="498">
          <cell r="A498" t="str">
            <v>B0495</v>
          </cell>
          <cell r="B498" t="str">
            <v>DC Solutions Fuse disconnector NH00 3 pole</v>
          </cell>
          <cell r="D498" t="str">
            <v>FH00/3P</v>
          </cell>
          <cell r="F498">
            <v>81.014705882352956</v>
          </cell>
          <cell r="G498">
            <v>55.09</v>
          </cell>
          <cell r="H498" t="str">
            <v>3-Tradezone</v>
          </cell>
          <cell r="I498">
            <v>0.32</v>
          </cell>
        </row>
        <row r="499">
          <cell r="A499" t="str">
            <v>B0496</v>
          </cell>
          <cell r="B499" t="str">
            <v xml:space="preserve"> Cable Tie 150x3.6mm Black</v>
          </cell>
          <cell r="D499">
            <v>0</v>
          </cell>
          <cell r="F499">
            <v>0</v>
          </cell>
          <cell r="G499">
            <v>0</v>
          </cell>
          <cell r="I499">
            <v>0</v>
          </cell>
        </row>
        <row r="500">
          <cell r="A500" t="str">
            <v>B0497</v>
          </cell>
          <cell r="B500" t="str">
            <v>Victron Interface MK3-USB (VE.Bus to USB)</v>
          </cell>
          <cell r="D500" t="str">
            <v>ASS030140000</v>
          </cell>
          <cell r="F500">
            <v>106.2</v>
          </cell>
          <cell r="G500">
            <v>73.16</v>
          </cell>
          <cell r="H500" t="str">
            <v>1-Victron</v>
          </cell>
          <cell r="I500">
            <v>0.31111111111111112</v>
          </cell>
        </row>
        <row r="501">
          <cell r="A501" t="str">
            <v>B0498</v>
          </cell>
          <cell r="B501" t="str">
            <v xml:space="preserve"> Wall Bracket LG Chem Resu 10/13</v>
          </cell>
          <cell r="D501">
            <v>0</v>
          </cell>
          <cell r="F501">
            <v>0</v>
          </cell>
          <cell r="G501">
            <v>0</v>
          </cell>
          <cell r="I501">
            <v>0</v>
          </cell>
        </row>
        <row r="502">
          <cell r="A502" t="str">
            <v>B0499</v>
          </cell>
          <cell r="B502" t="str">
            <v>SMA Tripower 25000TL-30</v>
          </cell>
          <cell r="D502" t="str">
            <v>STP 25000TL-30</v>
          </cell>
          <cell r="F502">
            <v>4958.1428571428569</v>
          </cell>
          <cell r="G502">
            <v>3470.7</v>
          </cell>
          <cell r="H502" t="str">
            <v>7-Baywa</v>
          </cell>
          <cell r="I502">
            <v>0</v>
          </cell>
        </row>
        <row r="503">
          <cell r="A503" t="str">
            <v>B0500</v>
          </cell>
          <cell r="B503" t="str">
            <v xml:space="preserve"> Solar Controller Victron BlueSolar MPPT 150/100-Tr</v>
          </cell>
          <cell r="D503">
            <v>0</v>
          </cell>
          <cell r="F503">
            <v>0</v>
          </cell>
          <cell r="G503">
            <v>0</v>
          </cell>
          <cell r="I503">
            <v>0</v>
          </cell>
        </row>
        <row r="504">
          <cell r="A504" t="str">
            <v>B0501</v>
          </cell>
          <cell r="B504" t="str">
            <v xml:space="preserve"> Solar Controller Victron BlueSolar MPPT 150/100-MC</v>
          </cell>
          <cell r="D504">
            <v>0</v>
          </cell>
          <cell r="F504">
            <v>0</v>
          </cell>
          <cell r="G504">
            <v>0</v>
          </cell>
          <cell r="I504">
            <v>0</v>
          </cell>
        </row>
        <row r="505">
          <cell r="A505" t="str">
            <v>B0502</v>
          </cell>
          <cell r="B505" t="str">
            <v xml:space="preserve">Victron Phoenix Inverter  24/1600 SMART </v>
          </cell>
          <cell r="D505" t="str">
            <v>PIN242160000</v>
          </cell>
          <cell r="F505">
            <v>0</v>
          </cell>
          <cell r="G505">
            <v>0</v>
          </cell>
          <cell r="H505" t="str">
            <v>1-Victron</v>
          </cell>
          <cell r="I505">
            <v>0</v>
          </cell>
        </row>
        <row r="506">
          <cell r="A506" t="str">
            <v>B0503</v>
          </cell>
          <cell r="B506" t="str">
            <v xml:space="preserve">Victron Phoenix Inverter  48/2000 SMART </v>
          </cell>
          <cell r="D506" t="str">
            <v>PIN482200000</v>
          </cell>
          <cell r="F506">
            <v>0</v>
          </cell>
          <cell r="G506">
            <v>0</v>
          </cell>
          <cell r="H506" t="str">
            <v>1-Victron</v>
          </cell>
          <cell r="I506">
            <v>0</v>
          </cell>
        </row>
        <row r="507">
          <cell r="A507" t="str">
            <v>B0504</v>
          </cell>
          <cell r="B507" t="str">
            <v xml:space="preserve">Victron Phoenix Inverter  48/1600 SMART </v>
          </cell>
          <cell r="D507" t="str">
            <v>PIN482160000</v>
          </cell>
          <cell r="F507">
            <v>922.5</v>
          </cell>
          <cell r="G507">
            <v>635.5</v>
          </cell>
          <cell r="H507" t="str">
            <v>1-Victron</v>
          </cell>
          <cell r="I507">
            <v>0.31111111111111112</v>
          </cell>
        </row>
        <row r="508">
          <cell r="A508" t="str">
            <v>B0505</v>
          </cell>
          <cell r="B508" t="str">
            <v xml:space="preserve">Victron Phoenix Inverter  12/2000 SMART </v>
          </cell>
          <cell r="D508" t="str">
            <v>PIN122200000</v>
          </cell>
          <cell r="F508">
            <v>0</v>
          </cell>
          <cell r="G508">
            <v>0</v>
          </cell>
          <cell r="H508" t="str">
            <v>1-Victron</v>
          </cell>
          <cell r="I508">
            <v>0</v>
          </cell>
        </row>
        <row r="509">
          <cell r="A509" t="str">
            <v>B0506</v>
          </cell>
          <cell r="B509" t="str">
            <v xml:space="preserve">Victron Phoenix Inverter  12/1600 SMART </v>
          </cell>
          <cell r="D509" t="str">
            <v>PIN122160000</v>
          </cell>
          <cell r="F509">
            <v>0</v>
          </cell>
          <cell r="G509">
            <v>0</v>
          </cell>
          <cell r="H509" t="str">
            <v>1-Victron</v>
          </cell>
          <cell r="I509">
            <v>0</v>
          </cell>
        </row>
        <row r="510">
          <cell r="A510" t="str">
            <v>B0507</v>
          </cell>
          <cell r="B510" t="str">
            <v>Victron Phoenix 48/250 VE.Direct AU/NZ</v>
          </cell>
          <cell r="D510" t="str">
            <v>PIN482510300</v>
          </cell>
          <cell r="F510">
            <v>149.4</v>
          </cell>
          <cell r="G510">
            <v>102.92</v>
          </cell>
          <cell r="H510" t="str">
            <v>1-Victron</v>
          </cell>
          <cell r="I510">
            <v>0.31111111111111112</v>
          </cell>
        </row>
        <row r="511">
          <cell r="A511" t="str">
            <v>B0508</v>
          </cell>
          <cell r="B511" t="str">
            <v>DKSH Solar Fuse 15 Amp GPV 10mm x 38mm</v>
          </cell>
          <cell r="D511" t="str">
            <v>30F15PV</v>
          </cell>
          <cell r="F511">
            <v>14.246153846153845</v>
          </cell>
          <cell r="G511">
            <v>9.26</v>
          </cell>
          <cell r="H511" t="str">
            <v>3-Tradezone</v>
          </cell>
          <cell r="I511">
            <v>0.35</v>
          </cell>
        </row>
        <row r="512">
          <cell r="A512" t="str">
            <v>B0509</v>
          </cell>
          <cell r="B512" t="str">
            <v>Victron Phoenix 48/375 VE.Direct AU/NZ</v>
          </cell>
          <cell r="D512" t="str">
            <v>PIN483750300</v>
          </cell>
          <cell r="F512">
            <v>192.6</v>
          </cell>
          <cell r="G512">
            <v>132.68</v>
          </cell>
          <cell r="H512" t="str">
            <v>1-Victron</v>
          </cell>
          <cell r="I512">
            <v>0.31111111111111112</v>
          </cell>
        </row>
        <row r="513">
          <cell r="A513" t="str">
            <v>B0510</v>
          </cell>
          <cell r="B513" t="str">
            <v xml:space="preserve"> Heatshrink Tube DIA10mm Red</v>
          </cell>
          <cell r="D513">
            <v>0</v>
          </cell>
          <cell r="F513">
            <v>0</v>
          </cell>
          <cell r="G513">
            <v>0</v>
          </cell>
          <cell r="I513">
            <v>0</v>
          </cell>
        </row>
        <row r="514">
          <cell r="A514" t="str">
            <v>B0511</v>
          </cell>
          <cell r="B514" t="str">
            <v>Victron Phoenix 48/500 VE.Direct AU/NZ</v>
          </cell>
          <cell r="D514" t="str">
            <v>PIN485010300</v>
          </cell>
          <cell r="F514">
            <v>240.3</v>
          </cell>
          <cell r="G514">
            <v>165.54</v>
          </cell>
          <cell r="H514" t="str">
            <v>1-Victron</v>
          </cell>
          <cell r="I514">
            <v>0.31111111111111112</v>
          </cell>
        </row>
        <row r="515">
          <cell r="A515" t="str">
            <v>B0512</v>
          </cell>
          <cell r="B515" t="str">
            <v>DKSH Solar PV Fuse Disconnector 2 Pole 1000 Volts DC</v>
          </cell>
          <cell r="D515" t="str">
            <v>N85515</v>
          </cell>
          <cell r="F515">
            <v>16.707692307692305</v>
          </cell>
          <cell r="G515">
            <v>10.86</v>
          </cell>
          <cell r="H515" t="str">
            <v>3-Tradezone</v>
          </cell>
          <cell r="I515">
            <v>0.35</v>
          </cell>
        </row>
        <row r="516">
          <cell r="A516" t="str">
            <v>B0513</v>
          </cell>
          <cell r="B516" t="str">
            <v>Victron Cable Victron VE.Direct 0.9m (one side Right Angle conn)</v>
          </cell>
          <cell r="D516" t="str">
            <v>ASS030531209</v>
          </cell>
          <cell r="F516">
            <v>20.7</v>
          </cell>
          <cell r="G516">
            <v>14.26</v>
          </cell>
          <cell r="H516" t="str">
            <v>1-Victron</v>
          </cell>
          <cell r="I516">
            <v>0.31111111111111112</v>
          </cell>
        </row>
        <row r="517">
          <cell r="A517" t="str">
            <v>B0514</v>
          </cell>
          <cell r="B517" t="str">
            <v>Victron VE.Can to CAN-bus BMS type B Cable 1.8m</v>
          </cell>
          <cell r="D517" t="str">
            <v>ASS030720018</v>
          </cell>
          <cell r="F517">
            <v>21.6</v>
          </cell>
          <cell r="G517">
            <v>14.879999999999999</v>
          </cell>
          <cell r="H517" t="str">
            <v>1-Victron</v>
          </cell>
          <cell r="I517">
            <v>0.31111111111111112</v>
          </cell>
        </row>
        <row r="518">
          <cell r="A518" t="str">
            <v>B0515</v>
          </cell>
          <cell r="B518" t="str">
            <v>Konnect Battery Cap M5 Black plastic domed</v>
          </cell>
          <cell r="D518" t="str">
            <v>Cap-M5</v>
          </cell>
          <cell r="F518">
            <v>0.2</v>
          </cell>
          <cell r="G518">
            <v>0.13</v>
          </cell>
          <cell r="H518" t="str">
            <v>6-Various</v>
          </cell>
          <cell r="I518">
            <v>0.35</v>
          </cell>
        </row>
        <row r="519">
          <cell r="A519" t="str">
            <v>B0516</v>
          </cell>
          <cell r="B519" t="str">
            <v xml:space="preserve">Pylontech Lithium Battery Module US2000B </v>
          </cell>
          <cell r="D519" t="str">
            <v>PYLON-US2000/P1</v>
          </cell>
          <cell r="F519">
            <v>0</v>
          </cell>
          <cell r="G519">
            <v>1219</v>
          </cell>
          <cell r="H519" t="str">
            <v>1-Victron</v>
          </cell>
          <cell r="I519">
            <v>0.31111111111111112</v>
          </cell>
        </row>
        <row r="520">
          <cell r="A520" t="str">
            <v>B0517</v>
          </cell>
          <cell r="B520" t="str">
            <v>SolarWatt Battery My Reserve Matrix 7.2 KWh Kit</v>
          </cell>
          <cell r="D520" t="str">
            <v>MRKIT-7.2</v>
          </cell>
          <cell r="F520">
            <v>0</v>
          </cell>
          <cell r="G520">
            <v>0</v>
          </cell>
          <cell r="H520" t="str">
            <v>7-Baywa</v>
          </cell>
          <cell r="I520">
            <v>0</v>
          </cell>
        </row>
        <row r="521">
          <cell r="A521" t="str">
            <v>B0518</v>
          </cell>
          <cell r="B521" t="str">
            <v>SolarWatt Battery My Reserve Matrix 9.6 KWh Kit</v>
          </cell>
          <cell r="D521" t="str">
            <v>MRKIT-9.6</v>
          </cell>
          <cell r="F521">
            <v>0</v>
          </cell>
          <cell r="G521">
            <v>0</v>
          </cell>
          <cell r="H521" t="str">
            <v>7-Baywa</v>
          </cell>
          <cell r="I521">
            <v>0</v>
          </cell>
        </row>
        <row r="522">
          <cell r="A522" t="str">
            <v>B0519</v>
          </cell>
          <cell r="B522" t="str">
            <v>Victron Energy Meter Victron ET340 3 Phase</v>
          </cell>
          <cell r="D522" t="str">
            <v>REL300300000</v>
          </cell>
          <cell r="F522">
            <v>188.1</v>
          </cell>
          <cell r="G522">
            <v>129.58000000000001</v>
          </cell>
          <cell r="H522" t="str">
            <v>1-Victron</v>
          </cell>
          <cell r="I522">
            <v>0.31111111111111112</v>
          </cell>
        </row>
        <row r="523">
          <cell r="A523" t="str">
            <v>B0520</v>
          </cell>
          <cell r="B523" t="str">
            <v xml:space="preserve">Wattmaster Cable Lug 25mm2 10mm Hole </v>
          </cell>
          <cell r="D523" t="str">
            <v>ALCL25M10/25</v>
          </cell>
          <cell r="F523">
            <v>1.0615384615384613</v>
          </cell>
          <cell r="G523">
            <v>0.69</v>
          </cell>
          <cell r="H523" t="str">
            <v>3-Tradezone</v>
          </cell>
          <cell r="I523">
            <v>0.35</v>
          </cell>
        </row>
        <row r="524">
          <cell r="A524" t="str">
            <v>B0521</v>
          </cell>
          <cell r="B524" t="str">
            <v xml:space="preserve"> Fuse Blade 1 Amp</v>
          </cell>
          <cell r="D524">
            <v>0</v>
          </cell>
          <cell r="F524">
            <v>0</v>
          </cell>
          <cell r="G524">
            <v>0</v>
          </cell>
          <cell r="I524">
            <v>0</v>
          </cell>
        </row>
        <row r="525">
          <cell r="A525" t="str">
            <v>B0522</v>
          </cell>
          <cell r="B525" t="str">
            <v xml:space="preserve"> Plug RJ45 Cat6 Excel</v>
          </cell>
          <cell r="D525">
            <v>0</v>
          </cell>
          <cell r="F525">
            <v>0</v>
          </cell>
          <cell r="G525">
            <v>0</v>
          </cell>
          <cell r="I525">
            <v>0</v>
          </cell>
        </row>
        <row r="526">
          <cell r="A526" t="str">
            <v>B0523</v>
          </cell>
          <cell r="B526" t="str">
            <v>Wattmaster Cable Lug 25mm Cable 8mm Hole</v>
          </cell>
          <cell r="D526" t="str">
            <v>ALCL25M8/25</v>
          </cell>
          <cell r="F526">
            <v>1.0615384615384613</v>
          </cell>
          <cell r="G526">
            <v>0.69</v>
          </cell>
          <cell r="H526" t="str">
            <v>3-Tradezone</v>
          </cell>
          <cell r="I526">
            <v>0.35</v>
          </cell>
        </row>
        <row r="527">
          <cell r="A527" t="str">
            <v>B0524</v>
          </cell>
          <cell r="B527" t="str">
            <v>Victron GSM GX Dongle for Victron GX Devices</v>
          </cell>
          <cell r="D527" t="str">
            <v>GSM100100100</v>
          </cell>
          <cell r="F527">
            <v>0</v>
          </cell>
          <cell r="G527">
            <v>0</v>
          </cell>
          <cell r="I527">
            <v>0</v>
          </cell>
        </row>
        <row r="528">
          <cell r="A528" t="str">
            <v>B0525</v>
          </cell>
          <cell r="B528" t="e">
            <v>#N/A</v>
          </cell>
          <cell r="D528" t="e">
            <v>#N/A</v>
          </cell>
          <cell r="F528">
            <v>0</v>
          </cell>
          <cell r="G528">
            <v>0</v>
          </cell>
          <cell r="H528" t="str">
            <v>7-Baywa</v>
          </cell>
          <cell r="I528">
            <v>0</v>
          </cell>
        </row>
        <row r="529">
          <cell r="A529" t="str">
            <v>B0526</v>
          </cell>
          <cell r="B529" t="str">
            <v>SolarWatt Battery My Reserve Matrix 4.8 KWh Kit</v>
          </cell>
          <cell r="D529" t="str">
            <v>MRKIT-4.8</v>
          </cell>
          <cell r="F529">
            <v>0</v>
          </cell>
          <cell r="G529">
            <v>0</v>
          </cell>
          <cell r="H529" t="str">
            <v>7-Baywa</v>
          </cell>
          <cell r="I529">
            <v>0</v>
          </cell>
        </row>
        <row r="530">
          <cell r="A530" t="str">
            <v>B0527</v>
          </cell>
          <cell r="B530" t="str">
            <v>SolarWatt Battery My Reserve Matrix 12.0 KWh Kit</v>
          </cell>
          <cell r="D530" t="str">
            <v>MRKIT-12</v>
          </cell>
          <cell r="F530">
            <v>0</v>
          </cell>
          <cell r="G530">
            <v>0</v>
          </cell>
          <cell r="H530" t="str">
            <v>7-Baywa</v>
          </cell>
          <cell r="I530">
            <v>0</v>
          </cell>
        </row>
        <row r="531">
          <cell r="A531" t="str">
            <v>B0528</v>
          </cell>
          <cell r="B531" t="str">
            <v>SolarWatt Battery Matrix Command 20.2</v>
          </cell>
          <cell r="D531" t="str">
            <v>MRCommand</v>
          </cell>
          <cell r="F531">
            <v>2557.1428571428573</v>
          </cell>
          <cell r="G531">
            <v>1790</v>
          </cell>
          <cell r="H531" t="str">
            <v>7-Baywa</v>
          </cell>
          <cell r="I531">
            <v>0</v>
          </cell>
        </row>
        <row r="532">
          <cell r="A532" t="str">
            <v>B0529</v>
          </cell>
          <cell r="B532" t="str">
            <v>SolarWatt Battery Matrix single pack 2.4KWh</v>
          </cell>
          <cell r="D532" t="str">
            <v>MRSingle</v>
          </cell>
          <cell r="F532">
            <v>2761.3714285714286</v>
          </cell>
          <cell r="G532">
            <v>1932.96</v>
          </cell>
          <cell r="H532" t="str">
            <v>7-Baywa</v>
          </cell>
          <cell r="I532">
            <v>0</v>
          </cell>
        </row>
        <row r="533">
          <cell r="A533" t="str">
            <v>B0530</v>
          </cell>
          <cell r="B533" t="str">
            <v xml:space="preserve"> Cable Tie Mount 32x25mm TY8G1</v>
          </cell>
          <cell r="D533" t="str">
            <v>TY8G1</v>
          </cell>
          <cell r="F533">
            <v>0.64615384615384608</v>
          </cell>
          <cell r="G533">
            <v>0.42</v>
          </cell>
          <cell r="H533" t="str">
            <v>6-Various</v>
          </cell>
          <cell r="I533">
            <v>0.35</v>
          </cell>
        </row>
        <row r="534">
          <cell r="A534" t="str">
            <v>B0531</v>
          </cell>
          <cell r="B534" t="str">
            <v>HellermanTyton Cable Tie Mount 19x19mm MB3A</v>
          </cell>
          <cell r="D534" t="str">
            <v>MB3A</v>
          </cell>
          <cell r="F534">
            <v>0.44615384615384612</v>
          </cell>
          <cell r="G534">
            <v>0.28999999999999998</v>
          </cell>
          <cell r="H534" t="str">
            <v>6-Various</v>
          </cell>
          <cell r="I534">
            <v>0.35</v>
          </cell>
        </row>
        <row r="535">
          <cell r="A535" t="str">
            <v>B0532</v>
          </cell>
          <cell r="B535" t="str">
            <v>Victron EasySolar-II 48/5000/70</v>
          </cell>
          <cell r="D535" t="str">
            <v>PMP482507010</v>
          </cell>
          <cell r="F535">
            <v>3377.7000000000003</v>
          </cell>
          <cell r="G535">
            <v>2326.86</v>
          </cell>
          <cell r="H535" t="str">
            <v>1-Victron</v>
          </cell>
          <cell r="I535">
            <v>0.31111111111111112</v>
          </cell>
        </row>
        <row r="536">
          <cell r="A536" t="str">
            <v>B0533</v>
          </cell>
          <cell r="B536" t="str">
            <v>Victron EasySolar 48/5000/70</v>
          </cell>
          <cell r="D536" t="str">
            <v>PMP485027010</v>
          </cell>
          <cell r="F536">
            <v>0</v>
          </cell>
          <cell r="G536">
            <v>3576.9561904761904</v>
          </cell>
          <cell r="H536" t="str">
            <v>1-Victron</v>
          </cell>
          <cell r="I536">
            <v>0.31111111111111112</v>
          </cell>
        </row>
        <row r="537">
          <cell r="A537" t="str">
            <v>B0534</v>
          </cell>
          <cell r="B537" t="str">
            <v>Victron EasySolar 12/1600/70-16</v>
          </cell>
          <cell r="D537" t="str">
            <v>CEP121621000</v>
          </cell>
          <cell r="F537">
            <v>2034.9</v>
          </cell>
          <cell r="G537">
            <v>1401.82</v>
          </cell>
          <cell r="H537" t="str">
            <v>1-Victron</v>
          </cell>
          <cell r="I537">
            <v>0.31111111111111112</v>
          </cell>
        </row>
        <row r="538">
          <cell r="A538" t="str">
            <v>B0535</v>
          </cell>
          <cell r="B538" t="str">
            <v>Victron EasySolar 24/1600/40-16</v>
          </cell>
          <cell r="D538" t="str">
            <v>CEP241621010</v>
          </cell>
          <cell r="F538">
            <v>2034.9</v>
          </cell>
          <cell r="G538">
            <v>1401.82</v>
          </cell>
          <cell r="H538" t="str">
            <v>1-Victron</v>
          </cell>
          <cell r="I538">
            <v>0.31111111111111112</v>
          </cell>
        </row>
        <row r="539">
          <cell r="A539" t="str">
            <v>B0536</v>
          </cell>
          <cell r="B539" t="e">
            <v>#N/A</v>
          </cell>
          <cell r="D539" t="e">
            <v>#N/A</v>
          </cell>
          <cell r="F539">
            <v>0</v>
          </cell>
          <cell r="G539">
            <v>0</v>
          </cell>
          <cell r="H539" t="str">
            <v>1-Victron</v>
          </cell>
          <cell r="I539">
            <v>0</v>
          </cell>
        </row>
        <row r="540">
          <cell r="A540" t="str">
            <v>B0537</v>
          </cell>
          <cell r="B540" t="str">
            <v>Victron Multiplus-II GX 48/3000/35-32</v>
          </cell>
          <cell r="D540" t="str">
            <v>PMP482306000</v>
          </cell>
          <cell r="F540">
            <v>1206.9000000000001</v>
          </cell>
          <cell r="G540">
            <v>831.42</v>
          </cell>
          <cell r="H540" t="str">
            <v>1-Victron</v>
          </cell>
          <cell r="I540">
            <v>0.31111111111111112</v>
          </cell>
        </row>
        <row r="541">
          <cell r="A541" t="str">
            <v>B0538</v>
          </cell>
          <cell r="B541" t="str">
            <v>Victron Multiplus 12/1600/70</v>
          </cell>
          <cell r="D541" t="str">
            <v>PMP122160000</v>
          </cell>
          <cell r="F541">
            <v>1191.6000000000001</v>
          </cell>
          <cell r="G541">
            <v>820.88</v>
          </cell>
          <cell r="H541" t="str">
            <v>1-Victron</v>
          </cell>
          <cell r="I541">
            <v>0.31111111111111112</v>
          </cell>
        </row>
        <row r="542">
          <cell r="A542" t="str">
            <v>B0539</v>
          </cell>
          <cell r="B542" t="str">
            <v>Fronius Smart Meter 63A 3 phase</v>
          </cell>
          <cell r="D542" t="str">
            <v>SM63-3</v>
          </cell>
          <cell r="F542">
            <v>558.82352941176475</v>
          </cell>
          <cell r="G542">
            <v>380</v>
          </cell>
          <cell r="H542" t="str">
            <v>2-Krannich</v>
          </cell>
          <cell r="I542">
            <v>0.32</v>
          </cell>
        </row>
        <row r="543">
          <cell r="A543" t="str">
            <v>B0540</v>
          </cell>
          <cell r="B543" t="str">
            <v>Fronius Smart Meter 3ph Commercial</v>
          </cell>
          <cell r="D543" t="str">
            <v>SM63-3-C</v>
          </cell>
          <cell r="F543">
            <v>586.76470588235304</v>
          </cell>
          <cell r="G543">
            <v>399</v>
          </cell>
          <cell r="H543" t="str">
            <v>2-Krannich</v>
          </cell>
          <cell r="I543">
            <v>0.32</v>
          </cell>
        </row>
        <row r="544">
          <cell r="A544" t="str">
            <v>B0541</v>
          </cell>
          <cell r="B544" t="str">
            <v xml:space="preserve"> Littelfuse 250A Pink Bolt Down Car Fuse, 32V dc</v>
          </cell>
          <cell r="D544">
            <v>0</v>
          </cell>
          <cell r="F544">
            <v>0</v>
          </cell>
          <cell r="G544">
            <v>0</v>
          </cell>
          <cell r="I544">
            <v>0</v>
          </cell>
        </row>
        <row r="545">
          <cell r="A545" t="str">
            <v>B0542</v>
          </cell>
          <cell r="B545" t="str">
            <v>DKSH MCB 16A DC 2 pole</v>
          </cell>
          <cell r="D545" t="str">
            <v>N84450</v>
          </cell>
          <cell r="F545">
            <v>29.892307692307689</v>
          </cell>
          <cell r="G545">
            <v>19.43</v>
          </cell>
          <cell r="H545" t="str">
            <v>3-Tradezone</v>
          </cell>
          <cell r="I545">
            <v>0.35</v>
          </cell>
        </row>
        <row r="546">
          <cell r="A546" t="str">
            <v>B0543</v>
          </cell>
          <cell r="B546" t="str">
            <v>PGK Solar cable 4mm Single PV1-F 100M drum</v>
          </cell>
          <cell r="D546" t="str">
            <v>4MMTWINDC</v>
          </cell>
          <cell r="F546">
            <v>167.64705882352942</v>
          </cell>
          <cell r="G546">
            <v>114</v>
          </cell>
          <cell r="H546" t="str">
            <v>3-Tradezone</v>
          </cell>
          <cell r="I546">
            <v>0.32</v>
          </cell>
        </row>
        <row r="547">
          <cell r="A547" t="str">
            <v>B0544</v>
          </cell>
          <cell r="B547" t="str">
            <v>Victron VE.Direct Cable 0.3m</v>
          </cell>
          <cell r="D547" t="str">
            <v>ASS030530203</v>
          </cell>
          <cell r="F547">
            <v>0</v>
          </cell>
          <cell r="G547">
            <v>14.26</v>
          </cell>
          <cell r="H547" t="str">
            <v>1-Victron</v>
          </cell>
          <cell r="I547">
            <v>0</v>
          </cell>
        </row>
        <row r="548">
          <cell r="A548" t="str">
            <v>B0545</v>
          </cell>
          <cell r="B548" t="str">
            <v xml:space="preserve">VICTRON AGM Super Cycle Batt. 12V/15Ah </v>
          </cell>
          <cell r="D548" t="str">
            <v>BAT212120086</v>
          </cell>
          <cell r="F548">
            <v>0</v>
          </cell>
          <cell r="G548">
            <v>46.156190476190481</v>
          </cell>
          <cell r="H548" t="str">
            <v>1-Victron</v>
          </cell>
          <cell r="I548">
            <v>0.31111111111111112</v>
          </cell>
        </row>
        <row r="549">
          <cell r="A549" t="str">
            <v>B0546</v>
          </cell>
          <cell r="B549" t="str">
            <v>VICTRON Gel Deep Cycle Batt. 12V60Ah (C20)</v>
          </cell>
          <cell r="D549" t="str">
            <v>BAT412550104</v>
          </cell>
          <cell r="F549">
            <v>0</v>
          </cell>
          <cell r="G549">
            <v>193.69999999999996</v>
          </cell>
          <cell r="H549" t="str">
            <v>1-Victron</v>
          </cell>
          <cell r="I549">
            <v>0.31111111111111112</v>
          </cell>
        </row>
        <row r="550">
          <cell r="A550" t="str">
            <v>B0547</v>
          </cell>
          <cell r="B550" t="str">
            <v>VICTRON Lead Carbon Battery 12V/106Ah (M8)</v>
          </cell>
          <cell r="D550" t="str">
            <v>BAT612110081</v>
          </cell>
          <cell r="F550">
            <v>0</v>
          </cell>
          <cell r="G550">
            <v>372</v>
          </cell>
          <cell r="H550" t="str">
            <v>1-Victron</v>
          </cell>
          <cell r="I550">
            <v>0.31111111111111112</v>
          </cell>
        </row>
        <row r="551">
          <cell r="A551" t="str">
            <v>B0548</v>
          </cell>
          <cell r="B551" t="str">
            <v xml:space="preserve"> LiFePO4 battery 24V/180Ah 4,75 kW</v>
          </cell>
          <cell r="D551">
            <v>0</v>
          </cell>
          <cell r="F551">
            <v>0</v>
          </cell>
          <cell r="G551">
            <v>0</v>
          </cell>
          <cell r="H551" t="str">
            <v>1-Victron</v>
          </cell>
          <cell r="I551">
            <v>0.31111111111111112</v>
          </cell>
        </row>
        <row r="552">
          <cell r="A552" t="str">
            <v>B0549</v>
          </cell>
          <cell r="B552" t="str">
            <v>VICTRON LiFePO4 battery 12.8V/60Ah - Smart</v>
          </cell>
          <cell r="D552" t="str">
            <v>BAT512060410</v>
          </cell>
          <cell r="F552">
            <v>0</v>
          </cell>
          <cell r="G552">
            <v>930.79999999999984</v>
          </cell>
          <cell r="H552" t="str">
            <v>1-Victron</v>
          </cell>
          <cell r="I552">
            <v>0.31111111111111112</v>
          </cell>
        </row>
        <row r="553">
          <cell r="A553" t="str">
            <v>B0550</v>
          </cell>
          <cell r="B553" t="str">
            <v>VICTRON Lithium SuperPack 12,8V/20Ah (M5)</v>
          </cell>
          <cell r="D553" t="str">
            <v>BAT512020705</v>
          </cell>
          <cell r="F553">
            <v>0</v>
          </cell>
          <cell r="G553">
            <v>291.2</v>
          </cell>
          <cell r="H553" t="str">
            <v>1-Victron</v>
          </cell>
          <cell r="I553">
            <v>0.31111111111111112</v>
          </cell>
        </row>
        <row r="554">
          <cell r="A554" t="str">
            <v>B0551</v>
          </cell>
          <cell r="B554" t="str">
            <v>VICTRON AGM Deep Cycle 12V/8Ah</v>
          </cell>
          <cell r="D554" t="str">
            <v>BAT212070084</v>
          </cell>
          <cell r="F554">
            <v>0</v>
          </cell>
          <cell r="G554">
            <v>25.356190476190474</v>
          </cell>
          <cell r="H554" t="str">
            <v>1-Victron</v>
          </cell>
          <cell r="I554">
            <v>0.31111111111111112</v>
          </cell>
        </row>
        <row r="555">
          <cell r="A555" t="str">
            <v>B0552</v>
          </cell>
          <cell r="B555" t="str">
            <v>VICTRON AGM Deep Cycle 12V/14Ah</v>
          </cell>
          <cell r="D555" t="str">
            <v>BAT212120086</v>
          </cell>
          <cell r="F555">
            <v>0</v>
          </cell>
          <cell r="G555">
            <v>46.156190476190481</v>
          </cell>
          <cell r="H555" t="str">
            <v>1-Victron</v>
          </cell>
          <cell r="I555">
            <v>0.31111111111111112</v>
          </cell>
        </row>
        <row r="556">
          <cell r="A556" t="str">
            <v>B0553</v>
          </cell>
          <cell r="B556" t="str">
            <v>VICTRON AGM Deep Cycle 12V/22Ah</v>
          </cell>
          <cell r="D556" t="str">
            <v>BAT212200084</v>
          </cell>
          <cell r="F556">
            <v>0</v>
          </cell>
          <cell r="G556">
            <v>62.400000000000006</v>
          </cell>
          <cell r="H556" t="str">
            <v>1-Victron</v>
          </cell>
          <cell r="I556">
            <v>0.31111111111111112</v>
          </cell>
        </row>
        <row r="557">
          <cell r="A557" t="str">
            <v>B0554</v>
          </cell>
          <cell r="B557" t="str">
            <v>VICTRON AGM Deep Cycle 12V/38Ah</v>
          </cell>
          <cell r="D557" t="str">
            <v>BAT412350084</v>
          </cell>
          <cell r="F557">
            <v>0</v>
          </cell>
          <cell r="G557">
            <v>146.9</v>
          </cell>
          <cell r="H557" t="str">
            <v>1-Victron</v>
          </cell>
          <cell r="I557">
            <v>0.31111111111111112</v>
          </cell>
        </row>
        <row r="558">
          <cell r="A558" t="str">
            <v>B0555</v>
          </cell>
          <cell r="B558" t="str">
            <v>VICTRON AGM Deep Cycle 12V/60Ah</v>
          </cell>
          <cell r="D558" t="str">
            <v>BAT412550084</v>
          </cell>
          <cell r="F558">
            <v>0</v>
          </cell>
          <cell r="G558">
            <v>168.35619047619048</v>
          </cell>
          <cell r="H558" t="str">
            <v>1-Victron</v>
          </cell>
          <cell r="I558">
            <v>0.31111111111111112</v>
          </cell>
        </row>
        <row r="559">
          <cell r="A559" t="str">
            <v>B0556</v>
          </cell>
          <cell r="B559" t="str">
            <v>VICTRON AGM Deep Cycle 12V/66Ah</v>
          </cell>
          <cell r="D559" t="str">
            <v>BAT412600084</v>
          </cell>
          <cell r="F559">
            <v>0</v>
          </cell>
          <cell r="G559">
            <v>185.24380952380955</v>
          </cell>
          <cell r="H559" t="str">
            <v>1-Victron</v>
          </cell>
          <cell r="I559">
            <v>0.31111111111111112</v>
          </cell>
        </row>
        <row r="560">
          <cell r="A560" t="str">
            <v>B0557</v>
          </cell>
          <cell r="B560" t="str">
            <v>VICTRON AGM Deep Cycle 12V/90Ah</v>
          </cell>
          <cell r="D560" t="str">
            <v>BAT412800084</v>
          </cell>
          <cell r="F560">
            <v>0</v>
          </cell>
          <cell r="G560">
            <v>249.60000000000002</v>
          </cell>
          <cell r="H560" t="str">
            <v>1-Victron</v>
          </cell>
          <cell r="I560">
            <v>0.31111111111111112</v>
          </cell>
        </row>
        <row r="561">
          <cell r="A561" t="str">
            <v>B0558</v>
          </cell>
          <cell r="B561" t="str">
            <v xml:space="preserve">VICTRON AGM Deep Cycle 12V/110Ah </v>
          </cell>
          <cell r="D561" t="str">
            <v>BAT412101084</v>
          </cell>
          <cell r="F561">
            <v>0</v>
          </cell>
          <cell r="G561">
            <v>280.8</v>
          </cell>
          <cell r="H561" t="str">
            <v>1-Victron</v>
          </cell>
          <cell r="I561">
            <v>0.31111111111111112</v>
          </cell>
        </row>
        <row r="562">
          <cell r="A562" t="str">
            <v>B0559</v>
          </cell>
          <cell r="B562" t="str">
            <v>VICTRON AGM Deep Cycle 12V/130Ah</v>
          </cell>
          <cell r="D562" t="str">
            <v>BAT412121084</v>
          </cell>
          <cell r="F562">
            <v>0</v>
          </cell>
          <cell r="G562">
            <v>367.24380952380955</v>
          </cell>
          <cell r="H562" t="str">
            <v>1-Victron</v>
          </cell>
          <cell r="I562">
            <v>0.31111111111111112</v>
          </cell>
        </row>
        <row r="563">
          <cell r="A563" t="str">
            <v>B0560</v>
          </cell>
          <cell r="B563" t="str">
            <v>VICTRON AGM Deep Cycle 12V/165Ah</v>
          </cell>
          <cell r="D563" t="str">
            <v>BAT412151084</v>
          </cell>
          <cell r="F563">
            <v>0</v>
          </cell>
          <cell r="G563">
            <v>466.04380952380956</v>
          </cell>
          <cell r="H563" t="str">
            <v>1-Victron</v>
          </cell>
          <cell r="I563">
            <v>0.31111111111111112</v>
          </cell>
        </row>
        <row r="564">
          <cell r="A564" t="str">
            <v>B0561</v>
          </cell>
          <cell r="B564" t="str">
            <v xml:space="preserve">VICTRON AGM Deep Cycle 12V/220Ah </v>
          </cell>
          <cell r="D564" t="str">
            <v>BAT412201084</v>
          </cell>
          <cell r="F564">
            <v>0</v>
          </cell>
          <cell r="G564">
            <v>568.75619047619045</v>
          </cell>
          <cell r="H564" t="str">
            <v>1-Victron</v>
          </cell>
          <cell r="I564">
            <v>0.31111111111111112</v>
          </cell>
        </row>
        <row r="565">
          <cell r="A565" t="str">
            <v>B0562</v>
          </cell>
          <cell r="B565" t="str">
            <v>VICTRON AGM Dp Cycle 12V/90Ah Threaded insert (M6)</v>
          </cell>
          <cell r="D565" t="str">
            <v>BAT412800085</v>
          </cell>
          <cell r="F565">
            <v>0</v>
          </cell>
          <cell r="G565">
            <v>249.60000000000002</v>
          </cell>
          <cell r="H565" t="str">
            <v>1-Victron</v>
          </cell>
          <cell r="I565">
            <v>0.31111111111111112</v>
          </cell>
        </row>
        <row r="566">
          <cell r="A566" t="str">
            <v>B0563</v>
          </cell>
          <cell r="B566" t="str">
            <v>VICTRON AGM Dp Cycle 12V/110Ah Threaded insert (M8)</v>
          </cell>
          <cell r="D566" t="str">
            <v>BAT412101085</v>
          </cell>
          <cell r="F566">
            <v>0</v>
          </cell>
          <cell r="G566">
            <v>312</v>
          </cell>
          <cell r="H566" t="str">
            <v>1-Victron</v>
          </cell>
          <cell r="I566">
            <v>0.31111111111111112</v>
          </cell>
        </row>
        <row r="567">
          <cell r="A567" t="str">
            <v>B0564</v>
          </cell>
          <cell r="B567" t="e">
            <v>#N/A</v>
          </cell>
          <cell r="D567" t="e">
            <v>#N/A</v>
          </cell>
          <cell r="F567">
            <v>0</v>
          </cell>
          <cell r="G567">
            <v>0</v>
          </cell>
          <cell r="H567" t="str">
            <v>1-Victron</v>
          </cell>
          <cell r="I567">
            <v>0</v>
          </cell>
        </row>
        <row r="568">
          <cell r="A568" t="str">
            <v>B0565</v>
          </cell>
          <cell r="B568" t="str">
            <v>VICTRON AGM Dp Cycle 12V/165Ah Threaded insert (M8)</v>
          </cell>
          <cell r="D568" t="str">
            <v>BAT412151085</v>
          </cell>
          <cell r="F568">
            <v>0</v>
          </cell>
          <cell r="G568">
            <v>445.78</v>
          </cell>
          <cell r="H568" t="str">
            <v>1-Victron</v>
          </cell>
          <cell r="I568">
            <v>0.31111111111111112</v>
          </cell>
        </row>
        <row r="569">
          <cell r="A569" t="str">
            <v>B0566</v>
          </cell>
          <cell r="B569" t="str">
            <v>VICTRON AGM Dp Cycle 12V/220Ah Threaded insert (M8)</v>
          </cell>
          <cell r="D569" t="str">
            <v>BAT412201085</v>
          </cell>
          <cell r="F569">
            <v>0</v>
          </cell>
          <cell r="G569">
            <v>568.75619047619045</v>
          </cell>
          <cell r="H569" t="str">
            <v>1-Victron</v>
          </cell>
          <cell r="I569">
            <v>0.31111111111111112</v>
          </cell>
        </row>
        <row r="570">
          <cell r="A570" t="str">
            <v>B0567</v>
          </cell>
          <cell r="B570" t="str">
            <v>VICTRON AGM Dp Cycle 12V/240Ah Threaded insert (M8)</v>
          </cell>
          <cell r="D570" t="str">
            <v>BAT412124081</v>
          </cell>
          <cell r="F570">
            <v>0</v>
          </cell>
          <cell r="G570">
            <v>579.80000000000007</v>
          </cell>
          <cell r="H570" t="str">
            <v>1-Victron</v>
          </cell>
          <cell r="I570">
            <v>0.31111111111111112</v>
          </cell>
        </row>
        <row r="571">
          <cell r="A571" t="str">
            <v>B0568</v>
          </cell>
          <cell r="B571" t="str">
            <v>VICTRON AGM Super Cycle Batt. (M5) 12V38Ah</v>
          </cell>
          <cell r="D571" t="str">
            <v>BAT412038081</v>
          </cell>
          <cell r="F571">
            <v>0</v>
          </cell>
          <cell r="G571">
            <v>136.5</v>
          </cell>
          <cell r="H571" t="str">
            <v>1-Victron</v>
          </cell>
          <cell r="I571">
            <v>0.31111111111111112</v>
          </cell>
        </row>
        <row r="572">
          <cell r="A572" t="str">
            <v>B0569</v>
          </cell>
          <cell r="B572" t="str">
            <v>VICTRON AGM Super Cycle Batt. (M6) 12V/100Ah</v>
          </cell>
          <cell r="D572" t="str">
            <v>BAT412110081</v>
          </cell>
          <cell r="F572">
            <v>0</v>
          </cell>
          <cell r="G572">
            <v>328.24380952380949</v>
          </cell>
          <cell r="H572" t="str">
            <v>1-Victron</v>
          </cell>
          <cell r="I572">
            <v>0.31111111111111112</v>
          </cell>
        </row>
        <row r="573">
          <cell r="A573" t="str">
            <v>B0570</v>
          </cell>
          <cell r="B573" t="str">
            <v>VICTRON AGM Super Cycle Batt. (M8) 12V125Ah</v>
          </cell>
          <cell r="D573" t="str">
            <v>BAT412112081</v>
          </cell>
          <cell r="F573">
            <v>0</v>
          </cell>
          <cell r="G573">
            <v>412.1</v>
          </cell>
          <cell r="H573" t="str">
            <v>1-Victron</v>
          </cell>
          <cell r="I573">
            <v>0.31111111111111112</v>
          </cell>
        </row>
        <row r="574">
          <cell r="A574" t="str">
            <v>B0571</v>
          </cell>
          <cell r="B574" t="str">
            <v>VICTRON AGM Super Cycle Batt. (M8) 12V170Ah</v>
          </cell>
          <cell r="D574" t="str">
            <v>BAT412117081</v>
          </cell>
          <cell r="F574">
            <v>686.7</v>
          </cell>
          <cell r="G574">
            <v>473.06</v>
          </cell>
          <cell r="H574" t="str">
            <v>1-Victron</v>
          </cell>
          <cell r="I574">
            <v>0.31111111111111112</v>
          </cell>
        </row>
        <row r="575">
          <cell r="A575" t="str">
            <v>B0572</v>
          </cell>
          <cell r="B575" t="str">
            <v>VICTRON AGM Super Cycle Batt. (M8) 12V/230Ah</v>
          </cell>
          <cell r="D575" t="str">
            <v>BAT412123081</v>
          </cell>
          <cell r="F575">
            <v>0</v>
          </cell>
          <cell r="G575">
            <v>711.1</v>
          </cell>
          <cell r="H575" t="str">
            <v>1-Victron</v>
          </cell>
          <cell r="I575">
            <v>0.31111111111111112</v>
          </cell>
        </row>
        <row r="576">
          <cell r="A576" t="str">
            <v>B0573</v>
          </cell>
          <cell r="B576" t="str">
            <v>VICTRON Gel Deep Cycle Batt. 12V66Ah  (C20)</v>
          </cell>
          <cell r="D576" t="str">
            <v>BAT412600104</v>
          </cell>
          <cell r="F576">
            <v>0</v>
          </cell>
          <cell r="G576">
            <v>241.8</v>
          </cell>
          <cell r="H576" t="str">
            <v>1-Victron</v>
          </cell>
          <cell r="I576">
            <v>0.31111111111111112</v>
          </cell>
        </row>
        <row r="577">
          <cell r="A577" t="str">
            <v>B0574</v>
          </cell>
          <cell r="B577" t="str">
            <v>VICTRON Gel Deep Cycle Batt. 12V90Ah  (C20)</v>
          </cell>
          <cell r="D577" t="str">
            <v>BAT412800104</v>
          </cell>
          <cell r="F577">
            <v>0</v>
          </cell>
          <cell r="G577">
            <v>254.8</v>
          </cell>
          <cell r="H577" t="str">
            <v>1-Victron</v>
          </cell>
          <cell r="I577">
            <v>0.31111111111111112</v>
          </cell>
        </row>
        <row r="578">
          <cell r="A578" t="str">
            <v>B0575</v>
          </cell>
          <cell r="B578" t="str">
            <v>VICTRON Gel Deep Cycle Batt. 12V110Ah  (C20)</v>
          </cell>
          <cell r="D578" t="str">
            <v>BAT412101104</v>
          </cell>
          <cell r="F578">
            <v>0</v>
          </cell>
          <cell r="G578">
            <v>317.2</v>
          </cell>
          <cell r="H578" t="str">
            <v>1-Victron</v>
          </cell>
          <cell r="I578">
            <v>0.31111111111111112</v>
          </cell>
        </row>
        <row r="579">
          <cell r="A579" t="str">
            <v>B0576</v>
          </cell>
          <cell r="B579" t="str">
            <v>VICTRON Gel Deep Cycle Batt. 12V130Ah  (C20)</v>
          </cell>
          <cell r="D579" t="str">
            <v>BAT412121104</v>
          </cell>
          <cell r="F579">
            <v>0</v>
          </cell>
          <cell r="G579">
            <v>371.8</v>
          </cell>
          <cell r="H579" t="str">
            <v>1-Victron</v>
          </cell>
          <cell r="I579">
            <v>0.31111111111111112</v>
          </cell>
        </row>
        <row r="580">
          <cell r="A580" t="str">
            <v>B0577</v>
          </cell>
          <cell r="B580" t="str">
            <v>VICTRON Gel Deep Cycle Batt. 12V165Ah  (C20)</v>
          </cell>
          <cell r="D580" t="str">
            <v>BAT412151104</v>
          </cell>
          <cell r="F580">
            <v>0</v>
          </cell>
          <cell r="G580">
            <v>477.75619047619045</v>
          </cell>
          <cell r="H580" t="str">
            <v>1-Victron</v>
          </cell>
          <cell r="I580">
            <v>0.31111111111111112</v>
          </cell>
        </row>
        <row r="581">
          <cell r="A581" t="str">
            <v>B0578</v>
          </cell>
          <cell r="B581" t="str">
            <v>VICTRON Gel Deep Cycle Batt. 12V220Ah  (C20)</v>
          </cell>
          <cell r="D581" t="str">
            <v>BAT412201104</v>
          </cell>
          <cell r="F581">
            <v>0</v>
          </cell>
          <cell r="G581">
            <v>585</v>
          </cell>
          <cell r="H581" t="str">
            <v>1-Victron</v>
          </cell>
          <cell r="I581">
            <v>0.31111111111111112</v>
          </cell>
        </row>
        <row r="582">
          <cell r="A582" t="str">
            <v>B0579</v>
          </cell>
          <cell r="B582" t="str">
            <v>VICTRON Gel Deep Cycle Batt. 12V265Ah  (C20)</v>
          </cell>
          <cell r="D582" t="str">
            <v>BAT412126101</v>
          </cell>
          <cell r="F582">
            <v>0</v>
          </cell>
          <cell r="G582">
            <v>859.95619047619061</v>
          </cell>
          <cell r="H582" t="str">
            <v>1-Victron</v>
          </cell>
          <cell r="I582">
            <v>0.31111111111111112</v>
          </cell>
        </row>
        <row r="583">
          <cell r="A583" t="str">
            <v>B0580</v>
          </cell>
          <cell r="B583" t="str">
            <v>VICTRON Lead Carbon Battery 12V/160Ah (M8)</v>
          </cell>
          <cell r="D583" t="str">
            <v>BAT612116081</v>
          </cell>
          <cell r="F583">
            <v>0</v>
          </cell>
          <cell r="G583">
            <v>556.76</v>
          </cell>
          <cell r="H583" t="str">
            <v>1-Victron</v>
          </cell>
          <cell r="I583">
            <v>0.31111111111111112</v>
          </cell>
        </row>
        <row r="584">
          <cell r="A584" t="str">
            <v>B0581</v>
          </cell>
          <cell r="B584" t="str">
            <v xml:space="preserve"> Lithium HE battery 24V/100Ah 2,5k</v>
          </cell>
          <cell r="D584">
            <v>0</v>
          </cell>
          <cell r="F584">
            <v>0</v>
          </cell>
          <cell r="G584">
            <v>0</v>
          </cell>
          <cell r="H584" t="str">
            <v>1-Victron</v>
          </cell>
          <cell r="I584">
            <v>0.31111111111111112</v>
          </cell>
        </row>
        <row r="585">
          <cell r="A585" t="str">
            <v>B0582</v>
          </cell>
          <cell r="B585" t="str">
            <v xml:space="preserve"> Lithium HE battery 24V/200Ah 5kWh</v>
          </cell>
          <cell r="D585">
            <v>0</v>
          </cell>
          <cell r="F585">
            <v>0</v>
          </cell>
          <cell r="G585">
            <v>0</v>
          </cell>
          <cell r="H585" t="str">
            <v>1-Victron</v>
          </cell>
          <cell r="I585">
            <v>0.31111111111111112</v>
          </cell>
        </row>
        <row r="586">
          <cell r="A586" t="str">
            <v>B0583</v>
          </cell>
          <cell r="B586" t="str">
            <v xml:space="preserve"> Batterie VICTRON LiFePO4 battery 12.8V/90Ah - Smar</v>
          </cell>
          <cell r="D586">
            <v>0</v>
          </cell>
          <cell r="F586">
            <v>0</v>
          </cell>
          <cell r="G586">
            <v>0</v>
          </cell>
          <cell r="H586" t="str">
            <v>1-Victron</v>
          </cell>
          <cell r="I586">
            <v>0.31111111111111112</v>
          </cell>
        </row>
        <row r="587">
          <cell r="A587" t="str">
            <v>B0584</v>
          </cell>
          <cell r="B587" t="str">
            <v>VICTRON LiFePO4 battery 12.8V/100Ah - Smart</v>
          </cell>
          <cell r="D587" t="str">
            <v>BAT512110610</v>
          </cell>
          <cell r="F587">
            <v>1110.6000000000001</v>
          </cell>
          <cell r="G587">
            <v>765.08</v>
          </cell>
          <cell r="H587" t="str">
            <v>1-Victron</v>
          </cell>
          <cell r="I587">
            <v>0.31111111111111112</v>
          </cell>
        </row>
        <row r="588">
          <cell r="A588" t="str">
            <v>B0585</v>
          </cell>
          <cell r="B588" t="e">
            <v>#N/A</v>
          </cell>
          <cell r="D588" t="e">
            <v>#N/A</v>
          </cell>
          <cell r="F588">
            <v>0</v>
          </cell>
          <cell r="G588">
            <v>0</v>
          </cell>
          <cell r="H588" t="str">
            <v>1-Victron</v>
          </cell>
          <cell r="I588">
            <v>0</v>
          </cell>
        </row>
        <row r="589">
          <cell r="A589" t="str">
            <v>B0586</v>
          </cell>
          <cell r="B589" t="str">
            <v>VICTRON LiFePO4 battery 12.8V/160Ah - Smart</v>
          </cell>
          <cell r="D589" t="str">
            <v>BAT512116610</v>
          </cell>
          <cell r="F589">
            <v>1487.7</v>
          </cell>
          <cell r="G589">
            <v>1024.8599999999999</v>
          </cell>
          <cell r="H589" t="str">
            <v>1-Victron</v>
          </cell>
          <cell r="I589">
            <v>0.31111111111111112</v>
          </cell>
        </row>
        <row r="590">
          <cell r="A590" t="str">
            <v>B0587</v>
          </cell>
          <cell r="B590" t="str">
            <v>VICTRON LiFePO4 Battery 12.8V/200Ah - Smart</v>
          </cell>
          <cell r="D590" t="str">
            <v>BAT512120610</v>
          </cell>
          <cell r="F590">
            <v>1710.9</v>
          </cell>
          <cell r="G590">
            <v>1178.6199999999999</v>
          </cell>
          <cell r="H590" t="str">
            <v>1-Victron</v>
          </cell>
          <cell r="I590">
            <v>0.31111111111111112</v>
          </cell>
        </row>
        <row r="591">
          <cell r="A591" t="str">
            <v>B0588</v>
          </cell>
          <cell r="B591" t="str">
            <v>VICTRON LiFePO4 Battery 12.8V/300Ah - Smart</v>
          </cell>
          <cell r="D591" t="str">
            <v>BAT512130410</v>
          </cell>
          <cell r="F591">
            <v>0</v>
          </cell>
          <cell r="G591">
            <v>3695.243809523809</v>
          </cell>
          <cell r="H591" t="str">
            <v>1-Victron</v>
          </cell>
          <cell r="I591">
            <v>0.31111111111111112</v>
          </cell>
        </row>
        <row r="592">
          <cell r="A592" t="str">
            <v>B0589</v>
          </cell>
          <cell r="B592" t="str">
            <v>VICTRON LiFePO4 Battery 25.6V/200Ah - Smart</v>
          </cell>
          <cell r="D592" t="str">
            <v>BAT524120410</v>
          </cell>
          <cell r="F592">
            <v>0</v>
          </cell>
          <cell r="G592">
            <v>4923.0999999999995</v>
          </cell>
          <cell r="H592" t="str">
            <v>1-Victron</v>
          </cell>
          <cell r="I592">
            <v>0.31111111111111112</v>
          </cell>
        </row>
        <row r="593">
          <cell r="A593" t="str">
            <v>B0590</v>
          </cell>
          <cell r="B593" t="str">
            <v>VICTRON Lithium SuperPack 12,8V/60Ah (M6)</v>
          </cell>
          <cell r="D593" t="str">
            <v>BAT512060705</v>
          </cell>
          <cell r="F593">
            <v>0</v>
          </cell>
          <cell r="G593">
            <v>623.35619047619048</v>
          </cell>
          <cell r="H593" t="str">
            <v>1-Victron</v>
          </cell>
          <cell r="I593">
            <v>0.31111111111111112</v>
          </cell>
        </row>
        <row r="594">
          <cell r="A594" t="str">
            <v>B0591</v>
          </cell>
          <cell r="B594" t="str">
            <v>VICTRON Lithium SuperPack 12,8V/100Ah (M8)</v>
          </cell>
          <cell r="D594" t="str">
            <v>BAT512110705</v>
          </cell>
          <cell r="F594">
            <v>0</v>
          </cell>
          <cell r="G594">
            <v>1028.3</v>
          </cell>
          <cell r="H594" t="str">
            <v>1-Victron</v>
          </cell>
          <cell r="I594">
            <v>0.31111111111111112</v>
          </cell>
        </row>
        <row r="595">
          <cell r="A595" t="str">
            <v>B0592</v>
          </cell>
          <cell r="B595" t="str">
            <v>VICTRON Lithium SuperPack 12,8V/200Ah (M8)</v>
          </cell>
          <cell r="D595" t="str">
            <v>BAT512120705</v>
          </cell>
          <cell r="F595">
            <v>0</v>
          </cell>
          <cell r="G595">
            <v>2286.0438095238096</v>
          </cell>
          <cell r="H595" t="str">
            <v>1-Victron</v>
          </cell>
          <cell r="I595">
            <v>0.31111111111111112</v>
          </cell>
        </row>
        <row r="596">
          <cell r="A596" t="str">
            <v>B0593</v>
          </cell>
          <cell r="B596" t="str">
            <v>VICTRON Battery Charger Blue Smart IP65s  12/4(1) + DC connector</v>
          </cell>
          <cell r="D596" t="str">
            <v>BPC120433014R</v>
          </cell>
          <cell r="F596">
            <v>0</v>
          </cell>
          <cell r="G596">
            <v>81.900000000000006</v>
          </cell>
          <cell r="H596" t="str">
            <v>1-Victron</v>
          </cell>
          <cell r="I596">
            <v>0.31111111111111112</v>
          </cell>
        </row>
        <row r="597">
          <cell r="A597" t="str">
            <v>B0594</v>
          </cell>
          <cell r="B597" t="str">
            <v>VICTRON Battery Charger Blue Smart IP65s  12/5(1) + DC connector</v>
          </cell>
          <cell r="D597" t="str">
            <v>BPC120533014R</v>
          </cell>
          <cell r="F597">
            <v>0</v>
          </cell>
          <cell r="G597">
            <v>86.443809523809506</v>
          </cell>
          <cell r="H597" t="str">
            <v>1-Victron</v>
          </cell>
          <cell r="I597">
            <v>0.31111111111111112</v>
          </cell>
        </row>
        <row r="598">
          <cell r="A598" t="str">
            <v>B0595</v>
          </cell>
          <cell r="B598" t="str">
            <v>VICTRON Battery Charger Blue Smart IP65s  12/7(1) + DC connector</v>
          </cell>
          <cell r="D598" t="str">
            <v>BPC120731014R</v>
          </cell>
          <cell r="F598">
            <v>0</v>
          </cell>
          <cell r="G598">
            <v>120.24380952380953</v>
          </cell>
          <cell r="H598" t="str">
            <v>1-Victron</v>
          </cell>
          <cell r="I598">
            <v>0.31111111111111112</v>
          </cell>
        </row>
        <row r="599">
          <cell r="A599" t="str">
            <v>B0596</v>
          </cell>
          <cell r="B599" t="str">
            <v>VICTRON Battery Charger Blue Smart IP65s  12/10(1) + DC connector</v>
          </cell>
          <cell r="D599" t="str">
            <v>BPC121031014R</v>
          </cell>
          <cell r="F599">
            <v>0</v>
          </cell>
          <cell r="G599">
            <v>142.35619047619048</v>
          </cell>
          <cell r="H599" t="str">
            <v>1-Victron</v>
          </cell>
          <cell r="I599">
            <v>0.31111111111111112</v>
          </cell>
        </row>
        <row r="600">
          <cell r="A600" t="str">
            <v>B0597</v>
          </cell>
          <cell r="B600" t="str">
            <v>VICTRON Battery Charger Blue Smart IP65s  12/15(1) + DC connector</v>
          </cell>
          <cell r="D600" t="str">
            <v>BPC121531014R</v>
          </cell>
          <cell r="F600">
            <v>0</v>
          </cell>
          <cell r="G600">
            <v>163.80000000000001</v>
          </cell>
          <cell r="H600" t="str">
            <v>1-Victron</v>
          </cell>
          <cell r="I600">
            <v>0.31111111111111112</v>
          </cell>
        </row>
        <row r="601">
          <cell r="A601" t="str">
            <v>B0598</v>
          </cell>
          <cell r="B601" t="str">
            <v>VICTRON Battery Charger Blue Smart IP65s  24/5(1) + DC connector</v>
          </cell>
          <cell r="D601" t="str">
            <v>BPC240531014R</v>
          </cell>
          <cell r="F601">
            <v>0</v>
          </cell>
          <cell r="G601">
            <v>120.24380952380953</v>
          </cell>
          <cell r="H601" t="str">
            <v>1-Victron</v>
          </cell>
          <cell r="I601">
            <v>0.31111111111111112</v>
          </cell>
        </row>
        <row r="602">
          <cell r="A602" t="str">
            <v>B0599</v>
          </cell>
          <cell r="B602" t="str">
            <v>VICTRON Battery Charger Blue Smart IP65s 24/8(1) + DC connector</v>
          </cell>
          <cell r="D602" t="str">
            <v>BPC240831014R</v>
          </cell>
          <cell r="F602">
            <v>0</v>
          </cell>
          <cell r="G602">
            <v>163.80000000000001</v>
          </cell>
          <cell r="H602" t="str">
            <v>1-Victron</v>
          </cell>
          <cell r="I602">
            <v>0.31111111111111112</v>
          </cell>
        </row>
        <row r="603">
          <cell r="A603" t="str">
            <v>B0600</v>
          </cell>
          <cell r="B603" t="str">
            <v xml:space="preserve"> Heatshrink Tube DIA10mm Black</v>
          </cell>
          <cell r="D603">
            <v>0</v>
          </cell>
          <cell r="F603">
            <v>0</v>
          </cell>
          <cell r="G603">
            <v>0</v>
          </cell>
          <cell r="H603" t="str">
            <v>1-Victron</v>
          </cell>
          <cell r="I603">
            <v>0.31111111111111112</v>
          </cell>
        </row>
        <row r="604">
          <cell r="A604" t="str">
            <v>B0601</v>
          </cell>
          <cell r="B604" t="str">
            <v>Victron Multiplus 48/1200/13</v>
          </cell>
          <cell r="D604" t="str">
            <v>PMP482120000</v>
          </cell>
          <cell r="F604">
            <v>814.5</v>
          </cell>
          <cell r="G604">
            <v>561.1</v>
          </cell>
          <cell r="H604" t="str">
            <v>1-Victron</v>
          </cell>
          <cell r="I604">
            <v>0.31111111111111112</v>
          </cell>
        </row>
        <row r="605">
          <cell r="A605" t="str">
            <v>B0602</v>
          </cell>
          <cell r="B605" t="str">
            <v>Victron VICTRON Centaur IP20 Battery Charger 24/40 (3)</v>
          </cell>
          <cell r="D605" t="str">
            <v>CCH024040000</v>
          </cell>
          <cell r="F605">
            <v>0</v>
          </cell>
          <cell r="G605">
            <v>884</v>
          </cell>
          <cell r="H605" t="str">
            <v>1-Victron</v>
          </cell>
          <cell r="I605">
            <v>0.31111111111111112</v>
          </cell>
        </row>
        <row r="606">
          <cell r="A606" t="str">
            <v>B0603</v>
          </cell>
          <cell r="B606" t="str">
            <v>Victron VE.Direct Cable 10m</v>
          </cell>
          <cell r="D606" t="str">
            <v>ASS030530310</v>
          </cell>
          <cell r="F606">
            <v>30.6</v>
          </cell>
          <cell r="G606">
            <v>21.08</v>
          </cell>
          <cell r="H606" t="str">
            <v>1-Victron</v>
          </cell>
          <cell r="I606">
            <v>0.31111111111111112</v>
          </cell>
        </row>
        <row r="607">
          <cell r="A607" t="str">
            <v>B0604</v>
          </cell>
          <cell r="B607" t="str">
            <v>Victron VICTRON Centaur IP20 Battery Charger 24/60 (3)</v>
          </cell>
          <cell r="D607" t="str">
            <v>CCH024060000</v>
          </cell>
          <cell r="F607">
            <v>0</v>
          </cell>
          <cell r="G607">
            <v>1010.7561904761905</v>
          </cell>
          <cell r="H607" t="str">
            <v>1-Victron</v>
          </cell>
          <cell r="I607">
            <v>0.31111111111111112</v>
          </cell>
        </row>
        <row r="608">
          <cell r="A608" t="str">
            <v>B0605</v>
          </cell>
          <cell r="B608" t="str">
            <v>Victron VICTRON Phoenix Battery Charger 12/30 (2+1) 120-240V</v>
          </cell>
          <cell r="D608" t="str">
            <v>PCH012030001</v>
          </cell>
          <cell r="F608">
            <v>0</v>
          </cell>
          <cell r="G608">
            <v>529.75619047619045</v>
          </cell>
          <cell r="H608" t="str">
            <v>1-Victron</v>
          </cell>
          <cell r="I608">
            <v>0.31111111111111112</v>
          </cell>
        </row>
        <row r="609">
          <cell r="A609" t="str">
            <v>B0606</v>
          </cell>
          <cell r="B609" t="str">
            <v>Victron VICTRON Phoenix Battery Charger 12/50(2+1) 120-240V</v>
          </cell>
          <cell r="D609" t="str">
            <v>PCH012050001</v>
          </cell>
          <cell r="F609">
            <v>0</v>
          </cell>
          <cell r="G609">
            <v>707.84380952380945</v>
          </cell>
          <cell r="H609" t="str">
            <v>1-Victron</v>
          </cell>
          <cell r="I609">
            <v>0.31111111111111112</v>
          </cell>
        </row>
        <row r="610">
          <cell r="A610" t="str">
            <v>B0607</v>
          </cell>
          <cell r="B610" t="str">
            <v>Victron VICTRON Phoenix Battery Charger 24/16 (2+1) 120-240V</v>
          </cell>
          <cell r="D610" t="str">
            <v>PCH024016001</v>
          </cell>
          <cell r="F610">
            <v>0</v>
          </cell>
          <cell r="G610">
            <v>529.75619047619045</v>
          </cell>
          <cell r="H610" t="str">
            <v>1-Victron</v>
          </cell>
          <cell r="I610">
            <v>0.31111111111111112</v>
          </cell>
        </row>
        <row r="611">
          <cell r="A611" t="str">
            <v>B0608</v>
          </cell>
          <cell r="B611" t="str">
            <v>Wattmaster Cable Lug 16mm2 Cable 10mm Hole</v>
          </cell>
          <cell r="D611" t="str">
            <v>ALCL16M10/25</v>
          </cell>
          <cell r="F611">
            <v>0.70769230769230773</v>
          </cell>
          <cell r="G611">
            <v>0.46</v>
          </cell>
          <cell r="H611" t="str">
            <v>3-Tradezone</v>
          </cell>
          <cell r="I611">
            <v>0.35</v>
          </cell>
        </row>
        <row r="612">
          <cell r="A612" t="str">
            <v>B0609</v>
          </cell>
          <cell r="B612" t="str">
            <v>Wattmaster Cable Lug 35mm2 Cable 10mm Hole</v>
          </cell>
          <cell r="D612" t="str">
            <v>ALCL35M10/25</v>
          </cell>
          <cell r="F612">
            <v>1.8307692307692307</v>
          </cell>
          <cell r="G612">
            <v>1.19</v>
          </cell>
          <cell r="H612" t="str">
            <v>3-Tradezone</v>
          </cell>
          <cell r="I612">
            <v>0.35</v>
          </cell>
        </row>
        <row r="613">
          <cell r="A613" t="str">
            <v>B0610</v>
          </cell>
          <cell r="B613" t="str">
            <v>Wattmaster Cable Lug 35mm2 Cable 8mm Hole</v>
          </cell>
          <cell r="D613" t="str">
            <v>ALCL35M8/25</v>
          </cell>
          <cell r="F613">
            <v>1.6615384615384616</v>
          </cell>
          <cell r="G613">
            <v>1.08</v>
          </cell>
          <cell r="H613" t="str">
            <v>3-Tradezone</v>
          </cell>
          <cell r="I613">
            <v>0.35</v>
          </cell>
        </row>
        <row r="614">
          <cell r="A614" t="str">
            <v>B0611</v>
          </cell>
          <cell r="B614" t="str">
            <v xml:space="preserve"> Black rubber round base for K29</v>
          </cell>
          <cell r="D614">
            <v>0</v>
          </cell>
          <cell r="F614">
            <v>0</v>
          </cell>
          <cell r="G614">
            <v>0</v>
          </cell>
          <cell r="I614">
            <v>0</v>
          </cell>
        </row>
        <row r="615">
          <cell r="A615" t="str">
            <v>B0612</v>
          </cell>
          <cell r="B615" t="str">
            <v>PGK Enclosure MCB 4Pole IP65</v>
          </cell>
          <cell r="D615" t="str">
            <v>SE008A</v>
          </cell>
          <cell r="F615">
            <v>29.538461538461537</v>
          </cell>
          <cell r="G615">
            <v>19.2</v>
          </cell>
          <cell r="H615" t="str">
            <v>3-Tradezone</v>
          </cell>
          <cell r="I615">
            <v>0.35</v>
          </cell>
        </row>
        <row r="616">
          <cell r="A616" t="str">
            <v>B0613</v>
          </cell>
          <cell r="B616" t="str">
            <v>IP Enclosures Enclosure 400H x 300W x 150D Steel Powdercoated</v>
          </cell>
          <cell r="D616" t="str">
            <v>IP403015</v>
          </cell>
          <cell r="F616">
            <v>132.86764705882354</v>
          </cell>
          <cell r="G616">
            <v>90.35</v>
          </cell>
          <cell r="H616" t="str">
            <v>3-Tradezone</v>
          </cell>
          <cell r="I616">
            <v>0.32</v>
          </cell>
        </row>
        <row r="617">
          <cell r="A617" t="str">
            <v>B0614</v>
          </cell>
          <cell r="B617" t="str">
            <v>Wattmaster Bootlace Ferrule 1mm2 insulated 100</v>
          </cell>
          <cell r="D617" t="str">
            <v>ALCBLR/100</v>
          </cell>
          <cell r="F617">
            <v>7.0307692307692307</v>
          </cell>
          <cell r="G617">
            <v>4.57</v>
          </cell>
          <cell r="H617" t="str">
            <v>3-Tradezone</v>
          </cell>
          <cell r="I617">
            <v>0.35</v>
          </cell>
        </row>
        <row r="618">
          <cell r="A618" t="str">
            <v>B0615</v>
          </cell>
          <cell r="B618" t="str">
            <v xml:space="preserve"> Connector Female Spade Red/ Blue- Insulated</v>
          </cell>
          <cell r="D618">
            <v>0</v>
          </cell>
          <cell r="F618">
            <v>0</v>
          </cell>
          <cell r="G618">
            <v>0</v>
          </cell>
          <cell r="H618" t="str">
            <v>3-Tradezone</v>
          </cell>
          <cell r="I618">
            <v>0</v>
          </cell>
        </row>
        <row r="619">
          <cell r="A619" t="str">
            <v>B0616</v>
          </cell>
          <cell r="B619" t="str">
            <v xml:space="preserve"> Connector Male Spade Red - Insulated</v>
          </cell>
          <cell r="D619">
            <v>0</v>
          </cell>
          <cell r="F619">
            <v>0</v>
          </cell>
          <cell r="G619">
            <v>0</v>
          </cell>
          <cell r="H619" t="str">
            <v>3-Tradezone</v>
          </cell>
          <cell r="I619">
            <v>0</v>
          </cell>
        </row>
        <row r="620">
          <cell r="A620" t="str">
            <v>B0617</v>
          </cell>
          <cell r="B620" t="str">
            <v xml:space="preserve"> Cable Tie 200X4.3mm White</v>
          </cell>
          <cell r="D620">
            <v>0</v>
          </cell>
          <cell r="F620">
            <v>0</v>
          </cell>
          <cell r="G620">
            <v>0</v>
          </cell>
          <cell r="H620" t="str">
            <v>3-Tradezone</v>
          </cell>
          <cell r="I620">
            <v>0</v>
          </cell>
        </row>
        <row r="621">
          <cell r="A621" t="str">
            <v>B0618</v>
          </cell>
          <cell r="B621" t="str">
            <v xml:space="preserve"> Bootlace Ferrule 16mm2 insulated</v>
          </cell>
          <cell r="D621">
            <v>0</v>
          </cell>
          <cell r="F621">
            <v>0</v>
          </cell>
          <cell r="G621">
            <v>0</v>
          </cell>
          <cell r="H621" t="str">
            <v>3-Tradezone</v>
          </cell>
          <cell r="I621">
            <v>0</v>
          </cell>
        </row>
        <row r="622">
          <cell r="A622" t="str">
            <v>B0619</v>
          </cell>
          <cell r="B622" t="str">
            <v xml:space="preserve"> Conduit Blanking Plug &amp; Nut PVC M25</v>
          </cell>
          <cell r="D622">
            <v>0</v>
          </cell>
          <cell r="F622">
            <v>0</v>
          </cell>
          <cell r="G622">
            <v>0</v>
          </cell>
          <cell r="H622" t="str">
            <v>3-Tradezone</v>
          </cell>
          <cell r="I622">
            <v>0</v>
          </cell>
        </row>
        <row r="623">
          <cell r="A623" t="str">
            <v>B0620</v>
          </cell>
          <cell r="B623" t="str">
            <v xml:space="preserve"> Screw 8Gx12mm Button Head Phil Galv CL3</v>
          </cell>
          <cell r="D623">
            <v>0</v>
          </cell>
          <cell r="F623">
            <v>0</v>
          </cell>
          <cell r="G623">
            <v>0</v>
          </cell>
          <cell r="I623">
            <v>0</v>
          </cell>
        </row>
        <row r="624">
          <cell r="A624" t="str">
            <v>B0621</v>
          </cell>
          <cell r="B624" t="str">
            <v xml:space="preserve"> Screw M5 x 25mm SS316 Phillips</v>
          </cell>
          <cell r="D624">
            <v>0</v>
          </cell>
          <cell r="F624">
            <v>0</v>
          </cell>
          <cell r="G624">
            <v>0</v>
          </cell>
          <cell r="I624">
            <v>0</v>
          </cell>
        </row>
        <row r="625">
          <cell r="A625" t="str">
            <v>B0622</v>
          </cell>
          <cell r="B625" t="str">
            <v xml:space="preserve"> Sleeve Plastic A5</v>
          </cell>
          <cell r="D625">
            <v>0</v>
          </cell>
          <cell r="F625">
            <v>0</v>
          </cell>
          <cell r="G625">
            <v>0</v>
          </cell>
          <cell r="I625">
            <v>0</v>
          </cell>
        </row>
        <row r="626">
          <cell r="A626" t="str">
            <v>B0623</v>
          </cell>
          <cell r="B626" t="str">
            <v xml:space="preserve"> Screw M6x25 CSK Phil SS316</v>
          </cell>
          <cell r="D626">
            <v>0</v>
          </cell>
          <cell r="F626">
            <v>0</v>
          </cell>
          <cell r="G626">
            <v>0</v>
          </cell>
          <cell r="I626">
            <v>0</v>
          </cell>
        </row>
        <row r="627">
          <cell r="A627" t="str">
            <v>B0624</v>
          </cell>
          <cell r="B627" t="str">
            <v xml:space="preserve"> Screw M6x20 CS head SS316</v>
          </cell>
          <cell r="D627">
            <v>0</v>
          </cell>
          <cell r="F627">
            <v>0</v>
          </cell>
          <cell r="G627">
            <v>0</v>
          </cell>
          <cell r="I627">
            <v>0</v>
          </cell>
        </row>
        <row r="628">
          <cell r="A628" t="str">
            <v>B0625</v>
          </cell>
          <cell r="B628" t="str">
            <v xml:space="preserve"> Washer M6 SS 316</v>
          </cell>
          <cell r="D628">
            <v>0</v>
          </cell>
          <cell r="F628">
            <v>0</v>
          </cell>
          <cell r="G628">
            <v>0</v>
          </cell>
          <cell r="I628">
            <v>0</v>
          </cell>
        </row>
        <row r="629">
          <cell r="A629" t="str">
            <v>B0626</v>
          </cell>
          <cell r="B629" t="str">
            <v>Noark MCB 32A 360V DC 2 Pole</v>
          </cell>
          <cell r="D629" t="str">
            <v>N84453</v>
          </cell>
          <cell r="F629">
            <v>29.892307692307689</v>
          </cell>
          <cell r="G629">
            <v>19.43</v>
          </cell>
          <cell r="H629" t="str">
            <v>3-Tradezone</v>
          </cell>
          <cell r="I629">
            <v>0.35</v>
          </cell>
        </row>
        <row r="630">
          <cell r="A630" t="str">
            <v>B0627</v>
          </cell>
          <cell r="B630" t="str">
            <v>Noark MCB 50A 360V DC 4 Pole</v>
          </cell>
          <cell r="D630" t="str">
            <v>N84481</v>
          </cell>
          <cell r="F630">
            <v>0</v>
          </cell>
          <cell r="G630">
            <v>0</v>
          </cell>
          <cell r="H630" t="str">
            <v>6-Various</v>
          </cell>
          <cell r="I630">
            <v>0</v>
          </cell>
        </row>
        <row r="631">
          <cell r="A631" t="str">
            <v>B0628</v>
          </cell>
          <cell r="B631" t="str">
            <v xml:space="preserve"> Grille 130 x 130 Square Plastic</v>
          </cell>
          <cell r="D631">
            <v>0</v>
          </cell>
          <cell r="F631">
            <v>0</v>
          </cell>
          <cell r="G631">
            <v>0</v>
          </cell>
          <cell r="H631" t="str">
            <v>3-Tradezone</v>
          </cell>
          <cell r="I631">
            <v>0</v>
          </cell>
        </row>
        <row r="632">
          <cell r="A632" t="str">
            <v>B0629</v>
          </cell>
          <cell r="B632" t="str">
            <v>Plasmatronics Hot Water Diverter Plasmatronics Jackal</v>
          </cell>
          <cell r="D632" t="str">
            <v>Jackal</v>
          </cell>
          <cell r="F632">
            <v>856.5067499999999</v>
          </cell>
          <cell r="G632">
            <v>656.12</v>
          </cell>
          <cell r="H632" t="str">
            <v>4-Plasmatronics</v>
          </cell>
          <cell r="I632">
            <v>0</v>
          </cell>
        </row>
        <row r="633">
          <cell r="A633" t="str">
            <v>B0630</v>
          </cell>
          <cell r="B633" t="str">
            <v xml:space="preserve"> Bootlace Ferrule 2.5mm Insulated</v>
          </cell>
          <cell r="D633">
            <v>0</v>
          </cell>
          <cell r="F633">
            <v>0</v>
          </cell>
          <cell r="G633">
            <v>0</v>
          </cell>
          <cell r="H633" t="str">
            <v>1-Victron</v>
          </cell>
          <cell r="I633">
            <v>0.31111111111111112</v>
          </cell>
        </row>
        <row r="634">
          <cell r="A634" t="str">
            <v>B0631</v>
          </cell>
          <cell r="B634" t="str">
            <v xml:space="preserve"> Screw mounts saddle type 4 x 4.8mm</v>
          </cell>
          <cell r="D634">
            <v>0</v>
          </cell>
          <cell r="F634">
            <v>0</v>
          </cell>
          <cell r="G634">
            <v>0</v>
          </cell>
          <cell r="H634" t="str">
            <v>1-Victron</v>
          </cell>
          <cell r="I634">
            <v>0.31111111111111112</v>
          </cell>
        </row>
        <row r="635">
          <cell r="A635" t="str">
            <v>B0632</v>
          </cell>
          <cell r="B635" t="str">
            <v>Powerplus Battery Powerplus eco 4KWh Lithium Module</v>
          </cell>
          <cell r="D635" t="str">
            <v>ECO4840P</v>
          </cell>
          <cell r="F635">
            <v>3282.8571428571431</v>
          </cell>
          <cell r="G635">
            <v>2298</v>
          </cell>
          <cell r="H635" t="str">
            <v>6-Various</v>
          </cell>
          <cell r="I635">
            <v>0.3</v>
          </cell>
        </row>
        <row r="636">
          <cell r="A636" t="str">
            <v>B0633</v>
          </cell>
          <cell r="B636" t="str">
            <v>Powerplus Powerplus Battery casing 3 Module PEW3</v>
          </cell>
          <cell r="D636" t="str">
            <v>PEW3</v>
          </cell>
          <cell r="F636">
            <v>1178.5714285714287</v>
          </cell>
          <cell r="G636">
            <v>825</v>
          </cell>
          <cell r="H636" t="str">
            <v>6-Various</v>
          </cell>
          <cell r="I636">
            <v>0.3</v>
          </cell>
        </row>
        <row r="637">
          <cell r="A637" t="str">
            <v>B0634</v>
          </cell>
          <cell r="B637" t="str">
            <v>Wattmaster Cable Lug 95mm M10</v>
          </cell>
          <cell r="D637" t="str">
            <v>ALCL95M10/10</v>
          </cell>
          <cell r="F637">
            <v>3.3230769230769233</v>
          </cell>
          <cell r="G637">
            <v>2.16</v>
          </cell>
          <cell r="H637" t="str">
            <v>3-Tradezone</v>
          </cell>
          <cell r="I637">
            <v>0.35</v>
          </cell>
        </row>
        <row r="638">
          <cell r="A638" t="str">
            <v>B0635</v>
          </cell>
          <cell r="B638" t="str">
            <v>DC Solutions NH1 250A fuse 440 Volts</v>
          </cell>
          <cell r="D638" t="str">
            <v>FH01/250A</v>
          </cell>
          <cell r="F638">
            <v>15.323076923076924</v>
          </cell>
          <cell r="G638">
            <v>9.9600000000000009</v>
          </cell>
          <cell r="H638" t="str">
            <v>3-Tradezone</v>
          </cell>
          <cell r="I638">
            <v>0.35</v>
          </cell>
        </row>
        <row r="639">
          <cell r="A639" t="str">
            <v>B0636</v>
          </cell>
          <cell r="B639" t="str">
            <v>Cabacc Ring terminals 1.5 to 2.5mm 6MM stud</v>
          </cell>
          <cell r="D639" t="str">
            <v>RT26</v>
          </cell>
          <cell r="F639">
            <v>10.199999999999999</v>
          </cell>
          <cell r="G639">
            <v>6.63</v>
          </cell>
          <cell r="H639" t="str">
            <v>3-Tradezone</v>
          </cell>
          <cell r="I639">
            <v>0.35</v>
          </cell>
        </row>
        <row r="640">
          <cell r="A640" t="str">
            <v>B0637</v>
          </cell>
          <cell r="B640" t="str">
            <v xml:space="preserve"> Ring terminals 4 to 6mm 8MM stud</v>
          </cell>
          <cell r="D640">
            <v>0</v>
          </cell>
          <cell r="F640">
            <v>0</v>
          </cell>
          <cell r="G640">
            <v>0</v>
          </cell>
          <cell r="H640" t="str">
            <v>3-Tradezone</v>
          </cell>
          <cell r="I640">
            <v>0</v>
          </cell>
        </row>
        <row r="641">
          <cell r="A641" t="str">
            <v>B0638</v>
          </cell>
          <cell r="B641" t="str">
            <v>Victron Battery monitor BMV 702 - Grey</v>
          </cell>
          <cell r="D641" t="str">
            <v>BAM010702000R</v>
          </cell>
          <cell r="F641">
            <v>223.20000000000002</v>
          </cell>
          <cell r="G641">
            <v>153.76</v>
          </cell>
          <cell r="H641" t="str">
            <v>1-Victron</v>
          </cell>
          <cell r="I641">
            <v>0.31111111111111112</v>
          </cell>
        </row>
        <row r="642">
          <cell r="A642" t="str">
            <v>B0639</v>
          </cell>
          <cell r="B642" t="str">
            <v>Victron VICTRON Skylla Battery Charger TG 24/50 3-phase (1+1)</v>
          </cell>
          <cell r="D642" t="str">
            <v>STG024050300</v>
          </cell>
          <cell r="F642">
            <v>0</v>
          </cell>
          <cell r="G642">
            <v>1519.7</v>
          </cell>
          <cell r="H642" t="str">
            <v>1-Victron</v>
          </cell>
          <cell r="I642">
            <v>0.31111111111111112</v>
          </cell>
        </row>
        <row r="643">
          <cell r="A643" t="str">
            <v>B0640</v>
          </cell>
          <cell r="B643" t="str">
            <v>Victron VICTRON Skylla Battery Charger TG 24/100 3-phase (1+1)</v>
          </cell>
          <cell r="D643" t="str">
            <v>STG024100300</v>
          </cell>
          <cell r="F643">
            <v>0</v>
          </cell>
          <cell r="G643">
            <v>2429.7000000000003</v>
          </cell>
          <cell r="H643" t="str">
            <v>1-Victron</v>
          </cell>
          <cell r="I643">
            <v>0.31111111111111112</v>
          </cell>
        </row>
        <row r="644">
          <cell r="A644" t="str">
            <v>B0641</v>
          </cell>
          <cell r="B644" t="str">
            <v>Victron VICTRON Skylla Battery Charger TG 24/30 (1+1) 120-240V</v>
          </cell>
          <cell r="D644" t="str">
            <v>SDTG2400303</v>
          </cell>
          <cell r="F644">
            <v>0</v>
          </cell>
          <cell r="G644">
            <v>943.79999999999984</v>
          </cell>
          <cell r="H644" t="str">
            <v>1-Victron</v>
          </cell>
          <cell r="I644">
            <v>0.31111111111111112</v>
          </cell>
        </row>
        <row r="645">
          <cell r="A645" t="str">
            <v>B0642</v>
          </cell>
          <cell r="B645" t="str">
            <v>Victron VICTRON Skylla Battery Charger TG 24/50 (1+1) 120-240V</v>
          </cell>
          <cell r="D645" t="str">
            <v>SDTG2400503</v>
          </cell>
          <cell r="F645">
            <v>0</v>
          </cell>
          <cell r="G645">
            <v>1021.7999999999998</v>
          </cell>
          <cell r="H645" t="str">
            <v>1-Victron</v>
          </cell>
          <cell r="I645">
            <v>0.31111111111111112</v>
          </cell>
        </row>
        <row r="646">
          <cell r="A646" t="str">
            <v>B0643</v>
          </cell>
          <cell r="B646" t="str">
            <v>Victron VICTRON Skylla Battery Charger TG 24/100 (1+1) 120-240V</v>
          </cell>
          <cell r="D646" t="str">
            <v>SDTG2401003</v>
          </cell>
          <cell r="F646">
            <v>0</v>
          </cell>
          <cell r="G646">
            <v>2017.5999999999997</v>
          </cell>
          <cell r="H646" t="str">
            <v>1-Victron</v>
          </cell>
          <cell r="I646">
            <v>0.31111111111111112</v>
          </cell>
        </row>
        <row r="647">
          <cell r="A647" t="str">
            <v>B0644</v>
          </cell>
          <cell r="B647" t="str">
            <v>Victron VICTRON Skylla Battery Charger TG 24/30 GMDSS 120-240V (excl. panel)</v>
          </cell>
          <cell r="D647" t="str">
            <v>SDTG2400302</v>
          </cell>
          <cell r="F647">
            <v>0</v>
          </cell>
          <cell r="G647">
            <v>1182.3561904761905</v>
          </cell>
          <cell r="H647" t="str">
            <v>1-Victron</v>
          </cell>
          <cell r="I647">
            <v>0.31111111111111112</v>
          </cell>
        </row>
        <row r="648">
          <cell r="A648" t="str">
            <v>B0645</v>
          </cell>
          <cell r="B648" t="str">
            <v>Victron VICTRON Skylla Battery Charger TG 24/50 GMDSS 120-240V (excl. panel)</v>
          </cell>
          <cell r="D648" t="str">
            <v>SDTG2400504</v>
          </cell>
          <cell r="F648">
            <v>0</v>
          </cell>
          <cell r="G648">
            <v>1485.9</v>
          </cell>
          <cell r="H648" t="str">
            <v>1-Victron</v>
          </cell>
          <cell r="I648">
            <v>0.31111111111111112</v>
          </cell>
        </row>
        <row r="649">
          <cell r="A649" t="str">
            <v>B0646</v>
          </cell>
          <cell r="B649" t="str">
            <v>Victron VICTRON Skylla Battery Charger TG 48/25 (1+1)</v>
          </cell>
          <cell r="D649" t="str">
            <v>SDTG4800251</v>
          </cell>
          <cell r="F649">
            <v>0</v>
          </cell>
          <cell r="G649">
            <v>1004.2438095238095</v>
          </cell>
          <cell r="H649" t="str">
            <v>1-Victron</v>
          </cell>
          <cell r="I649">
            <v>0.31111111111111112</v>
          </cell>
        </row>
        <row r="650">
          <cell r="A650" t="str">
            <v>B0647</v>
          </cell>
          <cell r="B650" t="str">
            <v>Victron VICTRON Skylla Battery Charger TG 48/50 (1+1)</v>
          </cell>
          <cell r="D650" t="str">
            <v>SDTG4800501</v>
          </cell>
          <cell r="F650">
            <v>0</v>
          </cell>
          <cell r="G650">
            <v>1785.5561904761905</v>
          </cell>
          <cell r="H650" t="str">
            <v>1-Victron</v>
          </cell>
          <cell r="I650">
            <v>0.31111111111111112</v>
          </cell>
        </row>
        <row r="651">
          <cell r="A651" t="str">
            <v>B0648</v>
          </cell>
          <cell r="B651" t="str">
            <v>Victron VICTRON Skylla-i Battery Charger 24/80 (1+1)</v>
          </cell>
          <cell r="D651" t="str">
            <v>SKI024080000</v>
          </cell>
          <cell r="F651">
            <v>0</v>
          </cell>
          <cell r="G651">
            <v>1313</v>
          </cell>
          <cell r="H651" t="str">
            <v>1-Victron</v>
          </cell>
          <cell r="I651">
            <v>0.31111111111111112</v>
          </cell>
        </row>
        <row r="652">
          <cell r="A652" t="str">
            <v>B0649</v>
          </cell>
          <cell r="B652" t="str">
            <v>Victron VICTRON Skylla-i Battery Charger 24/80 (3)</v>
          </cell>
          <cell r="D652" t="str">
            <v>SKI024080002</v>
          </cell>
          <cell r="F652">
            <v>0</v>
          </cell>
          <cell r="G652">
            <v>1531.4</v>
          </cell>
          <cell r="H652" t="str">
            <v>1-Victron</v>
          </cell>
          <cell r="I652">
            <v>0.31111111111111112</v>
          </cell>
        </row>
        <row r="653">
          <cell r="A653" t="str">
            <v>B0650</v>
          </cell>
          <cell r="B653" t="str">
            <v>Victron VICTRON Skylla-i Battery Charger 24/100 (1+1)</v>
          </cell>
          <cell r="D653" t="str">
            <v>SKI024100000</v>
          </cell>
          <cell r="F653">
            <v>0</v>
          </cell>
          <cell r="G653">
            <v>1586</v>
          </cell>
          <cell r="H653" t="str">
            <v>1-Victron</v>
          </cell>
          <cell r="I653">
            <v>0.31111111111111112</v>
          </cell>
        </row>
        <row r="654">
          <cell r="A654" t="str">
            <v>B0651</v>
          </cell>
          <cell r="B654" t="str">
            <v>Victron VICTRON Skylla-i Battery Charger 24/100 (3)</v>
          </cell>
          <cell r="D654" t="str">
            <v>SKI024100002</v>
          </cell>
          <cell r="F654">
            <v>0</v>
          </cell>
          <cell r="G654">
            <v>1859.6438095238093</v>
          </cell>
          <cell r="H654" t="str">
            <v>1-Victron</v>
          </cell>
          <cell r="I654">
            <v>0.31111111111111112</v>
          </cell>
        </row>
        <row r="655">
          <cell r="A655" t="str">
            <v>B0652</v>
          </cell>
          <cell r="B655" t="str">
            <v>Victron VICTRON Skylla-i remote on-off cable</v>
          </cell>
          <cell r="D655" t="str">
            <v>ASS030550400</v>
          </cell>
          <cell r="F655">
            <v>0</v>
          </cell>
          <cell r="G655">
            <v>39.315095238095239</v>
          </cell>
          <cell r="H655" t="str">
            <v>1-Victron</v>
          </cell>
          <cell r="I655">
            <v>0.31111111111111112</v>
          </cell>
        </row>
        <row r="656">
          <cell r="A656" t="str">
            <v>B0653</v>
          </cell>
          <cell r="B656" t="str">
            <v>Victron VICTRON Orion IP67 24/12-5 (60W) DC-DC Converter</v>
          </cell>
          <cell r="D656" t="str">
            <v>ORI241205260</v>
          </cell>
          <cell r="F656">
            <v>0</v>
          </cell>
          <cell r="G656">
            <v>26</v>
          </cell>
          <cell r="H656" t="str">
            <v>1-Victron</v>
          </cell>
          <cell r="I656">
            <v>0.31111111111111112</v>
          </cell>
        </row>
        <row r="657">
          <cell r="A657" t="str">
            <v>B0654</v>
          </cell>
          <cell r="B657" t="str">
            <v>Victron VICTRON Orion IP67 24/12-10 (120W) DC-DC Converter</v>
          </cell>
          <cell r="D657" t="str">
            <v>ORI241210260</v>
          </cell>
          <cell r="F657">
            <v>0</v>
          </cell>
          <cell r="G657">
            <v>43.55619047619048</v>
          </cell>
          <cell r="H657" t="str">
            <v>1-Victron</v>
          </cell>
          <cell r="I657">
            <v>0.31111111111111112</v>
          </cell>
        </row>
        <row r="658">
          <cell r="A658" t="str">
            <v>B0655</v>
          </cell>
          <cell r="B658" t="str">
            <v xml:space="preserve"> VICTRON Orion IP67 24/12-20 (240W) DC-DC Converter</v>
          </cell>
          <cell r="D658" t="str">
            <v>ORI241220060</v>
          </cell>
          <cell r="F658">
            <v>0</v>
          </cell>
          <cell r="G658">
            <v>0</v>
          </cell>
          <cell r="H658" t="str">
            <v>1-Victron</v>
          </cell>
          <cell r="I658">
            <v>0</v>
          </cell>
        </row>
        <row r="659">
          <cell r="A659" t="str">
            <v>B0656</v>
          </cell>
          <cell r="B659" t="str">
            <v>Victron VICTRON Orion-Tr 24/12-5 (60W) DC-DC Converter</v>
          </cell>
          <cell r="D659" t="str">
            <v>ORI241205200R</v>
          </cell>
          <cell r="F659">
            <v>0</v>
          </cell>
          <cell r="G659">
            <v>19.5</v>
          </cell>
          <cell r="H659" t="str">
            <v>1-Victron</v>
          </cell>
          <cell r="I659">
            <v>0.31111111111111112</v>
          </cell>
        </row>
        <row r="660">
          <cell r="A660" t="str">
            <v>B0657</v>
          </cell>
          <cell r="B660" t="str">
            <v>Victron VICTRON Orion-Tr 24/12-15 (180W) DC-DC Converter</v>
          </cell>
          <cell r="D660" t="str">
            <v>ORI241215200R</v>
          </cell>
          <cell r="F660">
            <v>0</v>
          </cell>
          <cell r="G660">
            <v>44.843809523809526</v>
          </cell>
          <cell r="H660" t="str">
            <v>1-Victron</v>
          </cell>
          <cell r="I660">
            <v>0.31111111111111112</v>
          </cell>
        </row>
        <row r="661">
          <cell r="A661" t="str">
            <v>B0658</v>
          </cell>
          <cell r="B661" t="str">
            <v>Victron VICTRON Orion-Tr 24/12-20 (240W) DC-DC Converter</v>
          </cell>
          <cell r="D661" t="str">
            <v>ORI241220200R</v>
          </cell>
          <cell r="F661">
            <v>0</v>
          </cell>
          <cell r="G661">
            <v>50.043809523809522</v>
          </cell>
          <cell r="H661" t="str">
            <v>1-Victron</v>
          </cell>
          <cell r="I661">
            <v>0.31111111111111112</v>
          </cell>
        </row>
        <row r="662">
          <cell r="A662" t="str">
            <v>B0659</v>
          </cell>
          <cell r="B662" t="str">
            <v>Victron VICTRON Orion 24/12-25 DC-DC Converter</v>
          </cell>
          <cell r="D662" t="str">
            <v>ORI241225020</v>
          </cell>
          <cell r="F662">
            <v>0</v>
          </cell>
          <cell r="G662">
            <v>78.643809523809523</v>
          </cell>
          <cell r="H662" t="str">
            <v>1-Victron</v>
          </cell>
          <cell r="I662">
            <v>0.31111111111111112</v>
          </cell>
        </row>
        <row r="663">
          <cell r="A663" t="str">
            <v>B0660</v>
          </cell>
          <cell r="B663" t="str">
            <v>Victron VICTRON Orion 24/12-40 DC-DC Converter</v>
          </cell>
          <cell r="D663" t="str">
            <v>ORI241240021</v>
          </cell>
          <cell r="F663">
            <v>0</v>
          </cell>
          <cell r="G663">
            <v>111.8</v>
          </cell>
          <cell r="H663" t="str">
            <v>1-Victron</v>
          </cell>
          <cell r="I663">
            <v>0.31111111111111112</v>
          </cell>
        </row>
        <row r="664">
          <cell r="A664" t="str">
            <v>B0661</v>
          </cell>
          <cell r="B664" t="str">
            <v>Victron VICTRON Orion 24/12-70 DC-DC Converter</v>
          </cell>
          <cell r="D664" t="str">
            <v>ORI241270020</v>
          </cell>
          <cell r="F664">
            <v>0</v>
          </cell>
          <cell r="G664">
            <v>157.29999999999998</v>
          </cell>
          <cell r="H664" t="str">
            <v>1-Victron</v>
          </cell>
          <cell r="I664">
            <v>0.31111111111111112</v>
          </cell>
        </row>
        <row r="665">
          <cell r="A665" t="str">
            <v>B0662</v>
          </cell>
          <cell r="B665" t="str">
            <v>Victron VICTRON Orion 24/12-70 DC-DC Converter with binding posts</v>
          </cell>
          <cell r="D665" t="str">
            <v>ORI241270030</v>
          </cell>
          <cell r="F665">
            <v>0</v>
          </cell>
          <cell r="G665">
            <v>157.29999999999998</v>
          </cell>
          <cell r="H665" t="str">
            <v>1-Victron</v>
          </cell>
          <cell r="I665">
            <v>0.31111111111111112</v>
          </cell>
        </row>
        <row r="666">
          <cell r="A666" t="str">
            <v>B0663</v>
          </cell>
          <cell r="B666" t="str">
            <v>Victron VICTRON Orion 12/24-8 DC-DC Converter</v>
          </cell>
          <cell r="D666" t="str">
            <v>ORI122408020</v>
          </cell>
          <cell r="F666">
            <v>0</v>
          </cell>
          <cell r="G666">
            <v>64.356190476190477</v>
          </cell>
          <cell r="H666" t="str">
            <v>1-Victron</v>
          </cell>
          <cell r="I666">
            <v>0.31111111111111112</v>
          </cell>
        </row>
        <row r="667">
          <cell r="A667" t="str">
            <v>B0664</v>
          </cell>
          <cell r="B667" t="str">
            <v>Victron VICTRON Orion 12/24-10 DC-DC Converter</v>
          </cell>
          <cell r="D667" t="str">
            <v>ORI122410020</v>
          </cell>
          <cell r="F667">
            <v>0</v>
          </cell>
          <cell r="G667">
            <v>78.643809523809523</v>
          </cell>
          <cell r="H667" t="str">
            <v>1-Victron</v>
          </cell>
          <cell r="I667">
            <v>0.31111111111111112</v>
          </cell>
        </row>
        <row r="668">
          <cell r="A668" t="str">
            <v>B0665</v>
          </cell>
          <cell r="B668" t="str">
            <v>Victron VICTRON Orion 12/24-20 DC-DC Converter</v>
          </cell>
          <cell r="D668" t="str">
            <v>ORI122420020</v>
          </cell>
          <cell r="F668">
            <v>0</v>
          </cell>
          <cell r="G668">
            <v>177.44380952380951</v>
          </cell>
          <cell r="H668" t="str">
            <v>1-Victron</v>
          </cell>
          <cell r="I668">
            <v>0.31111111111111112</v>
          </cell>
        </row>
        <row r="669">
          <cell r="A669" t="str">
            <v>B0666</v>
          </cell>
          <cell r="B669" t="str">
            <v xml:space="preserve"> VICTRON 25A Buck-Boost DC/DC Converter</v>
          </cell>
          <cell r="D669">
            <v>0</v>
          </cell>
          <cell r="F669">
            <v>0</v>
          </cell>
          <cell r="G669">
            <v>0</v>
          </cell>
          <cell r="H669" t="str">
            <v>1-Victron</v>
          </cell>
          <cell r="I669">
            <v>0.31111111111111112</v>
          </cell>
        </row>
        <row r="670">
          <cell r="A670" t="str">
            <v>B0667</v>
          </cell>
          <cell r="B670" t="str">
            <v xml:space="preserve"> VICTRON 50A Buck-Boost DC/DC Converter</v>
          </cell>
          <cell r="D670">
            <v>0</v>
          </cell>
          <cell r="F670">
            <v>0</v>
          </cell>
          <cell r="G670">
            <v>0</v>
          </cell>
          <cell r="H670" t="str">
            <v>1-Victron</v>
          </cell>
          <cell r="I670">
            <v>0.31111111111111112</v>
          </cell>
        </row>
        <row r="671">
          <cell r="A671" t="str">
            <v>B0668</v>
          </cell>
          <cell r="B671" t="str">
            <v>Victron VICTRON 100A Buck-Boost DC/DC Converter</v>
          </cell>
          <cell r="D671" t="str">
            <v>ORI303100000</v>
          </cell>
          <cell r="F671">
            <v>0</v>
          </cell>
          <cell r="G671">
            <v>1273.3561904761905</v>
          </cell>
          <cell r="H671" t="str">
            <v>1-Victron</v>
          </cell>
          <cell r="I671">
            <v>0.31111111111111112</v>
          </cell>
        </row>
        <row r="672">
          <cell r="A672" t="str">
            <v>B0669</v>
          </cell>
          <cell r="B672" t="str">
            <v>Goodwe NS Series 3.0KW</v>
          </cell>
          <cell r="D672" t="str">
            <v>GW3000-NS</v>
          </cell>
          <cell r="F672">
            <v>855.71428571428578</v>
          </cell>
          <cell r="G672">
            <v>599</v>
          </cell>
          <cell r="H672" t="str">
            <v>2-Krannich</v>
          </cell>
          <cell r="I672">
            <v>0.3</v>
          </cell>
        </row>
        <row r="673">
          <cell r="A673" t="str">
            <v>B0670</v>
          </cell>
          <cell r="B673" t="str">
            <v>Victron VE.Direct Cable 3m</v>
          </cell>
          <cell r="D673" t="str">
            <v>ASS030530230</v>
          </cell>
          <cell r="F673">
            <v>0</v>
          </cell>
          <cell r="G673">
            <v>16.12</v>
          </cell>
          <cell r="H673" t="str">
            <v>1-Victron</v>
          </cell>
          <cell r="I673">
            <v>0</v>
          </cell>
        </row>
        <row r="674">
          <cell r="A674" t="str">
            <v>B0671</v>
          </cell>
          <cell r="B674" t="str">
            <v>Victron VE.Direct Cable 5m</v>
          </cell>
          <cell r="D674" t="str">
            <v>ASS030530250</v>
          </cell>
          <cell r="F674">
            <v>0</v>
          </cell>
          <cell r="G674">
            <v>17.98</v>
          </cell>
          <cell r="H674" t="str">
            <v>1-Victron</v>
          </cell>
          <cell r="I674">
            <v>0</v>
          </cell>
        </row>
        <row r="675">
          <cell r="A675" t="str">
            <v>B0672</v>
          </cell>
          <cell r="B675" t="str">
            <v>BAE Secura 280Ah 2V Gel</v>
          </cell>
          <cell r="D675" t="str">
            <v xml:space="preserve">4PVV 280 </v>
          </cell>
          <cell r="F675">
            <v>367.64705882352945</v>
          </cell>
          <cell r="G675">
            <v>250</v>
          </cell>
          <cell r="H675" t="str">
            <v>2-Krannich</v>
          </cell>
          <cell r="I675">
            <v>0.32</v>
          </cell>
        </row>
        <row r="676">
          <cell r="A676" t="str">
            <v>B0673</v>
          </cell>
          <cell r="B676" t="str">
            <v>BAE Secura 350Ah 2V Gel</v>
          </cell>
          <cell r="D676" t="str">
            <v xml:space="preserve">5PVV 350 </v>
          </cell>
          <cell r="F676">
            <v>426.47058823529414</v>
          </cell>
          <cell r="G676">
            <v>290</v>
          </cell>
          <cell r="H676" t="str">
            <v>2-Krannich</v>
          </cell>
          <cell r="I676">
            <v>0.32</v>
          </cell>
        </row>
        <row r="677">
          <cell r="A677" t="str">
            <v>B0674</v>
          </cell>
          <cell r="B677" t="str">
            <v>BAE Secura 420Ah 2V Gel</v>
          </cell>
          <cell r="D677" t="str">
            <v xml:space="preserve">6PVV 420 </v>
          </cell>
          <cell r="F677">
            <v>492.64705882352945</v>
          </cell>
          <cell r="G677">
            <v>335</v>
          </cell>
          <cell r="H677" t="str">
            <v>2-Krannich</v>
          </cell>
          <cell r="I677">
            <v>0.32</v>
          </cell>
        </row>
        <row r="678">
          <cell r="A678" t="str">
            <v>B0675</v>
          </cell>
          <cell r="B678" t="str">
            <v>BAE Secura 550Ah 2V Gel</v>
          </cell>
          <cell r="D678" t="str">
            <v xml:space="preserve">5PVV 550 </v>
          </cell>
          <cell r="F678">
            <v>514.70588235294122</v>
          </cell>
          <cell r="G678">
            <v>350</v>
          </cell>
          <cell r="H678" t="str">
            <v>2-Krannich</v>
          </cell>
          <cell r="I678">
            <v>0.32</v>
          </cell>
        </row>
        <row r="679">
          <cell r="A679" t="str">
            <v>B0676</v>
          </cell>
          <cell r="B679" t="str">
            <v>BAE Secura 660Ah 2V Gel</v>
          </cell>
          <cell r="D679" t="str">
            <v xml:space="preserve">6PVV 660 </v>
          </cell>
          <cell r="F679">
            <v>595.58823529411768</v>
          </cell>
          <cell r="G679">
            <v>405</v>
          </cell>
          <cell r="H679" t="str">
            <v>2-Krannich</v>
          </cell>
          <cell r="I679">
            <v>0.32</v>
          </cell>
        </row>
        <row r="680">
          <cell r="A680" t="str">
            <v>B0677</v>
          </cell>
          <cell r="B680" t="str">
            <v>BAE Secura 770Ah 2V Gel</v>
          </cell>
          <cell r="D680" t="str">
            <v xml:space="preserve">7PVV 770 </v>
          </cell>
          <cell r="F680">
            <v>676.47058823529414</v>
          </cell>
          <cell r="G680">
            <v>460</v>
          </cell>
          <cell r="H680" t="str">
            <v>2-Krannich</v>
          </cell>
          <cell r="I680">
            <v>0.32</v>
          </cell>
        </row>
        <row r="681">
          <cell r="A681" t="str">
            <v>B0678</v>
          </cell>
          <cell r="B681" t="str">
            <v>BAE Secura 900Ah 2V Gel</v>
          </cell>
          <cell r="D681" t="str">
            <v xml:space="preserve">6PVV 900 </v>
          </cell>
          <cell r="F681">
            <v>742.85714285714289</v>
          </cell>
          <cell r="G681">
            <v>520</v>
          </cell>
          <cell r="H681" t="str">
            <v>2-Krannich</v>
          </cell>
          <cell r="I681">
            <v>0.3</v>
          </cell>
        </row>
        <row r="682">
          <cell r="A682" t="str">
            <v>B0679</v>
          </cell>
          <cell r="B682" t="str">
            <v>BAE Secura 1050Ah 2V Gel</v>
          </cell>
          <cell r="D682" t="str">
            <v xml:space="preserve">7PVV 1050 </v>
          </cell>
          <cell r="F682">
            <v>971.42857142857144</v>
          </cell>
          <cell r="G682">
            <v>680</v>
          </cell>
          <cell r="H682" t="str">
            <v>2-Krannich</v>
          </cell>
          <cell r="I682">
            <v>0.3</v>
          </cell>
        </row>
        <row r="683">
          <cell r="A683" t="str">
            <v>B0680</v>
          </cell>
          <cell r="B683" t="str">
            <v>BAE Secura 1200Ah 2V Gel</v>
          </cell>
          <cell r="D683" t="str">
            <v xml:space="preserve">8PVV 1200 </v>
          </cell>
          <cell r="F683">
            <v>1050</v>
          </cell>
          <cell r="G683">
            <v>735</v>
          </cell>
          <cell r="H683" t="str">
            <v>2-Krannich</v>
          </cell>
          <cell r="I683">
            <v>0.3</v>
          </cell>
        </row>
        <row r="684">
          <cell r="A684" t="str">
            <v>B0681</v>
          </cell>
          <cell r="B684" t="str">
            <v>BAE Secura 1350Ah 2V Gel</v>
          </cell>
          <cell r="D684" t="str">
            <v xml:space="preserve">9PVV 1350 </v>
          </cell>
          <cell r="F684">
            <v>1171.4285714285716</v>
          </cell>
          <cell r="G684">
            <v>820</v>
          </cell>
          <cell r="H684" t="str">
            <v>2-Krannich</v>
          </cell>
          <cell r="I684">
            <v>0.3</v>
          </cell>
        </row>
        <row r="685">
          <cell r="A685" t="str">
            <v>B0682</v>
          </cell>
          <cell r="B685" t="str">
            <v>BAE Secura 1500Ah 2V Gel</v>
          </cell>
          <cell r="D685" t="str">
            <v xml:space="preserve">10PVV 1500 </v>
          </cell>
          <cell r="F685">
            <v>1268.5714285714287</v>
          </cell>
          <cell r="G685">
            <v>888</v>
          </cell>
          <cell r="H685" t="str">
            <v>2-Krannich</v>
          </cell>
          <cell r="I685">
            <v>0.3</v>
          </cell>
        </row>
        <row r="686">
          <cell r="A686" t="str">
            <v>B0683</v>
          </cell>
          <cell r="B686" t="str">
            <v>BAE Secura 1800Ah 2V Gel</v>
          </cell>
          <cell r="D686" t="str">
            <v xml:space="preserve">12PVV 1800 </v>
          </cell>
          <cell r="F686">
            <v>1450</v>
          </cell>
          <cell r="G686">
            <v>1015</v>
          </cell>
          <cell r="H686" t="str">
            <v>2-Krannich</v>
          </cell>
          <cell r="I686">
            <v>0.3</v>
          </cell>
        </row>
        <row r="687">
          <cell r="A687" t="str">
            <v>B0684</v>
          </cell>
          <cell r="B687" t="str">
            <v>BAE Secura 2090Ah 2V Gel</v>
          </cell>
          <cell r="D687" t="str">
            <v xml:space="preserve">11PVV 2090 </v>
          </cell>
          <cell r="F687">
            <v>1592.8571428571429</v>
          </cell>
          <cell r="G687">
            <v>1115</v>
          </cell>
          <cell r="H687" t="str">
            <v>2-Krannich</v>
          </cell>
          <cell r="I687">
            <v>0.3</v>
          </cell>
        </row>
        <row r="688">
          <cell r="A688" t="str">
            <v>B0685</v>
          </cell>
          <cell r="B688" t="str">
            <v>BAE Secura 2280Ah 2V Gel</v>
          </cell>
          <cell r="D688" t="str">
            <v xml:space="preserve">14PVV 2280 </v>
          </cell>
          <cell r="F688">
            <v>1685.7142857142858</v>
          </cell>
          <cell r="G688">
            <v>1180</v>
          </cell>
          <cell r="H688" t="str">
            <v>2-Krannich</v>
          </cell>
          <cell r="I688">
            <v>0.3</v>
          </cell>
        </row>
        <row r="689">
          <cell r="A689" t="str">
            <v>B0686</v>
          </cell>
          <cell r="B689" t="str">
            <v>BAE Secura 2660Ah 2V Gel</v>
          </cell>
          <cell r="D689" t="str">
            <v xml:space="preserve">14PVV 2660 </v>
          </cell>
          <cell r="F689">
            <v>2071.4285714285716</v>
          </cell>
          <cell r="G689">
            <v>1450</v>
          </cell>
          <cell r="H689" t="str">
            <v>2-Krannich</v>
          </cell>
          <cell r="I689">
            <v>0.3</v>
          </cell>
        </row>
        <row r="690">
          <cell r="A690" t="str">
            <v>B0687</v>
          </cell>
          <cell r="B690" t="str">
            <v>Victron VICTRON Phoenix Battery Charger 24/25 (2+1) 120-240V</v>
          </cell>
          <cell r="D690" t="str">
            <v>PCH024025001</v>
          </cell>
          <cell r="F690">
            <v>0</v>
          </cell>
          <cell r="G690">
            <v>707.84380952380945</v>
          </cell>
          <cell r="H690" t="str">
            <v>1-Victron</v>
          </cell>
          <cell r="I690">
            <v>0.31111111111111112</v>
          </cell>
        </row>
        <row r="691">
          <cell r="A691" t="str">
            <v>B0688</v>
          </cell>
          <cell r="B691" t="str">
            <v>Victron VICTRON Skylla Battery Charger IP44 12/60 (1+1) 120-240V</v>
          </cell>
          <cell r="D691" t="str">
            <v>SKY012060000</v>
          </cell>
          <cell r="F691">
            <v>0</v>
          </cell>
          <cell r="G691">
            <v>733.84380952380945</v>
          </cell>
          <cell r="H691" t="str">
            <v>1-Victron</v>
          </cell>
          <cell r="I691">
            <v>0.31111111111111112</v>
          </cell>
        </row>
        <row r="692">
          <cell r="A692" t="str">
            <v>B0689</v>
          </cell>
          <cell r="B692" t="str">
            <v>Victron VICTRON Skylla Battery Charger IP44 12/60 (3) 120-240V</v>
          </cell>
          <cell r="D692" t="str">
            <v>SKY012060100</v>
          </cell>
          <cell r="F692">
            <v>0</v>
          </cell>
          <cell r="G692">
            <v>809.24380952380955</v>
          </cell>
          <cell r="H692" t="str">
            <v>1-Victron</v>
          </cell>
          <cell r="I692">
            <v>0.31111111111111112</v>
          </cell>
        </row>
        <row r="693">
          <cell r="A693" t="str">
            <v>B0690</v>
          </cell>
          <cell r="B693" t="str">
            <v>Victron VICTRON Skylla Battery Charger IP44 24/30 (1+1) 120-240V</v>
          </cell>
          <cell r="D693" t="str">
            <v>SKY024030000</v>
          </cell>
          <cell r="F693">
            <v>0</v>
          </cell>
          <cell r="G693">
            <v>733.84380952380945</v>
          </cell>
          <cell r="H693" t="str">
            <v>1-Victron</v>
          </cell>
          <cell r="I693">
            <v>0.31111111111111112</v>
          </cell>
        </row>
        <row r="694">
          <cell r="A694" t="str">
            <v>B0691</v>
          </cell>
          <cell r="B694" t="str">
            <v>Victron VICTRON Skylla Battery Charger IP44 24/30 (3) 120-240V</v>
          </cell>
          <cell r="D694" t="str">
            <v>SKY024030100</v>
          </cell>
          <cell r="F694">
            <v>0</v>
          </cell>
          <cell r="G694">
            <v>809.24380952380955</v>
          </cell>
          <cell r="H694" t="str">
            <v>1-Victron</v>
          </cell>
          <cell r="I694">
            <v>0.31111111111111112</v>
          </cell>
        </row>
        <row r="695">
          <cell r="A695" t="str">
            <v>B0692</v>
          </cell>
          <cell r="B695" t="str">
            <v>Victron VICTRON Skylla Battery Charger TG 24/30 (1+1)</v>
          </cell>
          <cell r="D695" t="str">
            <v>SDTG2400301</v>
          </cell>
          <cell r="F695">
            <v>0</v>
          </cell>
          <cell r="G695">
            <v>773.5</v>
          </cell>
          <cell r="H695" t="str">
            <v>1-Victron</v>
          </cell>
          <cell r="I695">
            <v>0.31111111111111112</v>
          </cell>
        </row>
        <row r="696">
          <cell r="A696" t="str">
            <v>B0693</v>
          </cell>
          <cell r="B696" t="str">
            <v>Victron VICTRON Skylla Battery Charger TG 24/50 (1+1)</v>
          </cell>
          <cell r="D696" t="str">
            <v>SDTG2400501</v>
          </cell>
          <cell r="F696">
            <v>0</v>
          </cell>
          <cell r="G696">
            <v>836.55619047619041</v>
          </cell>
          <cell r="H696" t="str">
            <v>1-Victron</v>
          </cell>
          <cell r="I696">
            <v>0.31111111111111112</v>
          </cell>
        </row>
        <row r="697">
          <cell r="A697" t="str">
            <v>B0694</v>
          </cell>
          <cell r="B697" t="str">
            <v>Victron VICTRON Skylla Battery Charger TG 24/80 (1+1)</v>
          </cell>
          <cell r="D697" t="str">
            <v>SDTG2400801</v>
          </cell>
          <cell r="F697">
            <v>0</v>
          </cell>
          <cell r="G697">
            <v>1371.5</v>
          </cell>
          <cell r="H697" t="str">
            <v>1-Victron</v>
          </cell>
          <cell r="I697">
            <v>0.31111111111111112</v>
          </cell>
        </row>
        <row r="698">
          <cell r="A698" t="str">
            <v>B0695</v>
          </cell>
          <cell r="B698" t="str">
            <v>Victron VICTRON Skylla Battery Charger TG 24/100 (1+1)</v>
          </cell>
          <cell r="D698" t="str">
            <v>SDTG2401001</v>
          </cell>
          <cell r="F698">
            <v>0</v>
          </cell>
          <cell r="G698">
            <v>1656.2</v>
          </cell>
          <cell r="H698" t="str">
            <v>1-Victron</v>
          </cell>
          <cell r="I698">
            <v>0.31111111111111112</v>
          </cell>
        </row>
        <row r="699">
          <cell r="A699" t="str">
            <v>B0696</v>
          </cell>
          <cell r="B699" t="str">
            <v>Victron VICTRON Battery Charger Blue Smart IP67 Charger 12/25 (1)</v>
          </cell>
          <cell r="D699" t="str">
            <v>BPC122513016</v>
          </cell>
          <cell r="F699">
            <v>0</v>
          </cell>
          <cell r="G699">
            <v>193.69999999999996</v>
          </cell>
          <cell r="H699" t="str">
            <v>1-Victron</v>
          </cell>
          <cell r="I699">
            <v>0.31111111111111112</v>
          </cell>
        </row>
        <row r="700">
          <cell r="A700" t="str">
            <v>B0697</v>
          </cell>
          <cell r="B700" t="str">
            <v>Victron VICTRON Battery Charger Blue Smart IP67 Charger 24/12 (1)</v>
          </cell>
          <cell r="D700" t="str">
            <v>BPC241213016</v>
          </cell>
          <cell r="F700">
            <v>0</v>
          </cell>
          <cell r="G700">
            <v>193.69999999999996</v>
          </cell>
          <cell r="H700" t="str">
            <v>1-Victron</v>
          </cell>
          <cell r="I700">
            <v>0.31111111111111112</v>
          </cell>
        </row>
        <row r="701">
          <cell r="A701" t="str">
            <v>B0698</v>
          </cell>
          <cell r="B701" t="str">
            <v>Victron VICTRON Centaur IP20 Battery Charger 12/20 (3)</v>
          </cell>
          <cell r="D701" t="str">
            <v>CCH012020000</v>
          </cell>
          <cell r="F701">
            <v>0</v>
          </cell>
          <cell r="G701">
            <v>393.89999999999992</v>
          </cell>
          <cell r="H701" t="str">
            <v>1-Victron</v>
          </cell>
          <cell r="I701">
            <v>0.31111111111111112</v>
          </cell>
        </row>
        <row r="702">
          <cell r="A702" t="str">
            <v>B0699</v>
          </cell>
          <cell r="B702" t="str">
            <v>Victron VICTRON Centaur IP20 Battery Charger 12/30 (3)</v>
          </cell>
          <cell r="D702" t="str">
            <v>CCH012030000</v>
          </cell>
          <cell r="F702">
            <v>0</v>
          </cell>
          <cell r="G702">
            <v>437.44380952380948</v>
          </cell>
          <cell r="H702" t="str">
            <v>1-Victron</v>
          </cell>
          <cell r="I702">
            <v>0.31111111111111112</v>
          </cell>
        </row>
        <row r="703">
          <cell r="A703" t="str">
            <v>B0700</v>
          </cell>
          <cell r="B703" t="str">
            <v>Victron VICTRON Centaur IP20 Battery Charger 12/40 (3)</v>
          </cell>
          <cell r="D703" t="str">
            <v>CCH012040000</v>
          </cell>
          <cell r="F703">
            <v>0</v>
          </cell>
          <cell r="G703">
            <v>536.24380952380955</v>
          </cell>
          <cell r="H703" t="str">
            <v>1-Victron</v>
          </cell>
          <cell r="I703">
            <v>0.31111111111111112</v>
          </cell>
        </row>
        <row r="704">
          <cell r="A704" t="str">
            <v>B0701</v>
          </cell>
          <cell r="B704" t="str">
            <v>Victron VICTRON Centaur IP20 Battery Charger 12/50 (3)</v>
          </cell>
          <cell r="D704" t="str">
            <v>CCH012050000</v>
          </cell>
          <cell r="F704">
            <v>0</v>
          </cell>
          <cell r="G704">
            <v>557.69999999999993</v>
          </cell>
          <cell r="H704" t="str">
            <v>1-Victron</v>
          </cell>
          <cell r="I704">
            <v>0.31111111111111112</v>
          </cell>
        </row>
        <row r="705">
          <cell r="A705" t="str">
            <v>B0702</v>
          </cell>
          <cell r="B705" t="str">
            <v>Victron EasySolarII 48/3000/35-32 GX</v>
          </cell>
          <cell r="D705" t="str">
            <v>PMP482307010</v>
          </cell>
          <cell r="F705">
            <v>2395.8000000000002</v>
          </cell>
          <cell r="G705">
            <v>1650.44</v>
          </cell>
          <cell r="H705" t="str">
            <v>1-Victron</v>
          </cell>
          <cell r="I705">
            <v>0.31111111111111112</v>
          </cell>
        </row>
        <row r="706">
          <cell r="A706" t="str">
            <v>B0703</v>
          </cell>
          <cell r="B706" t="str">
            <v>Victron VICTRON Centaur IP20 Battery Charger 12/60 (3)</v>
          </cell>
          <cell r="D706" t="str">
            <v>CCH012060000</v>
          </cell>
          <cell r="F706">
            <v>0</v>
          </cell>
          <cell r="G706">
            <v>579.80000000000007</v>
          </cell>
          <cell r="H706" t="str">
            <v>1-Victron</v>
          </cell>
          <cell r="I706">
            <v>0.31111111111111112</v>
          </cell>
        </row>
        <row r="707">
          <cell r="A707" t="str">
            <v>B0704</v>
          </cell>
          <cell r="B707" t="str">
            <v>Victron VICTRON Centaur IP20 Battery Charger 24/16 (3)</v>
          </cell>
          <cell r="D707" t="str">
            <v>CCH024016000</v>
          </cell>
          <cell r="F707">
            <v>0</v>
          </cell>
          <cell r="G707">
            <v>483.6</v>
          </cell>
          <cell r="H707" t="str">
            <v>1-Victron</v>
          </cell>
          <cell r="I707">
            <v>0.31111111111111112</v>
          </cell>
        </row>
        <row r="708">
          <cell r="A708" t="str">
            <v>B0705</v>
          </cell>
          <cell r="B708" t="str">
            <v>Victron VICTRON Centaur IP20 Battery Charger 24/30 (3)</v>
          </cell>
          <cell r="D708" t="str">
            <v>CCH024030000</v>
          </cell>
          <cell r="F708">
            <v>0</v>
          </cell>
          <cell r="G708">
            <v>676</v>
          </cell>
          <cell r="H708" t="str">
            <v>1-Victron</v>
          </cell>
          <cell r="I708">
            <v>0.31111111111111112</v>
          </cell>
        </row>
        <row r="709">
          <cell r="A709" t="str">
            <v>B0706</v>
          </cell>
          <cell r="B709" t="str">
            <v>Victron Phoenix Inverter 12/3000 Smart</v>
          </cell>
          <cell r="D709" t="str">
            <v>PIN122300000</v>
          </cell>
          <cell r="F709">
            <v>1474.2</v>
          </cell>
          <cell r="G709">
            <v>1015.56</v>
          </cell>
          <cell r="H709" t="str">
            <v>1-Victron</v>
          </cell>
          <cell r="I709">
            <v>0.31111111111111112</v>
          </cell>
        </row>
        <row r="710">
          <cell r="A710" t="str">
            <v>B0707</v>
          </cell>
          <cell r="B710" t="str">
            <v>Victron Phoenix Inverter 24/3000 Smart</v>
          </cell>
          <cell r="D710" t="str">
            <v>PIN242300000</v>
          </cell>
          <cell r="F710">
            <v>1332</v>
          </cell>
          <cell r="G710">
            <v>917.6</v>
          </cell>
          <cell r="H710" t="str">
            <v>1-Victron</v>
          </cell>
          <cell r="I710">
            <v>0.31111111111111112</v>
          </cell>
        </row>
        <row r="711">
          <cell r="A711" t="str">
            <v>B0708</v>
          </cell>
          <cell r="B711" t="str">
            <v>Victron Phoenix Inverter 48/3000 Smart</v>
          </cell>
          <cell r="D711" t="str">
            <v>PIN482300000</v>
          </cell>
          <cell r="F711">
            <v>1405.8</v>
          </cell>
          <cell r="G711">
            <v>968.43999999999994</v>
          </cell>
          <cell r="H711" t="str">
            <v>1-Victron</v>
          </cell>
          <cell r="I711">
            <v>0.31111111111111112</v>
          </cell>
        </row>
        <row r="712">
          <cell r="A712" t="str">
            <v>B0709</v>
          </cell>
          <cell r="B712" t="str">
            <v>Victron Phoenix Inverter 12/3000</v>
          </cell>
          <cell r="D712" t="str">
            <v>PIN123020000</v>
          </cell>
          <cell r="F712">
            <v>1474.2</v>
          </cell>
          <cell r="G712">
            <v>1015.56</v>
          </cell>
          <cell r="H712" t="str">
            <v>1-Victron</v>
          </cell>
          <cell r="I712">
            <v>0.31111111111111112</v>
          </cell>
        </row>
        <row r="713">
          <cell r="A713" t="str">
            <v>B0710</v>
          </cell>
          <cell r="B713" t="str">
            <v>Victron MultiPlus 24/1600/40-16</v>
          </cell>
          <cell r="D713" t="str">
            <v>PMP242160000</v>
          </cell>
          <cell r="F713">
            <v>1191.6000000000001</v>
          </cell>
          <cell r="G713">
            <v>820.88</v>
          </cell>
          <cell r="H713" t="str">
            <v>1-Victron</v>
          </cell>
          <cell r="I713">
            <v>0.31111111111111112</v>
          </cell>
        </row>
        <row r="714">
          <cell r="A714" t="str">
            <v>B0711</v>
          </cell>
          <cell r="B714" t="str">
            <v>Victron MultiPlus 48/1600/20-16</v>
          </cell>
          <cell r="D714" t="str">
            <v>PMP482160000</v>
          </cell>
          <cell r="F714">
            <v>924.30000000000007</v>
          </cell>
          <cell r="G714">
            <v>636.74</v>
          </cell>
          <cell r="H714" t="str">
            <v>1-Victron</v>
          </cell>
          <cell r="I714">
            <v>0.31111111111111112</v>
          </cell>
        </row>
        <row r="715">
          <cell r="A715" t="str">
            <v>B0712</v>
          </cell>
          <cell r="B715" t="str">
            <v xml:space="preserve">Victron MultiPlus 48/2000/25-35 230V </v>
          </cell>
          <cell r="D715" t="str">
            <v>PMP482200000</v>
          </cell>
          <cell r="F715">
            <v>1031.4000000000001</v>
          </cell>
          <cell r="G715">
            <v>710.52</v>
          </cell>
          <cell r="H715" t="str">
            <v>1-Victron</v>
          </cell>
          <cell r="I715">
            <v>0.31111111111111112</v>
          </cell>
        </row>
        <row r="716">
          <cell r="A716" t="str">
            <v>B0713</v>
          </cell>
          <cell r="B716" t="str">
            <v>ABB Uno 5KW 1ph</v>
          </cell>
          <cell r="D716" t="str">
            <v>UNO-DM-5.0-TL</v>
          </cell>
          <cell r="F716">
            <v>0</v>
          </cell>
          <cell r="G716">
            <v>0</v>
          </cell>
          <cell r="H716" t="str">
            <v>9-SolarJuice</v>
          </cell>
          <cell r="I716">
            <v>0</v>
          </cell>
        </row>
        <row r="717">
          <cell r="A717" t="str">
            <v>B0714</v>
          </cell>
          <cell r="B717" t="str">
            <v xml:space="preserve">Victron MultiPlus-II 24/3000/70-32 230V </v>
          </cell>
          <cell r="D717" t="str">
            <v>PMP242305010</v>
          </cell>
          <cell r="F717">
            <v>1983.6000000000001</v>
          </cell>
          <cell r="G717">
            <v>1366.48</v>
          </cell>
          <cell r="H717" t="str">
            <v>1-Victron</v>
          </cell>
          <cell r="I717">
            <v>0.31111111111111112</v>
          </cell>
        </row>
        <row r="718">
          <cell r="A718" t="str">
            <v>B0715</v>
          </cell>
          <cell r="B718" t="str">
            <v>Victron M6 eyelet connector (with 30A ATO fuse)</v>
          </cell>
          <cell r="D718" t="str">
            <v>BPC900100014</v>
          </cell>
          <cell r="F718">
            <v>0</v>
          </cell>
          <cell r="G718">
            <v>6.6624999999999996</v>
          </cell>
          <cell r="H718" t="str">
            <v>1-Victron</v>
          </cell>
          <cell r="I718">
            <v>0.31111111111111112</v>
          </cell>
        </row>
        <row r="719">
          <cell r="A719" t="str">
            <v>B0716</v>
          </cell>
          <cell r="B719" t="str">
            <v>Dux Hot Water System Dux Proflo 160L / 2.4KW</v>
          </cell>
          <cell r="D719" t="str">
            <v>bunnings</v>
          </cell>
          <cell r="F719">
            <v>0</v>
          </cell>
          <cell r="G719">
            <v>0</v>
          </cell>
          <cell r="I719">
            <v>0</v>
          </cell>
        </row>
        <row r="720">
          <cell r="A720" t="str">
            <v>B0717</v>
          </cell>
          <cell r="B720" t="str">
            <v>Victron M8 eyelet connector (with 30A ATO fuse)</v>
          </cell>
          <cell r="D720" t="str">
            <v>BPC900110014</v>
          </cell>
          <cell r="F720">
            <v>0</v>
          </cell>
          <cell r="G720">
            <v>6.6624999999999996</v>
          </cell>
          <cell r="H720" t="str">
            <v>1-Victron</v>
          </cell>
          <cell r="I720">
            <v>0.31111111111111112</v>
          </cell>
        </row>
        <row r="721">
          <cell r="A721" t="str">
            <v>B0718</v>
          </cell>
          <cell r="B721" t="str">
            <v>Victron 2 meter extension cable</v>
          </cell>
          <cell r="D721" t="str">
            <v>BPC900200014</v>
          </cell>
          <cell r="F721">
            <v>0</v>
          </cell>
          <cell r="G721">
            <v>8.6549047619047617</v>
          </cell>
          <cell r="H721" t="str">
            <v>1-Victron</v>
          </cell>
          <cell r="I721">
            <v>0.31111111111111112</v>
          </cell>
        </row>
        <row r="722">
          <cell r="A722" t="str">
            <v>B0719</v>
          </cell>
          <cell r="B722" t="str">
            <v xml:space="preserve">Victron 12 Volt plug (cigarette plug with 16A fuse) </v>
          </cell>
          <cell r="D722" t="str">
            <v>BPC900300004</v>
          </cell>
          <cell r="F722">
            <v>0</v>
          </cell>
          <cell r="G722">
            <v>7.9950000000000001</v>
          </cell>
          <cell r="H722" t="str">
            <v>1-Victron</v>
          </cell>
          <cell r="I722">
            <v>0.31111111111111112</v>
          </cell>
        </row>
        <row r="723">
          <cell r="A723" t="str">
            <v>B0720</v>
          </cell>
          <cell r="B723" t="str">
            <v>Victron Clamp connector (with 30A ATO fuse)</v>
          </cell>
          <cell r="D723" t="str">
            <v>BPC900400004</v>
          </cell>
          <cell r="F723">
            <v>0</v>
          </cell>
          <cell r="G723">
            <v>7.9950000000000001</v>
          </cell>
          <cell r="H723" t="str">
            <v>1-Victron</v>
          </cell>
          <cell r="I723">
            <v>0.31111111111111112</v>
          </cell>
        </row>
        <row r="724">
          <cell r="A724" t="str">
            <v>B0721</v>
          </cell>
          <cell r="B724" t="str">
            <v>Victron Battery Indicator Panel (M8 eyelet connector / 30A ATO fuse)</v>
          </cell>
          <cell r="D724" t="str">
            <v>BPC900110114</v>
          </cell>
          <cell r="F724">
            <v>0</v>
          </cell>
          <cell r="G724">
            <v>23.325095238095237</v>
          </cell>
          <cell r="H724" t="str">
            <v>1-Victron</v>
          </cell>
          <cell r="I724">
            <v>0.31111111111111112</v>
          </cell>
        </row>
        <row r="725">
          <cell r="A725" t="str">
            <v>B0722</v>
          </cell>
          <cell r="B725" t="str">
            <v>Victron Battery Indicator Eyelet (M8 eyelet / 30A ATO fuse)</v>
          </cell>
          <cell r="D725" t="str">
            <v>BPC900120114</v>
          </cell>
          <cell r="F725">
            <v>0</v>
          </cell>
          <cell r="G725">
            <v>14.657499999999999</v>
          </cell>
          <cell r="H725" t="str">
            <v>1-Victron</v>
          </cell>
          <cell r="I725">
            <v>0.31111111111111112</v>
          </cell>
        </row>
        <row r="726">
          <cell r="A726" t="str">
            <v>B0723</v>
          </cell>
          <cell r="B726" t="str">
            <v>Victron Rubber bumper for IP65 charger 12/10, 12/15, 24/8</v>
          </cell>
          <cell r="D726" t="str">
            <v>BPC920100100</v>
          </cell>
          <cell r="F726">
            <v>0</v>
          </cell>
          <cell r="G726">
            <v>6.6624999999999996</v>
          </cell>
          <cell r="H726" t="str">
            <v>1-Victron</v>
          </cell>
          <cell r="I726">
            <v>0.31111111111111112</v>
          </cell>
        </row>
        <row r="727">
          <cell r="A727" t="str">
            <v>B0724</v>
          </cell>
          <cell r="B727" t="str">
            <v>Victron Wall Mount for IP65 Charger 12/10, 12/15, 24/8</v>
          </cell>
          <cell r="D727" t="str">
            <v>BPC920100200</v>
          </cell>
          <cell r="F727">
            <v>0</v>
          </cell>
          <cell r="G727">
            <v>5.33</v>
          </cell>
          <cell r="H727" t="str">
            <v>1-Victron</v>
          </cell>
          <cell r="I727">
            <v>0.31111111111111112</v>
          </cell>
        </row>
        <row r="728">
          <cell r="A728" t="str">
            <v>B0725</v>
          </cell>
          <cell r="B728" t="str">
            <v>Victron Blue Smart IP22 Charger 12/30 (1)</v>
          </cell>
          <cell r="D728" t="str">
            <v>BPC123042011</v>
          </cell>
          <cell r="F728">
            <v>0</v>
          </cell>
          <cell r="G728">
            <v>0</v>
          </cell>
          <cell r="H728" t="str">
            <v>1-Victron</v>
          </cell>
          <cell r="I728">
            <v>0</v>
          </cell>
        </row>
        <row r="729">
          <cell r="A729" t="str">
            <v>B0726</v>
          </cell>
          <cell r="B729" t="str">
            <v>Victron Blue Smart IP22 Charger 12/30 (1)</v>
          </cell>
          <cell r="D729" t="str">
            <v>BPC123042012</v>
          </cell>
          <cell r="F729">
            <v>0</v>
          </cell>
          <cell r="G729">
            <v>0</v>
          </cell>
          <cell r="H729" t="str">
            <v>1-Victron</v>
          </cell>
          <cell r="I729">
            <v>0</v>
          </cell>
        </row>
        <row r="730">
          <cell r="A730" t="str">
            <v>B0727</v>
          </cell>
          <cell r="B730" t="str">
            <v>Victron Blue Smart IP22 Charger 12/30 (3)</v>
          </cell>
          <cell r="D730" t="str">
            <v>BPC123044012</v>
          </cell>
          <cell r="F730">
            <v>0</v>
          </cell>
          <cell r="G730">
            <v>0</v>
          </cell>
          <cell r="H730" t="str">
            <v>1-Victron</v>
          </cell>
          <cell r="I730">
            <v>0</v>
          </cell>
        </row>
        <row r="731">
          <cell r="A731" t="str">
            <v>B0728</v>
          </cell>
          <cell r="B731" t="str">
            <v>Victron Blue Smart IP22 Charger 24/16 (1)</v>
          </cell>
          <cell r="D731" t="str">
            <v>BPC241642012</v>
          </cell>
          <cell r="F731">
            <v>0</v>
          </cell>
          <cell r="G731">
            <v>0</v>
          </cell>
          <cell r="H731" t="str">
            <v>1-Victron</v>
          </cell>
          <cell r="I731">
            <v>0</v>
          </cell>
        </row>
        <row r="732">
          <cell r="A732" t="str">
            <v>B0729</v>
          </cell>
          <cell r="B732" t="str">
            <v>Victron Blue Smart IP22 Charger 24/16 (3)</v>
          </cell>
          <cell r="D732" t="str">
            <v>BPC241644012</v>
          </cell>
          <cell r="F732">
            <v>0</v>
          </cell>
          <cell r="G732">
            <v>241.8</v>
          </cell>
          <cell r="H732" t="str">
            <v>1-Victron</v>
          </cell>
          <cell r="I732">
            <v>0.31111111111111112</v>
          </cell>
        </row>
        <row r="733">
          <cell r="A733" t="str">
            <v>B0730</v>
          </cell>
          <cell r="B733" t="str">
            <v>Victron Blue Smart IP67 Charger 12/7 (1)</v>
          </cell>
          <cell r="D733" t="str">
            <v>BPC120713016</v>
          </cell>
          <cell r="F733">
            <v>0</v>
          </cell>
          <cell r="G733">
            <v>115.04380952380953</v>
          </cell>
          <cell r="H733" t="str">
            <v>1-Victron</v>
          </cell>
          <cell r="I733">
            <v>0.31111111111111112</v>
          </cell>
        </row>
        <row r="734">
          <cell r="A734" t="str">
            <v>B0731</v>
          </cell>
          <cell r="B734" t="str">
            <v>Victron Blue Smart IP67 Charger 12/17 (1)</v>
          </cell>
          <cell r="D734" t="str">
            <v>BPC121713016</v>
          </cell>
          <cell r="F734">
            <v>0</v>
          </cell>
          <cell r="G734">
            <v>148.84380952380954</v>
          </cell>
          <cell r="H734" t="str">
            <v>1-Victron</v>
          </cell>
          <cell r="I734">
            <v>0.31111111111111112</v>
          </cell>
        </row>
        <row r="735">
          <cell r="A735" t="str">
            <v>B0732</v>
          </cell>
          <cell r="B735" t="str">
            <v>Victron Blue Smart IP67 Charger 12/25 (1)</v>
          </cell>
          <cell r="D735" t="str">
            <v>BPC122513016</v>
          </cell>
          <cell r="F735">
            <v>0</v>
          </cell>
          <cell r="G735">
            <v>193.69999999999996</v>
          </cell>
          <cell r="H735" t="str">
            <v>1-Victron</v>
          </cell>
          <cell r="I735">
            <v>0.31111111111111112</v>
          </cell>
        </row>
        <row r="736">
          <cell r="A736" t="str">
            <v>B0733</v>
          </cell>
          <cell r="B736" t="str">
            <v>Victron Blue Smart IP67 Charger 24/12 (1)</v>
          </cell>
          <cell r="D736" t="str">
            <v>BPC241213016</v>
          </cell>
          <cell r="F736">
            <v>0</v>
          </cell>
          <cell r="G736">
            <v>193.69999999999996</v>
          </cell>
          <cell r="H736" t="str">
            <v>1-Victron</v>
          </cell>
          <cell r="I736">
            <v>0.31111111111111112</v>
          </cell>
        </row>
        <row r="737">
          <cell r="A737" t="str">
            <v>B0734</v>
          </cell>
          <cell r="B737" t="str">
            <v>Victron Phoenix Smart IP43 Charger 12/30 (1+1)</v>
          </cell>
          <cell r="D737" t="str">
            <v>PSC123051085</v>
          </cell>
          <cell r="F737">
            <v>547.20000000000005</v>
          </cell>
          <cell r="G737">
            <v>376.96</v>
          </cell>
          <cell r="H737" t="str">
            <v>1-Victron</v>
          </cell>
          <cell r="I737">
            <v>0.31111111111111112</v>
          </cell>
        </row>
        <row r="738">
          <cell r="A738" t="str">
            <v>B0735</v>
          </cell>
          <cell r="B738" t="str">
            <v>Victron Phoenix Smart IP43 Charger 12/30 (3)</v>
          </cell>
          <cell r="D738" t="str">
            <v>PSC123053085</v>
          </cell>
          <cell r="F738">
            <v>588.6</v>
          </cell>
          <cell r="G738">
            <v>405.48</v>
          </cell>
          <cell r="H738" t="str">
            <v>1-Victron</v>
          </cell>
          <cell r="I738">
            <v>0.31111111111111112</v>
          </cell>
        </row>
        <row r="739">
          <cell r="A739" t="str">
            <v>B0736</v>
          </cell>
          <cell r="B739" t="str">
            <v>Victron Phoenix Smart IP43 Charger 12/50 (1+1)</v>
          </cell>
          <cell r="D739" t="str">
            <v>PSC125051085</v>
          </cell>
          <cell r="F739">
            <v>698.4</v>
          </cell>
          <cell r="G739">
            <v>481.12</v>
          </cell>
          <cell r="H739" t="str">
            <v>1-Victron</v>
          </cell>
          <cell r="I739">
            <v>0.31111111111111112</v>
          </cell>
        </row>
        <row r="740">
          <cell r="A740" t="str">
            <v>B0737</v>
          </cell>
          <cell r="B740" t="str">
            <v>Victron Phoenix Smart IP43 Charger 12/50 (3)</v>
          </cell>
          <cell r="D740" t="str">
            <v>PSC125053085</v>
          </cell>
          <cell r="F740">
            <v>738</v>
          </cell>
          <cell r="G740">
            <v>508.4</v>
          </cell>
          <cell r="H740" t="str">
            <v>1-Victron</v>
          </cell>
          <cell r="I740">
            <v>0.31111111111111112</v>
          </cell>
        </row>
        <row r="741">
          <cell r="A741" t="str">
            <v>B0738</v>
          </cell>
          <cell r="B741" t="str">
            <v>Victron Phoenix Smart IP43 Charger 24/16 (1+1)</v>
          </cell>
          <cell r="D741" t="str">
            <v>PSC241651085</v>
          </cell>
          <cell r="F741">
            <v>547.20000000000005</v>
          </cell>
          <cell r="G741">
            <v>376.96</v>
          </cell>
          <cell r="H741" t="str">
            <v>1-Victron</v>
          </cell>
          <cell r="I741">
            <v>0.31111111111111112</v>
          </cell>
        </row>
        <row r="742">
          <cell r="A742" t="str">
            <v>B0739</v>
          </cell>
          <cell r="B742" t="str">
            <v>Victron Phoenix Smart IP43 Charger 24/16 (3)</v>
          </cell>
          <cell r="D742" t="str">
            <v>PSC241653085</v>
          </cell>
          <cell r="F742">
            <v>588.6</v>
          </cell>
          <cell r="G742">
            <v>405.48</v>
          </cell>
          <cell r="H742" t="str">
            <v>1-Victron</v>
          </cell>
          <cell r="I742">
            <v>0.31111111111111112</v>
          </cell>
        </row>
        <row r="743">
          <cell r="A743" t="str">
            <v>B0740</v>
          </cell>
          <cell r="B743" t="str">
            <v>Victron Phoenix Smart IP43 Charger 24/25 (1+1)</v>
          </cell>
          <cell r="D743" t="str">
            <v>PSC242551085</v>
          </cell>
          <cell r="F743">
            <v>698.4</v>
          </cell>
          <cell r="G743">
            <v>481.12</v>
          </cell>
          <cell r="H743" t="str">
            <v>1-Victron</v>
          </cell>
          <cell r="I743">
            <v>0.31111111111111112</v>
          </cell>
        </row>
        <row r="744">
          <cell r="A744" t="str">
            <v>B0741</v>
          </cell>
          <cell r="B744" t="str">
            <v>Victron Phoenix Smart IP43 Charger 24/25 (3)</v>
          </cell>
          <cell r="D744" t="str">
            <v>PSC242553085</v>
          </cell>
          <cell r="F744">
            <v>738</v>
          </cell>
          <cell r="G744">
            <v>508.4</v>
          </cell>
          <cell r="H744" t="str">
            <v>1-Victron</v>
          </cell>
          <cell r="I744">
            <v>0.31111111111111112</v>
          </cell>
        </row>
        <row r="745">
          <cell r="A745" t="str">
            <v>B0742</v>
          </cell>
          <cell r="B745" t="str">
            <v>Victron Mains Cord AU/NZ for Smart IP43 2m</v>
          </cell>
          <cell r="D745" t="str">
            <v>ADA010100300</v>
          </cell>
          <cell r="F745">
            <v>13.5</v>
          </cell>
          <cell r="G745">
            <v>9.3000000000000007</v>
          </cell>
          <cell r="H745" t="str">
            <v>1-Victron</v>
          </cell>
          <cell r="I745">
            <v>0.31111111111111112</v>
          </cell>
        </row>
        <row r="746">
          <cell r="A746" t="str">
            <v>B0743</v>
          </cell>
          <cell r="B746" t="str">
            <v>Victron Isolation Trans. 2000W 115/230V</v>
          </cell>
          <cell r="D746" t="str">
            <v>ITR040202041</v>
          </cell>
          <cell r="F746">
            <v>613.80000000000007</v>
          </cell>
          <cell r="G746">
            <v>540.15619047619043</v>
          </cell>
          <cell r="H746" t="str">
            <v>1-Victron</v>
          </cell>
          <cell r="I746">
            <v>0.31111111111111112</v>
          </cell>
        </row>
        <row r="747">
          <cell r="A747" t="str">
            <v>B0744</v>
          </cell>
          <cell r="B747" t="str">
            <v>Victron Isolation Trans. 3600W 115/230V</v>
          </cell>
          <cell r="D747" t="str">
            <v>ITR040362041</v>
          </cell>
          <cell r="F747">
            <v>921.6</v>
          </cell>
          <cell r="G747">
            <v>762.44380952380959</v>
          </cell>
          <cell r="H747" t="str">
            <v>1-Victron</v>
          </cell>
          <cell r="I747">
            <v>0.31111111111111112</v>
          </cell>
        </row>
        <row r="748">
          <cell r="A748" t="str">
            <v>B0745</v>
          </cell>
          <cell r="B748" t="str">
            <v>Victron Isolation Trans. 7000W 230V</v>
          </cell>
          <cell r="D748" t="str">
            <v>ITR000702001</v>
          </cell>
          <cell r="F748">
            <v>1652.4</v>
          </cell>
          <cell r="G748">
            <v>991.9</v>
          </cell>
          <cell r="H748" t="str">
            <v>1-Victron</v>
          </cell>
          <cell r="I748">
            <v>0.31111111111111112</v>
          </cell>
        </row>
        <row r="749">
          <cell r="A749" t="str">
            <v>B0746</v>
          </cell>
          <cell r="B749" t="str">
            <v>Victron Isolation Trans. 3600W  Auto 115/230V</v>
          </cell>
          <cell r="D749" t="str">
            <v>ITR050362041</v>
          </cell>
          <cell r="F749">
            <v>0</v>
          </cell>
          <cell r="G749">
            <v>858.64380952380952</v>
          </cell>
          <cell r="H749" t="str">
            <v>1-Victron</v>
          </cell>
          <cell r="I749">
            <v>0.31111111111111112</v>
          </cell>
        </row>
        <row r="750">
          <cell r="A750" t="str">
            <v>B0747</v>
          </cell>
          <cell r="B750" t="str">
            <v>Victron Autotransformer 120/240VAC-32A</v>
          </cell>
          <cell r="D750" t="str">
            <v>ITR000100001</v>
          </cell>
          <cell r="F750">
            <v>0</v>
          </cell>
          <cell r="G750">
            <v>613.6</v>
          </cell>
          <cell r="H750" t="str">
            <v>1-Victron</v>
          </cell>
          <cell r="I750">
            <v>0.31111111111111112</v>
          </cell>
        </row>
        <row r="751">
          <cell r="A751" t="str">
            <v>B0748</v>
          </cell>
          <cell r="B751" t="str">
            <v>Victron Autotransformer 120/240VAC-100A</v>
          </cell>
          <cell r="D751" t="str">
            <v>ITR000100101</v>
          </cell>
          <cell r="F751">
            <v>0</v>
          </cell>
          <cell r="G751">
            <v>742.95619047619061</v>
          </cell>
          <cell r="H751" t="str">
            <v>1-Victron</v>
          </cell>
          <cell r="I751">
            <v>0.31111111111111112</v>
          </cell>
        </row>
        <row r="752">
          <cell r="A752" t="str">
            <v>B0749</v>
          </cell>
          <cell r="B752" t="str">
            <v>Victron Galvanic Isolator VDI-16 A</v>
          </cell>
          <cell r="D752" t="str">
            <v>GDI000016000</v>
          </cell>
          <cell r="F752">
            <v>177.3</v>
          </cell>
          <cell r="G752">
            <v>111.8</v>
          </cell>
          <cell r="H752" t="str">
            <v>1-Victron</v>
          </cell>
          <cell r="I752">
            <v>0.31111111111111112</v>
          </cell>
        </row>
        <row r="753">
          <cell r="A753" t="str">
            <v>B0750</v>
          </cell>
          <cell r="B753" t="str">
            <v>Victron Galvanic Isolator VDI-32 A</v>
          </cell>
          <cell r="D753" t="str">
            <v>GDI000032000</v>
          </cell>
          <cell r="F753">
            <v>404.1</v>
          </cell>
          <cell r="G753">
            <v>228.8</v>
          </cell>
          <cell r="H753" t="str">
            <v>1-Victron</v>
          </cell>
          <cell r="I753">
            <v>0.31111111111111112</v>
          </cell>
        </row>
        <row r="754">
          <cell r="A754" t="str">
            <v>B0751</v>
          </cell>
          <cell r="B754" t="str">
            <v>Victron Galvanic Isolator VDI-64 A</v>
          </cell>
          <cell r="D754" t="str">
            <v>GDI000064000</v>
          </cell>
          <cell r="F754">
            <v>495</v>
          </cell>
          <cell r="G754">
            <v>291.2</v>
          </cell>
          <cell r="H754" t="str">
            <v>1-Victron</v>
          </cell>
          <cell r="I754">
            <v>0.31111111111111112</v>
          </cell>
        </row>
        <row r="755">
          <cell r="A755" t="str">
            <v>B0752</v>
          </cell>
          <cell r="B755" t="str">
            <v>Victron MultiPlus-II 48/8000/110-100/100</v>
          </cell>
          <cell r="D755" t="str">
            <v>PMP482805000</v>
          </cell>
          <cell r="F755">
            <v>3981.6</v>
          </cell>
          <cell r="G755">
            <v>2742.88</v>
          </cell>
          <cell r="H755" t="str">
            <v>1-Victron</v>
          </cell>
          <cell r="I755">
            <v>0.31111111111111112</v>
          </cell>
        </row>
        <row r="756">
          <cell r="A756" t="str">
            <v>B0753</v>
          </cell>
          <cell r="B756" t="str">
            <v>Victron MultiPlus-II 48/10000/140-100/100</v>
          </cell>
          <cell r="D756" t="str">
            <v>PMP483105000</v>
          </cell>
          <cell r="F756">
            <v>4763.7</v>
          </cell>
          <cell r="G756">
            <v>3281.66</v>
          </cell>
          <cell r="H756" t="str">
            <v>1-Victron</v>
          </cell>
          <cell r="I756">
            <v>0.31111111111111112</v>
          </cell>
        </row>
        <row r="757">
          <cell r="A757" t="str">
            <v>B0754</v>
          </cell>
          <cell r="B757" t="str">
            <v>Victron MultiPlus-II 24/5000/120-50</v>
          </cell>
          <cell r="D757" t="str">
            <v>PMP242505010</v>
          </cell>
          <cell r="F757">
            <v>3158.1</v>
          </cell>
          <cell r="G757">
            <v>2175.58</v>
          </cell>
          <cell r="H757" t="str">
            <v>1-Victron</v>
          </cell>
          <cell r="I757">
            <v>0.31111111111111112</v>
          </cell>
        </row>
        <row r="758">
          <cell r="A758" t="str">
            <v>B0755</v>
          </cell>
          <cell r="B758" t="str">
            <v>Victron MultiPlus-II 12/3000/120-32</v>
          </cell>
          <cell r="D758" t="str">
            <v>PMP122305010</v>
          </cell>
          <cell r="F758">
            <v>1983.6000000000001</v>
          </cell>
          <cell r="G758">
            <v>1366.48</v>
          </cell>
          <cell r="H758" t="str">
            <v>1-Victron</v>
          </cell>
          <cell r="I758">
            <v>0.31111111111111112</v>
          </cell>
        </row>
        <row r="759">
          <cell r="A759" t="str">
            <v>B0756</v>
          </cell>
          <cell r="B759" t="str">
            <v>Victron SmartSolar MPPT 250/70-MC4 VE. Can</v>
          </cell>
          <cell r="D759" t="str">
            <v>SCC125070521</v>
          </cell>
          <cell r="F759">
            <v>787.5</v>
          </cell>
          <cell r="G759">
            <v>542.5</v>
          </cell>
          <cell r="H759" t="str">
            <v>1-Victron</v>
          </cell>
          <cell r="I759">
            <v>0.31111111111111112</v>
          </cell>
        </row>
        <row r="760">
          <cell r="A760" t="str">
            <v>B0757</v>
          </cell>
          <cell r="B760" t="str">
            <v>Victron GX LTE 4G-SA (small antenna included)</v>
          </cell>
          <cell r="D760" t="str">
            <v>GSM100300400</v>
          </cell>
          <cell r="F760">
            <v>0</v>
          </cell>
          <cell r="G760">
            <v>273.64380952380952</v>
          </cell>
          <cell r="H760" t="str">
            <v>1-Victron</v>
          </cell>
          <cell r="I760">
            <v>0.31111111111111112</v>
          </cell>
        </row>
        <row r="761">
          <cell r="A761" t="str">
            <v>B0758</v>
          </cell>
          <cell r="B761" t="str">
            <v>Victron Orion-Tr Smart 24/24-12A (280W) DC-DC charger (Isolated)</v>
          </cell>
          <cell r="D761" t="str">
            <v>ORI242428120</v>
          </cell>
          <cell r="F761">
            <v>0</v>
          </cell>
          <cell r="G761">
            <v>182.64380952380955</v>
          </cell>
          <cell r="H761" t="str">
            <v>1-Victron</v>
          </cell>
          <cell r="I761">
            <v>0.31111111111111112</v>
          </cell>
        </row>
        <row r="762">
          <cell r="A762" t="str">
            <v>B0759</v>
          </cell>
          <cell r="B762" t="str">
            <v>Victron Orion-Tr Smart 24/24-17A (400W) DC-DC charger (Isolated)</v>
          </cell>
          <cell r="D762" t="str">
            <v>ORI242440120</v>
          </cell>
          <cell r="F762">
            <v>0</v>
          </cell>
          <cell r="G762">
            <v>293.15619047619049</v>
          </cell>
          <cell r="H762" t="str">
            <v>1-Victron</v>
          </cell>
          <cell r="I762">
            <v>0.31111111111111112</v>
          </cell>
        </row>
        <row r="763">
          <cell r="A763" t="str">
            <v>B0760</v>
          </cell>
          <cell r="B763" t="str">
            <v xml:space="preserve">Victron Orion-Tr 12/12-9A (110W) </v>
          </cell>
          <cell r="D763" t="str">
            <v>ORI121210110R</v>
          </cell>
          <cell r="F763">
            <v>0</v>
          </cell>
          <cell r="G763">
            <v>72.156190476190474</v>
          </cell>
          <cell r="H763" t="str">
            <v>1-Victron</v>
          </cell>
          <cell r="I763">
            <v>0.31111111111111112</v>
          </cell>
        </row>
        <row r="764">
          <cell r="A764" t="str">
            <v>B0761</v>
          </cell>
          <cell r="B764" t="str">
            <v xml:space="preserve">Victron Orion-Tr 12/12-18A (220W) </v>
          </cell>
          <cell r="D764" t="str">
            <v>ORI121222110</v>
          </cell>
          <cell r="F764">
            <v>0</v>
          </cell>
          <cell r="G764">
            <v>130</v>
          </cell>
          <cell r="H764" t="str">
            <v>1-Victron</v>
          </cell>
          <cell r="I764">
            <v>0.31111111111111112</v>
          </cell>
        </row>
        <row r="765">
          <cell r="A765" t="str">
            <v>B0762</v>
          </cell>
          <cell r="B765" t="str">
            <v>Victron Orion-Tr 12/12-30A (360W)</v>
          </cell>
          <cell r="D765" t="str">
            <v>ORI121240110</v>
          </cell>
          <cell r="F765">
            <v>0</v>
          </cell>
          <cell r="G765">
            <v>240.5</v>
          </cell>
          <cell r="H765" t="str">
            <v>1-Victron</v>
          </cell>
          <cell r="I765">
            <v>0.31111111111111112</v>
          </cell>
        </row>
        <row r="766">
          <cell r="A766" t="str">
            <v>B0763</v>
          </cell>
          <cell r="B766" t="str">
            <v>Victron Orion-Tr 12/24-5A (120W)</v>
          </cell>
          <cell r="D766" t="str">
            <v>ORI122410110</v>
          </cell>
          <cell r="F766">
            <v>0</v>
          </cell>
          <cell r="G766">
            <v>72.156190476190474</v>
          </cell>
          <cell r="H766" t="str">
            <v>1-Victron</v>
          </cell>
          <cell r="I766">
            <v>0.31111111111111112</v>
          </cell>
        </row>
        <row r="767">
          <cell r="A767" t="str">
            <v>B0764</v>
          </cell>
          <cell r="B767" t="str">
            <v>Victron Orion-Tr 12/24-10 (240W)</v>
          </cell>
          <cell r="D767" t="str">
            <v>ORI122424110</v>
          </cell>
          <cell r="F767">
            <v>0</v>
          </cell>
          <cell r="G767">
            <v>130</v>
          </cell>
          <cell r="H767" t="str">
            <v>1-Victron</v>
          </cell>
          <cell r="I767">
            <v>0.31111111111111112</v>
          </cell>
        </row>
        <row r="768">
          <cell r="A768" t="str">
            <v>B0765</v>
          </cell>
          <cell r="B768" t="str">
            <v>Victron Orion-Tr 12/24-15A (360W)</v>
          </cell>
          <cell r="D768" t="str">
            <v>ORI122441110</v>
          </cell>
          <cell r="F768">
            <v>0</v>
          </cell>
          <cell r="G768">
            <v>240.5</v>
          </cell>
          <cell r="H768" t="str">
            <v>1-Victron</v>
          </cell>
          <cell r="I768">
            <v>0.31111111111111112</v>
          </cell>
        </row>
        <row r="769">
          <cell r="A769" t="str">
            <v>B0766</v>
          </cell>
          <cell r="B769" t="str">
            <v>Victron Orion-Tr 24/12-9A (110W)</v>
          </cell>
          <cell r="D769" t="str">
            <v>ORI241210110R</v>
          </cell>
          <cell r="F769">
            <v>0</v>
          </cell>
          <cell r="G769">
            <v>72.156190476190474</v>
          </cell>
          <cell r="H769" t="str">
            <v>1-Victron</v>
          </cell>
          <cell r="I769">
            <v>0.31111111111111112</v>
          </cell>
        </row>
        <row r="770">
          <cell r="A770" t="str">
            <v>B0767</v>
          </cell>
          <cell r="B770" t="str">
            <v>Victron Orion-Tr 24/12-20A (240W)</v>
          </cell>
          <cell r="D770" t="str">
            <v>ORI241224110</v>
          </cell>
          <cell r="F770">
            <v>0</v>
          </cell>
          <cell r="G770">
            <v>130</v>
          </cell>
          <cell r="H770" t="str">
            <v>1-Victron</v>
          </cell>
          <cell r="I770">
            <v>0.31111111111111112</v>
          </cell>
        </row>
        <row r="771">
          <cell r="A771" t="str">
            <v>B0768</v>
          </cell>
          <cell r="B771" t="str">
            <v>Victron Orion-Tr 24/12-30A (360W)</v>
          </cell>
          <cell r="D771" t="str">
            <v>ORI241240110</v>
          </cell>
          <cell r="F771">
            <v>310.5</v>
          </cell>
          <cell r="G771">
            <v>258.42</v>
          </cell>
          <cell r="H771" t="str">
            <v>1-Victron</v>
          </cell>
          <cell r="I771">
            <v>0.31111111111111112</v>
          </cell>
        </row>
        <row r="772">
          <cell r="A772" t="str">
            <v>B0769</v>
          </cell>
          <cell r="B772" t="str">
            <v>Victron Orion-Tr 24/24-5A (120W)</v>
          </cell>
          <cell r="D772" t="str">
            <v>ORI242410110R</v>
          </cell>
          <cell r="F772">
            <v>0</v>
          </cell>
          <cell r="G772">
            <v>72.156190476190474</v>
          </cell>
          <cell r="H772" t="str">
            <v>1-Victron</v>
          </cell>
          <cell r="I772">
            <v>0.31111111111111112</v>
          </cell>
        </row>
        <row r="773">
          <cell r="A773" t="str">
            <v>B0770</v>
          </cell>
          <cell r="B773" t="str">
            <v>Victron Orion-Tr 24/24-12A (280W)</v>
          </cell>
          <cell r="D773" t="str">
            <v>ORI242428110</v>
          </cell>
          <cell r="F773">
            <v>0</v>
          </cell>
          <cell r="G773">
            <v>130</v>
          </cell>
          <cell r="H773" t="str">
            <v>1-Victron</v>
          </cell>
          <cell r="I773">
            <v>0.31111111111111112</v>
          </cell>
        </row>
        <row r="774">
          <cell r="A774" t="str">
            <v>B0771</v>
          </cell>
          <cell r="B774" t="str">
            <v>Victron Orion-Tr 24/24-17A (400W)</v>
          </cell>
          <cell r="D774" t="str">
            <v>ORI242441110</v>
          </cell>
          <cell r="F774">
            <v>0</v>
          </cell>
          <cell r="G774">
            <v>240.5</v>
          </cell>
          <cell r="H774" t="str">
            <v>1-Victron</v>
          </cell>
          <cell r="I774">
            <v>0.31111111111111112</v>
          </cell>
        </row>
        <row r="775">
          <cell r="A775" t="str">
            <v>B0772</v>
          </cell>
          <cell r="B775" t="str">
            <v>Victron Orion-Tr 24/48-2.5A (120W)</v>
          </cell>
          <cell r="D775" t="str">
            <v>ORI244810110</v>
          </cell>
          <cell r="F775">
            <v>0</v>
          </cell>
          <cell r="G775">
            <v>72.156190476190474</v>
          </cell>
          <cell r="H775" t="str">
            <v>1-Victron</v>
          </cell>
          <cell r="I775">
            <v>0.31111111111111112</v>
          </cell>
        </row>
        <row r="776">
          <cell r="A776" t="str">
            <v>B0773</v>
          </cell>
          <cell r="B776" t="str">
            <v>Victron Orion-Tr 24/48-6A (280W)</v>
          </cell>
          <cell r="D776" t="str">
            <v>ORI244828110</v>
          </cell>
          <cell r="F776">
            <v>0</v>
          </cell>
          <cell r="G776">
            <v>130</v>
          </cell>
          <cell r="H776" t="str">
            <v>1-Victron</v>
          </cell>
          <cell r="I776">
            <v>0.31111111111111112</v>
          </cell>
        </row>
        <row r="777">
          <cell r="A777" t="str">
            <v>B0774</v>
          </cell>
          <cell r="B777" t="str">
            <v>Victron Orion-Tr 24/48-8.5A (400W)</v>
          </cell>
          <cell r="D777" t="str">
            <v>ORI244841110</v>
          </cell>
          <cell r="F777">
            <v>0</v>
          </cell>
          <cell r="G777">
            <v>240.5</v>
          </cell>
          <cell r="H777" t="str">
            <v>1-Victron</v>
          </cell>
          <cell r="I777">
            <v>0.31111111111111112</v>
          </cell>
        </row>
        <row r="778">
          <cell r="A778" t="str">
            <v>B0775</v>
          </cell>
          <cell r="B778" t="str">
            <v>Victron Orion-Tr 48/12-9A (110W)</v>
          </cell>
          <cell r="D778" t="str">
            <v>ORI481210110</v>
          </cell>
          <cell r="F778">
            <v>0</v>
          </cell>
          <cell r="G778">
            <v>72.156190476190474</v>
          </cell>
          <cell r="H778" t="str">
            <v>1-Victron</v>
          </cell>
          <cell r="I778">
            <v>0.31111111111111112</v>
          </cell>
        </row>
        <row r="779">
          <cell r="A779" t="str">
            <v>B0776</v>
          </cell>
          <cell r="B779" t="str">
            <v>Victron Orion-Tr 48/12-20A (240W)</v>
          </cell>
          <cell r="D779" t="str">
            <v>ORI481224110</v>
          </cell>
          <cell r="F779">
            <v>0</v>
          </cell>
          <cell r="G779">
            <v>130</v>
          </cell>
          <cell r="H779" t="str">
            <v>1-Victron</v>
          </cell>
          <cell r="I779">
            <v>0.31111111111111112</v>
          </cell>
        </row>
        <row r="780">
          <cell r="A780" t="str">
            <v>B0777</v>
          </cell>
          <cell r="B780" t="str">
            <v>Victron Orion-Tr 48/12-30A (360W)</v>
          </cell>
          <cell r="D780" t="str">
            <v>ORI481240110</v>
          </cell>
          <cell r="F780">
            <v>0</v>
          </cell>
          <cell r="G780">
            <v>240.5</v>
          </cell>
          <cell r="H780" t="str">
            <v>1-Victron</v>
          </cell>
          <cell r="I780">
            <v>0.31111111111111112</v>
          </cell>
        </row>
        <row r="781">
          <cell r="A781" t="str">
            <v>B0778</v>
          </cell>
          <cell r="B781" t="str">
            <v>Victron Orion-Tr 48/24-5A (120W)</v>
          </cell>
          <cell r="D781" t="str">
            <v>ORI482410110</v>
          </cell>
          <cell r="F781">
            <v>0</v>
          </cell>
          <cell r="G781">
            <v>72.156190476190474</v>
          </cell>
          <cell r="H781" t="str">
            <v>1-Victron</v>
          </cell>
          <cell r="I781">
            <v>0.31111111111111112</v>
          </cell>
        </row>
        <row r="782">
          <cell r="A782" t="str">
            <v>B0779</v>
          </cell>
          <cell r="B782" t="str">
            <v>Victron Orion-Tr 48/24-12A (280W)</v>
          </cell>
          <cell r="D782" t="str">
            <v>ORI482428110</v>
          </cell>
          <cell r="F782">
            <v>0</v>
          </cell>
          <cell r="G782">
            <v>130</v>
          </cell>
          <cell r="H782" t="str">
            <v>1-Victron</v>
          </cell>
          <cell r="I782">
            <v>0.31111111111111112</v>
          </cell>
        </row>
        <row r="783">
          <cell r="A783" t="str">
            <v>B0780</v>
          </cell>
          <cell r="B783" t="str">
            <v>Victron Orion-Tr 48/24-16A (380W)</v>
          </cell>
          <cell r="D783" t="str">
            <v>ORI482441110</v>
          </cell>
          <cell r="F783">
            <v>0</v>
          </cell>
          <cell r="G783">
            <v>240.5</v>
          </cell>
          <cell r="H783" t="str">
            <v>1-Victron</v>
          </cell>
          <cell r="I783">
            <v>0.31111111111111112</v>
          </cell>
        </row>
        <row r="784">
          <cell r="A784" t="str">
            <v>B0781</v>
          </cell>
          <cell r="B784" t="str">
            <v>Victron Orion-Tr 48/48-2.5A (120W)</v>
          </cell>
          <cell r="D784" t="str">
            <v>ORI484810110</v>
          </cell>
          <cell r="F784">
            <v>0</v>
          </cell>
          <cell r="G784">
            <v>72.156190476190474</v>
          </cell>
          <cell r="H784" t="str">
            <v>1-Victron</v>
          </cell>
          <cell r="I784">
            <v>0.31111111111111112</v>
          </cell>
        </row>
        <row r="785">
          <cell r="A785" t="str">
            <v>B0782</v>
          </cell>
          <cell r="B785" t="str">
            <v>Victron Orion-Tr 48/48-6A (280W)</v>
          </cell>
          <cell r="D785" t="str">
            <v>ORI484828110</v>
          </cell>
          <cell r="F785">
            <v>0</v>
          </cell>
          <cell r="G785">
            <v>130</v>
          </cell>
          <cell r="H785" t="str">
            <v>1-Victron</v>
          </cell>
          <cell r="I785">
            <v>0.31111111111111112</v>
          </cell>
        </row>
        <row r="786">
          <cell r="A786" t="str">
            <v>B0783</v>
          </cell>
          <cell r="B786" t="str">
            <v>Victron Orion-Tr 12/12-30A (360W)</v>
          </cell>
          <cell r="D786" t="str">
            <v>ORI121240110</v>
          </cell>
          <cell r="F786">
            <v>0</v>
          </cell>
          <cell r="G786">
            <v>240.5</v>
          </cell>
          <cell r="H786" t="str">
            <v>1-Victron</v>
          </cell>
          <cell r="I786">
            <v>0.31111111111111112</v>
          </cell>
        </row>
        <row r="787">
          <cell r="A787" t="str">
            <v>B0784</v>
          </cell>
          <cell r="B787" t="str">
            <v>Victron Orion 12/24-15A (360W)</v>
          </cell>
          <cell r="D787" t="str">
            <v>ORI122436100</v>
          </cell>
          <cell r="F787">
            <v>0</v>
          </cell>
          <cell r="G787">
            <v>0</v>
          </cell>
          <cell r="H787" t="str">
            <v>1-Victron</v>
          </cell>
          <cell r="I787">
            <v>0</v>
          </cell>
        </row>
        <row r="788">
          <cell r="A788" t="str">
            <v>B0785</v>
          </cell>
          <cell r="B788" t="str">
            <v>Victron Orion 48/48-8A (360W)</v>
          </cell>
          <cell r="D788" t="str">
            <v>ORI484841110</v>
          </cell>
          <cell r="F788">
            <v>0</v>
          </cell>
          <cell r="G788">
            <v>240.5</v>
          </cell>
          <cell r="H788" t="str">
            <v>1-Victron</v>
          </cell>
          <cell r="I788">
            <v>0.31111111111111112</v>
          </cell>
        </row>
        <row r="789">
          <cell r="A789" t="str">
            <v>B0786</v>
          </cell>
          <cell r="B789" t="str">
            <v>Victron Orion 110/12-30A (360W)</v>
          </cell>
          <cell r="D789" t="str">
            <v>ORI110123610</v>
          </cell>
          <cell r="F789">
            <v>0</v>
          </cell>
          <cell r="G789">
            <v>395.84380952380957</v>
          </cell>
          <cell r="H789" t="str">
            <v>1-Victron</v>
          </cell>
          <cell r="I789">
            <v>0.31111111111111112</v>
          </cell>
        </row>
        <row r="790">
          <cell r="A790" t="str">
            <v>B0787</v>
          </cell>
          <cell r="B790" t="str">
            <v>Victron Orion 110/24-15A (360W)</v>
          </cell>
          <cell r="D790" t="str">
            <v>ORI110243610</v>
          </cell>
          <cell r="F790">
            <v>0</v>
          </cell>
          <cell r="G790">
            <v>395.84380952380957</v>
          </cell>
          <cell r="H790" t="str">
            <v>1-Victron</v>
          </cell>
          <cell r="I790">
            <v>0.31111111111111112</v>
          </cell>
        </row>
        <row r="791">
          <cell r="A791" t="str">
            <v>B0788</v>
          </cell>
          <cell r="B791" t="str">
            <v>Victron Orion 12/27,6-12A battery charger</v>
          </cell>
          <cell r="D791" t="str">
            <v>ORI122712000</v>
          </cell>
          <cell r="F791">
            <v>0</v>
          </cell>
          <cell r="G791">
            <v>0</v>
          </cell>
          <cell r="H791" t="str">
            <v>1-Victron</v>
          </cell>
          <cell r="I791">
            <v>0</v>
          </cell>
        </row>
        <row r="792">
          <cell r="A792" t="str">
            <v>B0789</v>
          </cell>
          <cell r="B792" t="str">
            <v>Victron Orion 7-35/12-3A isolated buck-boost regulator</v>
          </cell>
          <cell r="D792" t="str">
            <v>ORI351203000</v>
          </cell>
          <cell r="F792">
            <v>0</v>
          </cell>
          <cell r="G792">
            <v>0</v>
          </cell>
          <cell r="H792" t="str">
            <v>1-Victron</v>
          </cell>
          <cell r="I792">
            <v>0</v>
          </cell>
        </row>
        <row r="793">
          <cell r="A793" t="str">
            <v>B0790</v>
          </cell>
          <cell r="B793" t="str">
            <v>Powerplus Battery Powerplus LiFe 3.3KWh Lithium Module</v>
          </cell>
          <cell r="D793" t="str">
            <v>LiFe4833P</v>
          </cell>
          <cell r="F793">
            <v>3425.7142857142858</v>
          </cell>
          <cell r="G793">
            <v>2398</v>
          </cell>
          <cell r="H793" t="str">
            <v>6-Various</v>
          </cell>
          <cell r="I793">
            <v>0.3</v>
          </cell>
        </row>
        <row r="794">
          <cell r="A794" t="str">
            <v>B0791</v>
          </cell>
          <cell r="B794" t="str">
            <v>Victron Battery Monitor BMV-702 BLACK</v>
          </cell>
          <cell r="D794" t="str">
            <v>BAM010702200R</v>
          </cell>
          <cell r="F794">
            <v>223.20000000000002</v>
          </cell>
          <cell r="G794">
            <v>153.76</v>
          </cell>
          <cell r="H794" t="str">
            <v>1-Victron</v>
          </cell>
          <cell r="I794">
            <v>0.31111111111111112</v>
          </cell>
        </row>
        <row r="795">
          <cell r="A795" t="str">
            <v>B0792</v>
          </cell>
          <cell r="B795" t="str">
            <v>Victron Battery Monitor BMV-700H</v>
          </cell>
          <cell r="D795" t="str">
            <v>BAM010700100</v>
          </cell>
          <cell r="F795">
            <v>0</v>
          </cell>
          <cell r="G795">
            <v>0</v>
          </cell>
          <cell r="H795" t="str">
            <v>1-Victron</v>
          </cell>
          <cell r="I795">
            <v>0</v>
          </cell>
        </row>
        <row r="796">
          <cell r="A796" t="str">
            <v>B0793</v>
          </cell>
          <cell r="B796" t="str">
            <v>Victron Temperature sensor for BMV-702 &amp; 712</v>
          </cell>
          <cell r="D796" t="str">
            <v>ASS000100000</v>
          </cell>
          <cell r="F796">
            <v>48.6</v>
          </cell>
          <cell r="G796">
            <v>33.479999999999997</v>
          </cell>
          <cell r="H796" t="str">
            <v>1-Victron</v>
          </cell>
          <cell r="I796">
            <v>0.31111111111111112</v>
          </cell>
        </row>
        <row r="797">
          <cell r="A797" t="str">
            <v>B0794</v>
          </cell>
          <cell r="B797" t="str">
            <v xml:space="preserve">Victron Filax-2   230V/50Hz-240V/60Hz        </v>
          </cell>
          <cell r="D797" t="str">
            <v>SDFI0000000</v>
          </cell>
          <cell r="F797">
            <v>442.8</v>
          </cell>
          <cell r="G797">
            <v>305.04000000000002</v>
          </cell>
          <cell r="H797" t="str">
            <v>1-Victron</v>
          </cell>
          <cell r="I797">
            <v>0.31111111111111112</v>
          </cell>
        </row>
        <row r="798">
          <cell r="A798" t="str">
            <v>B0795</v>
          </cell>
          <cell r="B798" t="str">
            <v xml:space="preserve">Victron Filax-2  110V/50Hz-120V/60Hz         </v>
          </cell>
          <cell r="D798" t="str">
            <v>SDFI0000110</v>
          </cell>
          <cell r="F798">
            <v>442.8</v>
          </cell>
          <cell r="G798">
            <v>305.04000000000002</v>
          </cell>
          <cell r="H798" t="str">
            <v>1-Victron</v>
          </cell>
          <cell r="I798">
            <v>0.31111111111111112</v>
          </cell>
        </row>
        <row r="799">
          <cell r="A799" t="str">
            <v>B0796</v>
          </cell>
          <cell r="B799" t="str">
            <v>Victron VE Transfer Switch 5kVA/230V</v>
          </cell>
          <cell r="D799" t="str">
            <v>COS230502100</v>
          </cell>
          <cell r="F799">
            <v>477.90000000000003</v>
          </cell>
          <cell r="G799">
            <v>329.21999999999997</v>
          </cell>
          <cell r="H799" t="str">
            <v>1-Victron</v>
          </cell>
          <cell r="I799">
            <v>0.31111111111111112</v>
          </cell>
        </row>
        <row r="800">
          <cell r="A800" t="str">
            <v>B0797</v>
          </cell>
          <cell r="B800" t="str">
            <v>Victron VE Transfer Switch 10kVA/230V</v>
          </cell>
          <cell r="D800" t="str">
            <v>COS230103100</v>
          </cell>
          <cell r="F800">
            <v>590.4</v>
          </cell>
          <cell r="G800">
            <v>406.71999999999997</v>
          </cell>
          <cell r="H800" t="str">
            <v>1-Victron</v>
          </cell>
          <cell r="I800">
            <v>0.31111111111111112</v>
          </cell>
        </row>
        <row r="801">
          <cell r="A801" t="str">
            <v>B0798</v>
          </cell>
          <cell r="B801" t="str">
            <v>Victron Lynx Power In (Busbar)</v>
          </cell>
          <cell r="D801" t="str">
            <v>LYN020102000</v>
          </cell>
          <cell r="F801">
            <v>228.6</v>
          </cell>
          <cell r="G801">
            <v>157.47999999999999</v>
          </cell>
          <cell r="H801" t="str">
            <v>1-Victron</v>
          </cell>
          <cell r="I801">
            <v>0.31111111111111112</v>
          </cell>
        </row>
        <row r="802">
          <cell r="A802" t="str">
            <v>B0799</v>
          </cell>
          <cell r="B802" t="str">
            <v>Victron Lynx Shunt VE.Can</v>
          </cell>
          <cell r="D802" t="str">
            <v>LYN040102100</v>
          </cell>
          <cell r="F802">
            <v>576.9</v>
          </cell>
          <cell r="G802">
            <v>397.42</v>
          </cell>
          <cell r="H802" t="str">
            <v>1-Victron</v>
          </cell>
          <cell r="I802">
            <v>0.31111111111111112</v>
          </cell>
        </row>
        <row r="803">
          <cell r="A803" t="str">
            <v>B0800</v>
          </cell>
          <cell r="B803" t="str">
            <v>Victron Lynx Distributor (Busbar with fuse block and LEDs)</v>
          </cell>
          <cell r="D803" t="str">
            <v>LYN060102000</v>
          </cell>
          <cell r="F803">
            <v>326.7</v>
          </cell>
          <cell r="G803">
            <v>225.06</v>
          </cell>
          <cell r="H803" t="str">
            <v>1-Victron</v>
          </cell>
          <cell r="I803">
            <v>0.31111111111111112</v>
          </cell>
        </row>
        <row r="804">
          <cell r="A804" t="str">
            <v>B0801</v>
          </cell>
          <cell r="B804" t="str">
            <v xml:space="preserve">Victron Fuse CNN 325A/80V for Lynx shunt </v>
          </cell>
          <cell r="D804" t="str">
            <v>CIP140325000</v>
          </cell>
          <cell r="F804">
            <v>0</v>
          </cell>
          <cell r="G804">
            <v>62.627499999999998</v>
          </cell>
          <cell r="H804" t="str">
            <v>1-Victron</v>
          </cell>
          <cell r="I804">
            <v>0.31111111111111112</v>
          </cell>
        </row>
        <row r="805">
          <cell r="A805" t="str">
            <v>B0802</v>
          </cell>
          <cell r="B805" t="str">
            <v>Victron ESP DC Link Box (in plastic enclosure)</v>
          </cell>
          <cell r="D805" t="str">
            <v>DCL000200000</v>
          </cell>
          <cell r="F805">
            <v>0</v>
          </cell>
          <cell r="G805">
            <v>436.8</v>
          </cell>
          <cell r="H805" t="str">
            <v>1-Victron</v>
          </cell>
          <cell r="I805">
            <v>0.31111111111111112</v>
          </cell>
        </row>
        <row r="806">
          <cell r="A806" t="str">
            <v>B0803</v>
          </cell>
          <cell r="B806" t="str">
            <v>Victron MIDI-fuse 60A/32V (package of 5 pcs)</v>
          </cell>
          <cell r="D806" t="str">
            <v>CIP132060010</v>
          </cell>
          <cell r="F806">
            <v>0</v>
          </cell>
          <cell r="G806">
            <v>13.324999999999999</v>
          </cell>
          <cell r="H806" t="str">
            <v>1-Victron</v>
          </cell>
          <cell r="I806">
            <v>0.31111111111111112</v>
          </cell>
        </row>
        <row r="807">
          <cell r="A807" t="str">
            <v>B0804</v>
          </cell>
          <cell r="B807" t="str">
            <v>Victron MIDI-fuse 80A/32V (package of 5 pcs)</v>
          </cell>
          <cell r="D807" t="str">
            <v>CIP132080010</v>
          </cell>
          <cell r="F807">
            <v>0</v>
          </cell>
          <cell r="G807">
            <v>13.324999999999999</v>
          </cell>
          <cell r="H807" t="str">
            <v>1-Victron</v>
          </cell>
          <cell r="I807">
            <v>0.31111111111111112</v>
          </cell>
        </row>
        <row r="808">
          <cell r="A808" t="str">
            <v>B0805</v>
          </cell>
          <cell r="B808" t="str">
            <v>Victron MIDI-fuse 100A/32V (package of 5 pcs)</v>
          </cell>
          <cell r="D808" t="str">
            <v>CIP132100010</v>
          </cell>
          <cell r="F808">
            <v>0</v>
          </cell>
          <cell r="G808">
            <v>13.324999999999999</v>
          </cell>
          <cell r="H808" t="str">
            <v>1-Victron</v>
          </cell>
          <cell r="I808">
            <v>0.31111111111111112</v>
          </cell>
        </row>
        <row r="809">
          <cell r="A809" t="str">
            <v>B0806</v>
          </cell>
          <cell r="B809" t="str">
            <v>Victron MIDI-fuse 150A/32V (package of 5 pcs)</v>
          </cell>
          <cell r="D809" t="str">
            <v>CIP132150010</v>
          </cell>
          <cell r="F809">
            <v>0</v>
          </cell>
          <cell r="G809">
            <v>13.324999999999999</v>
          </cell>
          <cell r="H809" t="str">
            <v>1-Victron</v>
          </cell>
          <cell r="I809">
            <v>0.31111111111111112</v>
          </cell>
        </row>
        <row r="810">
          <cell r="A810" t="str">
            <v>B0807</v>
          </cell>
          <cell r="B810" t="str">
            <v>Victron MIDI-fuse 200A/32V (package of 5 pcs)</v>
          </cell>
          <cell r="D810" t="str">
            <v>CIP132200010</v>
          </cell>
          <cell r="F810">
            <v>0</v>
          </cell>
          <cell r="G810">
            <v>13.324999999999999</v>
          </cell>
          <cell r="H810" t="str">
            <v>1-Victron</v>
          </cell>
          <cell r="I810">
            <v>0.31111111111111112</v>
          </cell>
        </row>
        <row r="811">
          <cell r="A811" t="str">
            <v>B0808</v>
          </cell>
          <cell r="B811" t="str">
            <v>Victron MIDI-fuse 30A/58V for 48V products (1 pc)</v>
          </cell>
          <cell r="D811" t="str">
            <v>CIP133030010</v>
          </cell>
          <cell r="F811">
            <v>0</v>
          </cell>
          <cell r="G811">
            <v>12.665095238095239</v>
          </cell>
          <cell r="H811" t="str">
            <v>1-Victron</v>
          </cell>
          <cell r="I811">
            <v>0.31111111111111112</v>
          </cell>
        </row>
        <row r="812">
          <cell r="A812" t="str">
            <v>B0809</v>
          </cell>
          <cell r="B812" t="str">
            <v>Victron MIDI-fuse 40A/58V for 48V products (1 pc)</v>
          </cell>
          <cell r="D812" t="str">
            <v>CIP133040010</v>
          </cell>
          <cell r="F812">
            <v>0</v>
          </cell>
          <cell r="G812">
            <v>12.665095238095239</v>
          </cell>
          <cell r="H812" t="str">
            <v>1-Victron</v>
          </cell>
          <cell r="I812">
            <v>0.31111111111111112</v>
          </cell>
        </row>
        <row r="813">
          <cell r="A813" t="str">
            <v>B0810</v>
          </cell>
          <cell r="B813" t="str">
            <v>Victron MIDI-fuse 50A/58V for 48V products (1 pc)</v>
          </cell>
          <cell r="D813" t="str">
            <v>CIP133050010</v>
          </cell>
          <cell r="F813">
            <v>0</v>
          </cell>
          <cell r="G813">
            <v>12.665095238095239</v>
          </cell>
          <cell r="H813" t="str">
            <v>1-Victron</v>
          </cell>
          <cell r="I813">
            <v>0.31111111111111112</v>
          </cell>
        </row>
        <row r="814">
          <cell r="A814" t="str">
            <v>B0811</v>
          </cell>
          <cell r="B814" t="str">
            <v>Victron MIDI-fuse 60A/58V for 48V products (1 pc)</v>
          </cell>
          <cell r="D814" t="str">
            <v>CIP133060010</v>
          </cell>
          <cell r="F814">
            <v>0</v>
          </cell>
          <cell r="G814">
            <v>12.665095238095239</v>
          </cell>
          <cell r="H814" t="str">
            <v>1-Victron</v>
          </cell>
          <cell r="I814">
            <v>0.31111111111111112</v>
          </cell>
        </row>
        <row r="815">
          <cell r="A815" t="str">
            <v>B0812</v>
          </cell>
          <cell r="B815" t="str">
            <v>Victron MIDI-fuse 80A/58V for 48V products (1 pc)</v>
          </cell>
          <cell r="D815" t="str">
            <v>CIP133080010</v>
          </cell>
          <cell r="F815">
            <v>0</v>
          </cell>
          <cell r="G815">
            <v>12.665095238095239</v>
          </cell>
          <cell r="H815" t="str">
            <v>1-Victron</v>
          </cell>
          <cell r="I815">
            <v>0.31111111111111112</v>
          </cell>
        </row>
        <row r="816">
          <cell r="A816" t="str">
            <v>B0813</v>
          </cell>
          <cell r="B816" t="str">
            <v>Victron MIDI-fuse 100A/58V for 48V products (1 pc)</v>
          </cell>
          <cell r="D816" t="str">
            <v>CIP133100010</v>
          </cell>
          <cell r="F816">
            <v>0</v>
          </cell>
          <cell r="G816">
            <v>12.665095238095239</v>
          </cell>
          <cell r="H816" t="str">
            <v>1-Victron</v>
          </cell>
          <cell r="I816">
            <v>0.31111111111111112</v>
          </cell>
        </row>
        <row r="817">
          <cell r="A817" t="str">
            <v>B0814</v>
          </cell>
          <cell r="B817" t="str">
            <v>Victron MEGA-fuse 60A/32V (package of 5 pcs)</v>
          </cell>
          <cell r="D817" t="str">
            <v>CIP136060010</v>
          </cell>
          <cell r="F817">
            <v>0</v>
          </cell>
          <cell r="G817">
            <v>16.649904761904757</v>
          </cell>
          <cell r="H817" t="str">
            <v>1-Victron</v>
          </cell>
          <cell r="I817">
            <v>0.31111111111111112</v>
          </cell>
        </row>
        <row r="818">
          <cell r="A818" t="str">
            <v>B0815</v>
          </cell>
          <cell r="B818" t="str">
            <v>Victron MEGA-fuse 80A/32V (package of 5 pcs)</v>
          </cell>
          <cell r="D818" t="str">
            <v>CIP136080010</v>
          </cell>
          <cell r="F818">
            <v>0</v>
          </cell>
          <cell r="G818">
            <v>16.649904761904757</v>
          </cell>
          <cell r="H818" t="str">
            <v>1-Victron</v>
          </cell>
          <cell r="I818">
            <v>0.31111111111111112</v>
          </cell>
        </row>
        <row r="819">
          <cell r="A819" t="str">
            <v>B0816</v>
          </cell>
          <cell r="B819" t="str">
            <v>Victron MEGA-fuse 100A/32V (package of 5 pcs)</v>
          </cell>
          <cell r="D819" t="str">
            <v>CIP136100010</v>
          </cell>
          <cell r="F819">
            <v>0</v>
          </cell>
          <cell r="G819">
            <v>16.649904761904757</v>
          </cell>
          <cell r="H819" t="str">
            <v>1-Victron</v>
          </cell>
          <cell r="I819">
            <v>0.31111111111111112</v>
          </cell>
        </row>
        <row r="820">
          <cell r="A820" t="str">
            <v>B0817</v>
          </cell>
          <cell r="B820" t="str">
            <v>Victron MEGA-fuse 125A/32V (package of 5 pcs)</v>
          </cell>
          <cell r="D820" t="str">
            <v>CIP136125010</v>
          </cell>
          <cell r="F820">
            <v>0</v>
          </cell>
          <cell r="G820">
            <v>16.649904761904757</v>
          </cell>
          <cell r="H820" t="str">
            <v>1-Victron</v>
          </cell>
          <cell r="I820">
            <v>0.31111111111111112</v>
          </cell>
        </row>
        <row r="821">
          <cell r="A821" t="str">
            <v>B0818</v>
          </cell>
          <cell r="B821" t="str">
            <v>Victron MEGA-fuse 150A/32V (package of 5 pcs)</v>
          </cell>
          <cell r="D821" t="str">
            <v>CIP136150010</v>
          </cell>
          <cell r="F821">
            <v>0</v>
          </cell>
          <cell r="G821">
            <v>16.649904761904757</v>
          </cell>
          <cell r="H821" t="str">
            <v>1-Victron</v>
          </cell>
          <cell r="I821">
            <v>0.31111111111111112</v>
          </cell>
        </row>
        <row r="822">
          <cell r="A822" t="str">
            <v>B0819</v>
          </cell>
          <cell r="B822" t="str">
            <v>Victron MEGA-fuse 175A/32V (package of 5 pcs)</v>
          </cell>
          <cell r="D822" t="str">
            <v>CIP136175010</v>
          </cell>
          <cell r="F822">
            <v>0</v>
          </cell>
          <cell r="G822">
            <v>16.649904761904757</v>
          </cell>
          <cell r="H822" t="str">
            <v>1-Victron</v>
          </cell>
          <cell r="I822">
            <v>0.31111111111111112</v>
          </cell>
        </row>
        <row r="823">
          <cell r="A823" t="str">
            <v>B0820</v>
          </cell>
          <cell r="B823" t="str">
            <v>Victron MEGA-fuse 200A/32V (package of 5 pcs)</v>
          </cell>
          <cell r="D823" t="str">
            <v>CIP136200010</v>
          </cell>
          <cell r="F823">
            <v>0</v>
          </cell>
          <cell r="G823">
            <v>16.649904761904757</v>
          </cell>
          <cell r="H823" t="str">
            <v>1-Victron</v>
          </cell>
          <cell r="I823">
            <v>0.31111111111111112</v>
          </cell>
        </row>
        <row r="824">
          <cell r="A824" t="str">
            <v>B0821</v>
          </cell>
          <cell r="B824" t="str">
            <v>Victron MEGA-fuse 225A/32V (package of 5 pcs)</v>
          </cell>
          <cell r="D824" t="str">
            <v>CIP136225010</v>
          </cell>
          <cell r="F824">
            <v>0</v>
          </cell>
          <cell r="G824">
            <v>16.649904761904757</v>
          </cell>
          <cell r="H824" t="str">
            <v>1-Victron</v>
          </cell>
          <cell r="I824">
            <v>0.31111111111111112</v>
          </cell>
        </row>
        <row r="825">
          <cell r="A825" t="str">
            <v>B0822</v>
          </cell>
          <cell r="B825" t="str">
            <v>Victron MEGA-fuse 250A/32V (package of 5 pcs)</v>
          </cell>
          <cell r="D825" t="str">
            <v>CIP136250010</v>
          </cell>
          <cell r="F825">
            <v>0</v>
          </cell>
          <cell r="G825">
            <v>16.649904761904757</v>
          </cell>
          <cell r="H825" t="str">
            <v>1-Victron</v>
          </cell>
          <cell r="I825">
            <v>0.31111111111111112</v>
          </cell>
        </row>
        <row r="826">
          <cell r="A826" t="str">
            <v>B0823</v>
          </cell>
          <cell r="B826" t="str">
            <v>Victron MEGA-fuse 300A/32V (package of 5 pcs)</v>
          </cell>
          <cell r="D826" t="str">
            <v>CIP136300010</v>
          </cell>
          <cell r="F826">
            <v>0</v>
          </cell>
          <cell r="G826">
            <v>16.649904761904757</v>
          </cell>
          <cell r="H826" t="str">
            <v>1-Victron</v>
          </cell>
          <cell r="I826">
            <v>0.31111111111111112</v>
          </cell>
        </row>
        <row r="827">
          <cell r="A827" t="str">
            <v>B0824</v>
          </cell>
          <cell r="B827" t="str">
            <v>Victron MEGA-fuse 400A/32V (package of 5 pcs)</v>
          </cell>
          <cell r="D827" t="str">
            <v>CIP136400010</v>
          </cell>
          <cell r="F827">
            <v>0</v>
          </cell>
          <cell r="G827">
            <v>26.65</v>
          </cell>
          <cell r="H827" t="str">
            <v>1-Victron</v>
          </cell>
          <cell r="I827">
            <v>0.31111111111111112</v>
          </cell>
        </row>
        <row r="828">
          <cell r="A828" t="str">
            <v>B0825</v>
          </cell>
          <cell r="B828" t="str">
            <v>Victron MEGA-fuse 500A/32V (package of 5 pcs)</v>
          </cell>
          <cell r="D828" t="str">
            <v>CIP136500010</v>
          </cell>
          <cell r="F828">
            <v>0</v>
          </cell>
          <cell r="G828">
            <v>27.982499999999998</v>
          </cell>
          <cell r="H828" t="str">
            <v>1-Victron</v>
          </cell>
          <cell r="I828">
            <v>0.31111111111111112</v>
          </cell>
        </row>
        <row r="829">
          <cell r="A829" t="str">
            <v>B0826</v>
          </cell>
          <cell r="B829" t="str">
            <v>Victron MEGA-fuse 125A/58V for 48V products (1 pc)</v>
          </cell>
          <cell r="D829" t="str">
            <v>CIP137125010</v>
          </cell>
          <cell r="F829">
            <v>0</v>
          </cell>
          <cell r="G829">
            <v>33.3125</v>
          </cell>
          <cell r="H829" t="str">
            <v>1-Victron</v>
          </cell>
          <cell r="I829">
            <v>0.31111111111111112</v>
          </cell>
        </row>
        <row r="830">
          <cell r="A830" t="str">
            <v>B0827</v>
          </cell>
          <cell r="B830" t="str">
            <v>Victron MEGA-fuse 200A/58V for 48V products (1 pc)</v>
          </cell>
          <cell r="D830" t="str">
            <v>CIP137200010</v>
          </cell>
          <cell r="F830">
            <v>0</v>
          </cell>
          <cell r="G830">
            <v>33.3125</v>
          </cell>
          <cell r="H830" t="str">
            <v>1-Victron</v>
          </cell>
          <cell r="I830">
            <v>0.31111111111111112</v>
          </cell>
        </row>
        <row r="831">
          <cell r="A831" t="str">
            <v>B0828</v>
          </cell>
          <cell r="B831" t="str">
            <v>Victron MEGA-fuse 250A/58V for 48V products (1 pc)</v>
          </cell>
          <cell r="D831" t="str">
            <v>CIP137250010</v>
          </cell>
          <cell r="F831">
            <v>0</v>
          </cell>
          <cell r="G831">
            <v>33.3125</v>
          </cell>
          <cell r="H831" t="str">
            <v>1-Victron</v>
          </cell>
          <cell r="I831">
            <v>0.31111111111111112</v>
          </cell>
        </row>
        <row r="832">
          <cell r="A832" t="str">
            <v>B0829</v>
          </cell>
          <cell r="B832" t="str">
            <v>Victron MEGA-fuse 300A/58V for 48V products (1 pc)</v>
          </cell>
          <cell r="D832" t="str">
            <v>CIP137300010</v>
          </cell>
          <cell r="F832">
            <v>0</v>
          </cell>
          <cell r="G832">
            <v>33.3125</v>
          </cell>
          <cell r="H832" t="str">
            <v>1-Victron</v>
          </cell>
          <cell r="I832">
            <v>0.31111111111111112</v>
          </cell>
        </row>
        <row r="833">
          <cell r="A833" t="str">
            <v>B0830</v>
          </cell>
          <cell r="B833" t="str">
            <v>Victron Fuse holder for MEGA-fuse</v>
          </cell>
          <cell r="D833" t="str">
            <v>CIP000100001</v>
          </cell>
          <cell r="F833">
            <v>0</v>
          </cell>
          <cell r="G833">
            <v>13.324999999999999</v>
          </cell>
          <cell r="H833" t="str">
            <v>1-Victron</v>
          </cell>
          <cell r="I833">
            <v>0.31111111111111112</v>
          </cell>
        </row>
        <row r="834">
          <cell r="A834" t="str">
            <v>B0831</v>
          </cell>
          <cell r="B834" t="str">
            <v>Victron Modular fuse holder for Mega-fuse</v>
          </cell>
          <cell r="D834" t="str">
            <v>CIP100200100</v>
          </cell>
          <cell r="F834">
            <v>0</v>
          </cell>
          <cell r="G834">
            <v>40.634904761904764</v>
          </cell>
          <cell r="H834" t="str">
            <v>1-Victron</v>
          </cell>
          <cell r="I834">
            <v>0.31111111111111112</v>
          </cell>
        </row>
        <row r="835">
          <cell r="A835" t="str">
            <v>B0832</v>
          </cell>
          <cell r="B835" t="str">
            <v>Victron Busbar to connect 5 CIP100200100 (500 A)</v>
          </cell>
          <cell r="D835" t="str">
            <v>CIP100400060</v>
          </cell>
          <cell r="F835">
            <v>0</v>
          </cell>
          <cell r="G835">
            <v>43.972499999999997</v>
          </cell>
          <cell r="H835" t="str">
            <v>1-Victron</v>
          </cell>
          <cell r="I835">
            <v>0.31111111111111112</v>
          </cell>
        </row>
        <row r="836">
          <cell r="A836" t="str">
            <v>B0833</v>
          </cell>
          <cell r="B836" t="str">
            <v>Victron Busbar to connect 6 CIP100200100 (1500 A)</v>
          </cell>
          <cell r="D836" t="str">
            <v>CIP100400070</v>
          </cell>
          <cell r="F836">
            <v>0</v>
          </cell>
          <cell r="G836">
            <v>50.634999999999991</v>
          </cell>
          <cell r="H836" t="str">
            <v>1-Victron</v>
          </cell>
          <cell r="I836">
            <v>0.31111111111111112</v>
          </cell>
        </row>
        <row r="837">
          <cell r="A837" t="str">
            <v>B0834</v>
          </cell>
          <cell r="B837" t="str">
            <v>Victron ANL-fuse 400A/80V for 48V products (1 pc)</v>
          </cell>
          <cell r="D837" t="str">
            <v>CIP142400000</v>
          </cell>
          <cell r="F837">
            <v>0</v>
          </cell>
          <cell r="G837">
            <v>11.319904761904763</v>
          </cell>
          <cell r="H837" t="str">
            <v>1-Victron</v>
          </cell>
          <cell r="I837">
            <v>0.31111111111111112</v>
          </cell>
        </row>
        <row r="838">
          <cell r="A838" t="str">
            <v>B0835</v>
          </cell>
          <cell r="B838" t="str">
            <v>Victron ANL-fuse 500A/80V for 48V products (1 pc)</v>
          </cell>
          <cell r="D838" t="str">
            <v>CIP142500000</v>
          </cell>
          <cell r="F838">
            <v>0</v>
          </cell>
          <cell r="G838">
            <v>11.319904761904763</v>
          </cell>
          <cell r="H838" t="str">
            <v>1-Victron</v>
          </cell>
          <cell r="I838">
            <v>0.31111111111111112</v>
          </cell>
        </row>
        <row r="839">
          <cell r="A839" t="str">
            <v>B0836</v>
          </cell>
          <cell r="B839" t="str">
            <v>Victron Fuse holder for ANL-fuse</v>
          </cell>
          <cell r="D839" t="str">
            <v>CIP106100000</v>
          </cell>
          <cell r="F839">
            <v>0</v>
          </cell>
          <cell r="G839">
            <v>11.319904761904763</v>
          </cell>
          <cell r="H839" t="str">
            <v>1-Victron</v>
          </cell>
          <cell r="I839">
            <v>0.31111111111111112</v>
          </cell>
        </row>
        <row r="840">
          <cell r="A840" t="str">
            <v>B0837</v>
          </cell>
          <cell r="B840" t="str">
            <v xml:space="preserve">Victron Fuse CNN 325A/80V for Lynx shunt </v>
          </cell>
          <cell r="D840" t="str">
            <v>CIP140325000</v>
          </cell>
          <cell r="F840">
            <v>0</v>
          </cell>
          <cell r="G840">
            <v>62.627499999999998</v>
          </cell>
          <cell r="H840" t="str">
            <v>1-Victron</v>
          </cell>
          <cell r="I840">
            <v>0.31111111111111112</v>
          </cell>
        </row>
        <row r="841">
          <cell r="A841" t="str">
            <v>B0838</v>
          </cell>
          <cell r="B841" t="str">
            <v>Victron Octo GX</v>
          </cell>
          <cell r="D841" t="str">
            <v>BPP910200100</v>
          </cell>
          <cell r="F841">
            <v>0</v>
          </cell>
          <cell r="G841">
            <v>339.9561904761905</v>
          </cell>
          <cell r="H841" t="str">
            <v>1-Victron</v>
          </cell>
          <cell r="I841">
            <v>0.31111111111111112</v>
          </cell>
        </row>
        <row r="842">
          <cell r="A842" t="str">
            <v>B0839</v>
          </cell>
          <cell r="B842" t="str">
            <v>Victron Cerbo GX</v>
          </cell>
          <cell r="D842" t="str">
            <v>BPP900450100</v>
          </cell>
          <cell r="F842">
            <v>447.3</v>
          </cell>
          <cell r="G842">
            <v>308.14</v>
          </cell>
          <cell r="H842" t="str">
            <v>1-Victron</v>
          </cell>
          <cell r="I842">
            <v>0.31111111111111112</v>
          </cell>
        </row>
        <row r="843">
          <cell r="A843" t="str">
            <v>B0840</v>
          </cell>
          <cell r="B843" t="str">
            <v>Victron GX Touch 50</v>
          </cell>
          <cell r="D843" t="str">
            <v>BPP900455050</v>
          </cell>
          <cell r="F843">
            <v>340.2</v>
          </cell>
          <cell r="G843">
            <v>234.35999999999999</v>
          </cell>
          <cell r="H843" t="str">
            <v>1-Victron</v>
          </cell>
          <cell r="I843">
            <v>0.31111111111111112</v>
          </cell>
        </row>
        <row r="844">
          <cell r="A844" t="str">
            <v>B0841</v>
          </cell>
          <cell r="B844" t="str">
            <v>Victron DIN35 Adapter small</v>
          </cell>
          <cell r="D844" t="str">
            <v>ADA500100100</v>
          </cell>
          <cell r="F844">
            <v>0</v>
          </cell>
          <cell r="G844">
            <v>0</v>
          </cell>
          <cell r="H844" t="str">
            <v>1-Victron</v>
          </cell>
          <cell r="I844">
            <v>0.31111111111111112</v>
          </cell>
        </row>
        <row r="845">
          <cell r="A845" t="str">
            <v>B0842</v>
          </cell>
          <cell r="B845" t="str">
            <v>Victron CANvu GX</v>
          </cell>
          <cell r="D845" t="str">
            <v>BPP900700100</v>
          </cell>
          <cell r="F845">
            <v>0</v>
          </cell>
          <cell r="G845">
            <v>780</v>
          </cell>
          <cell r="H845" t="str">
            <v>1-Victron</v>
          </cell>
          <cell r="I845">
            <v>0.31111111111111112</v>
          </cell>
        </row>
        <row r="846">
          <cell r="A846" t="str">
            <v>B0843</v>
          </cell>
          <cell r="B846" t="str">
            <v>Victron CANvu GX IO Extender and wiring kit</v>
          </cell>
          <cell r="D846" t="str">
            <v>BPP900800100</v>
          </cell>
          <cell r="F846">
            <v>0</v>
          </cell>
          <cell r="G846">
            <v>187.19999999999996</v>
          </cell>
          <cell r="H846" t="str">
            <v>1-Victron</v>
          </cell>
          <cell r="I846">
            <v>0.31111111111111112</v>
          </cell>
        </row>
        <row r="847">
          <cell r="A847" t="str">
            <v>B0844</v>
          </cell>
          <cell r="B847" t="str">
            <v>Victron CCGX WiFi module simple</v>
          </cell>
          <cell r="D847" t="str">
            <v>BPP900100200</v>
          </cell>
          <cell r="F847">
            <v>34.200000000000003</v>
          </cell>
          <cell r="G847">
            <v>23.56</v>
          </cell>
          <cell r="H847" t="str">
            <v>1-Victron</v>
          </cell>
          <cell r="I847">
            <v>0.31111111111111112</v>
          </cell>
        </row>
        <row r="848">
          <cell r="A848" t="str">
            <v>B0845</v>
          </cell>
          <cell r="B848" t="str">
            <v>Victron CCGX WiFi module long range</v>
          </cell>
          <cell r="D848" t="str">
            <v>BPP900200300</v>
          </cell>
          <cell r="F848">
            <v>0</v>
          </cell>
          <cell r="G848">
            <v>0</v>
          </cell>
          <cell r="H848" t="str">
            <v>1-Victron</v>
          </cell>
          <cell r="I848">
            <v>0</v>
          </cell>
        </row>
        <row r="849">
          <cell r="A849" t="str">
            <v>B0846</v>
          </cell>
          <cell r="B849" t="str">
            <v>Victron VE.Net Panel</v>
          </cell>
          <cell r="D849" t="str">
            <v>VPN000100000</v>
          </cell>
          <cell r="F849">
            <v>0</v>
          </cell>
          <cell r="G849">
            <v>201.5</v>
          </cell>
          <cell r="H849" t="str">
            <v>1-Victron</v>
          </cell>
          <cell r="I849">
            <v>0.31111111111111112</v>
          </cell>
        </row>
        <row r="850">
          <cell r="A850" t="str">
            <v>B0847</v>
          </cell>
          <cell r="B850" t="str">
            <v xml:space="preserve">Victron VE.Net GMDSS Panel </v>
          </cell>
          <cell r="D850" t="str">
            <v>VPN000200000</v>
          </cell>
          <cell r="F850">
            <v>0</v>
          </cell>
          <cell r="G850">
            <v>201.5</v>
          </cell>
          <cell r="H850" t="str">
            <v>1-Victron</v>
          </cell>
          <cell r="I850">
            <v>0.31111111111111112</v>
          </cell>
        </row>
        <row r="851">
          <cell r="A851" t="str">
            <v>B0848</v>
          </cell>
          <cell r="B851" t="str">
            <v xml:space="preserve">Victron VE.Net Blue Power Panel 2 </v>
          </cell>
          <cell r="D851" t="str">
            <v>BPP000200010</v>
          </cell>
          <cell r="F851">
            <v>0</v>
          </cell>
          <cell r="G851">
            <v>212.55619047619047</v>
          </cell>
          <cell r="H851" t="str">
            <v>1-Victron</v>
          </cell>
          <cell r="I851">
            <v>0.31111111111111112</v>
          </cell>
        </row>
        <row r="852">
          <cell r="A852" t="str">
            <v>B0849</v>
          </cell>
          <cell r="B852" t="str">
            <v xml:space="preserve">Victron VE.Net Blue Power Control GX    </v>
          </cell>
          <cell r="D852" t="str">
            <v>BPP000200110R</v>
          </cell>
          <cell r="F852">
            <v>0</v>
          </cell>
          <cell r="G852">
            <v>196.9561904761905</v>
          </cell>
          <cell r="H852" t="str">
            <v>1-Victron</v>
          </cell>
          <cell r="I852">
            <v>0.31111111111111112</v>
          </cell>
        </row>
        <row r="853">
          <cell r="A853" t="str">
            <v>B0850</v>
          </cell>
          <cell r="B853" t="str">
            <v>Victron VE.Net Battery Controller (VBC) 12/24/48V</v>
          </cell>
          <cell r="D853" t="str">
            <v>VBC000300000R</v>
          </cell>
          <cell r="F853">
            <v>0</v>
          </cell>
          <cell r="G853">
            <v>163.80000000000001</v>
          </cell>
          <cell r="H853" t="str">
            <v>1-Victron</v>
          </cell>
          <cell r="I853">
            <v>0.31111111111111112</v>
          </cell>
        </row>
        <row r="854">
          <cell r="A854" t="str">
            <v>B0851</v>
          </cell>
          <cell r="B854" t="str">
            <v>Victron Shunt 500A/50mV</v>
          </cell>
          <cell r="D854" t="str">
            <v>SHU500050100</v>
          </cell>
          <cell r="F854">
            <v>0</v>
          </cell>
          <cell r="G854">
            <v>36.4</v>
          </cell>
          <cell r="H854" t="str">
            <v>1-Victron</v>
          </cell>
          <cell r="I854">
            <v>0.31111111111111112</v>
          </cell>
        </row>
        <row r="855">
          <cell r="A855" t="str">
            <v>B0852</v>
          </cell>
          <cell r="B855" t="str">
            <v>Victron Shunt 1000A/50mV</v>
          </cell>
          <cell r="D855" t="str">
            <v>SHU102050200</v>
          </cell>
          <cell r="F855">
            <v>0</v>
          </cell>
          <cell r="G855">
            <v>118.95619047619046</v>
          </cell>
          <cell r="H855" t="str">
            <v>1-Victron</v>
          </cell>
          <cell r="I855">
            <v>0.31111111111111112</v>
          </cell>
        </row>
        <row r="856">
          <cell r="A856" t="str">
            <v>B0853</v>
          </cell>
          <cell r="B856" t="str">
            <v>Victron Shunt 2000A/50mV</v>
          </cell>
          <cell r="D856" t="str">
            <v>SHU202050200</v>
          </cell>
          <cell r="F856">
            <v>0</v>
          </cell>
          <cell r="G856">
            <v>187.19999999999996</v>
          </cell>
          <cell r="H856" t="str">
            <v>1-Victron</v>
          </cell>
          <cell r="I856">
            <v>0.31111111111111112</v>
          </cell>
        </row>
        <row r="857">
          <cell r="A857" t="str">
            <v>B0854</v>
          </cell>
          <cell r="B857" t="str">
            <v>Victron Shunt 6000A/50mV</v>
          </cell>
          <cell r="D857" t="str">
            <v>SHU602050200</v>
          </cell>
          <cell r="F857">
            <v>0</v>
          </cell>
          <cell r="G857">
            <v>328.24380952380949</v>
          </cell>
          <cell r="H857" t="str">
            <v>1-Victron</v>
          </cell>
          <cell r="I857">
            <v>0.31111111111111112</v>
          </cell>
        </row>
        <row r="858">
          <cell r="A858" t="str">
            <v>B0855</v>
          </cell>
          <cell r="B858" t="str">
            <v>Victron VE.Net Tank Monitor (Resistive)</v>
          </cell>
          <cell r="D858" t="str">
            <v>VRS000100010</v>
          </cell>
          <cell r="F858">
            <v>0</v>
          </cell>
          <cell r="G858">
            <v>148.84380952380954</v>
          </cell>
          <cell r="H858" t="str">
            <v>1-Victron</v>
          </cell>
          <cell r="I858">
            <v>0.31111111111111112</v>
          </cell>
        </row>
        <row r="859">
          <cell r="A859" t="str">
            <v>B0856</v>
          </cell>
          <cell r="B859" t="str">
            <v>Victron VE.Can resistive tank sender adapter</v>
          </cell>
          <cell r="D859" t="str">
            <v>BPP900600100</v>
          </cell>
          <cell r="F859">
            <v>0</v>
          </cell>
          <cell r="G859">
            <v>427.7</v>
          </cell>
          <cell r="H859" t="str">
            <v>1-Victron</v>
          </cell>
          <cell r="I859">
            <v>0.31111111111111112</v>
          </cell>
        </row>
        <row r="860">
          <cell r="A860" t="str">
            <v>B0857</v>
          </cell>
          <cell r="B860" t="str">
            <v>Victron VE.Can Power Cable for BPP900600100</v>
          </cell>
          <cell r="D860" t="str">
            <v>ASS030690000</v>
          </cell>
          <cell r="F860">
            <v>0</v>
          </cell>
          <cell r="G860">
            <v>43.55619047619048</v>
          </cell>
          <cell r="H860" t="str">
            <v>1-Victron</v>
          </cell>
          <cell r="I860">
            <v>0.31111111111111112</v>
          </cell>
        </row>
        <row r="861">
          <cell r="A861" t="str">
            <v>B0858</v>
          </cell>
          <cell r="B861" t="str">
            <v>Victron Digital Multi Control 200/200A GX (90º RJ45)</v>
          </cell>
          <cell r="D861" t="str">
            <v>DMC000200010R</v>
          </cell>
          <cell r="F861">
            <v>0</v>
          </cell>
          <cell r="G861">
            <v>145.6</v>
          </cell>
          <cell r="H861" t="str">
            <v>1-Victron</v>
          </cell>
          <cell r="I861">
            <v>0.31111111111111112</v>
          </cell>
        </row>
        <row r="862">
          <cell r="A862" t="str">
            <v>B0859</v>
          </cell>
          <cell r="B862" t="str">
            <v xml:space="preserve">Victron Phoenix Inverter Control </v>
          </cell>
          <cell r="D862" t="str">
            <v>REC030001210</v>
          </cell>
          <cell r="F862">
            <v>0</v>
          </cell>
          <cell r="G862">
            <v>92.956190476190486</v>
          </cell>
          <cell r="H862" t="str">
            <v>1-Victron</v>
          </cell>
          <cell r="I862">
            <v>0.31111111111111112</v>
          </cell>
        </row>
        <row r="863">
          <cell r="A863" t="str">
            <v>B0860</v>
          </cell>
          <cell r="B863" t="str">
            <v xml:space="preserve">Victron Phoenix Charger Control </v>
          </cell>
          <cell r="D863" t="str">
            <v>REC010001110</v>
          </cell>
          <cell r="F863">
            <v>0</v>
          </cell>
          <cell r="G863">
            <v>98.156190476190488</v>
          </cell>
          <cell r="H863" t="str">
            <v>1-Victron</v>
          </cell>
          <cell r="I863">
            <v>0.31111111111111112</v>
          </cell>
        </row>
        <row r="864">
          <cell r="A864" t="str">
            <v>B0861</v>
          </cell>
          <cell r="B864" t="str">
            <v>Victron Phoenix Inverter Control VE.Direct</v>
          </cell>
          <cell r="D864" t="str">
            <v>REC040010210R</v>
          </cell>
          <cell r="F864">
            <v>0</v>
          </cell>
          <cell r="G864">
            <v>27.3</v>
          </cell>
          <cell r="H864" t="str">
            <v>1-Victron</v>
          </cell>
          <cell r="I864">
            <v>0.31111111111111112</v>
          </cell>
        </row>
        <row r="865">
          <cell r="A865" t="str">
            <v>B0862</v>
          </cell>
          <cell r="B865" t="str">
            <v>Victron Skylla-i Control GX (90º RJ45)</v>
          </cell>
          <cell r="D865" t="str">
            <v>REC000300010R</v>
          </cell>
          <cell r="F865">
            <v>0</v>
          </cell>
          <cell r="G865">
            <v>145.6</v>
          </cell>
          <cell r="H865" t="str">
            <v>1-Victron</v>
          </cell>
          <cell r="I865">
            <v>0.31111111111111112</v>
          </cell>
        </row>
        <row r="866">
          <cell r="A866" t="str">
            <v>B0863</v>
          </cell>
          <cell r="B866" t="str">
            <v xml:space="preserve">Victron Charger Switch    </v>
          </cell>
          <cell r="D866" t="str">
            <v>SDRPCSV</v>
          </cell>
          <cell r="F866">
            <v>0</v>
          </cell>
          <cell r="G866">
            <v>120.24380952380953</v>
          </cell>
          <cell r="H866" t="str">
            <v>1-Victron</v>
          </cell>
          <cell r="I866">
            <v>0.31111111111111112</v>
          </cell>
        </row>
        <row r="867">
          <cell r="A867" t="str">
            <v>B0864</v>
          </cell>
          <cell r="B867" t="str">
            <v xml:space="preserve">Victron Skylla Control  </v>
          </cell>
          <cell r="D867" t="str">
            <v>SDRPSKC</v>
          </cell>
          <cell r="F867">
            <v>0</v>
          </cell>
          <cell r="G867">
            <v>163.80000000000001</v>
          </cell>
          <cell r="H867" t="str">
            <v>1-Victron</v>
          </cell>
          <cell r="I867">
            <v>0.31111111111111112</v>
          </cell>
        </row>
        <row r="868">
          <cell r="A868" t="str">
            <v>B0865</v>
          </cell>
          <cell r="B868" t="str">
            <v>Victron Battery Alarm GX</v>
          </cell>
          <cell r="D868" t="str">
            <v>BPA000100010R</v>
          </cell>
          <cell r="F868">
            <v>0</v>
          </cell>
          <cell r="G868">
            <v>76.7</v>
          </cell>
          <cell r="H868" t="str">
            <v>1-Victron</v>
          </cell>
          <cell r="I868">
            <v>0.31111111111111112</v>
          </cell>
        </row>
        <row r="869">
          <cell r="A869" t="str">
            <v>B0866</v>
          </cell>
          <cell r="B869" t="str">
            <v xml:space="preserve">Goodwe NS Series 1.5KW </v>
          </cell>
          <cell r="D869" t="str">
            <v>GW1500-NS</v>
          </cell>
          <cell r="F869">
            <v>661.76470588235304</v>
          </cell>
          <cell r="G869">
            <v>450</v>
          </cell>
          <cell r="H869" t="str">
            <v>2-Krannich</v>
          </cell>
          <cell r="I869">
            <v>0.32</v>
          </cell>
        </row>
        <row r="870">
          <cell r="A870" t="str">
            <v>B0867</v>
          </cell>
          <cell r="B870" t="str">
            <v>Victron Outdoor 2G and 3G GSM Antenna for GX GSM</v>
          </cell>
          <cell r="D870" t="str">
            <v>GSM900100100</v>
          </cell>
          <cell r="F870">
            <v>0</v>
          </cell>
          <cell r="G870">
            <v>43.55619047619048</v>
          </cell>
          <cell r="H870" t="str">
            <v>1-Victron</v>
          </cell>
          <cell r="I870">
            <v>0.31111111111111112</v>
          </cell>
        </row>
        <row r="871">
          <cell r="A871" t="str">
            <v>B0868</v>
          </cell>
          <cell r="B871" t="str">
            <v>Victron Active GPS Antenna for GX GSM</v>
          </cell>
          <cell r="D871" t="str">
            <v>GSM900200100</v>
          </cell>
          <cell r="F871">
            <v>0</v>
          </cell>
          <cell r="G871">
            <v>43.55619047619048</v>
          </cell>
          <cell r="H871" t="str">
            <v>1-Victron</v>
          </cell>
          <cell r="I871">
            <v>0.31111111111111112</v>
          </cell>
        </row>
        <row r="872">
          <cell r="A872" t="str">
            <v>B0869</v>
          </cell>
          <cell r="B872" t="str">
            <v>Goodwe NS Series 2.0KW</v>
          </cell>
          <cell r="D872" t="str">
            <v>GW2000-NS</v>
          </cell>
          <cell r="F872">
            <v>698.52941176470597</v>
          </cell>
          <cell r="G872">
            <v>475</v>
          </cell>
          <cell r="H872" t="str">
            <v>2-Krannich</v>
          </cell>
          <cell r="I872">
            <v>0.32</v>
          </cell>
        </row>
        <row r="873">
          <cell r="A873" t="str">
            <v>B0870</v>
          </cell>
          <cell r="B873" t="str">
            <v>Victron Wall mount enclosure for 65 x 120 mm GX-panels</v>
          </cell>
          <cell r="D873" t="str">
            <v>ASS050300010</v>
          </cell>
          <cell r="F873">
            <v>0</v>
          </cell>
          <cell r="G873">
            <v>28.6</v>
          </cell>
          <cell r="H873" t="str">
            <v>1-Victron</v>
          </cell>
          <cell r="I873">
            <v>0.31111111111111112</v>
          </cell>
        </row>
        <row r="874">
          <cell r="A874" t="str">
            <v>B0871</v>
          </cell>
          <cell r="B874" t="str">
            <v>Victron Wall mount enclosure for BMV or MPPT Control</v>
          </cell>
          <cell r="D874" t="str">
            <v>ASS050500000</v>
          </cell>
          <cell r="F874">
            <v>0</v>
          </cell>
          <cell r="G874">
            <v>29.243809523809521</v>
          </cell>
          <cell r="H874" t="str">
            <v>1-Victron</v>
          </cell>
          <cell r="I874">
            <v>0.31111111111111112</v>
          </cell>
        </row>
        <row r="875">
          <cell r="A875" t="str">
            <v>B0872</v>
          </cell>
          <cell r="B875" t="str">
            <v>Victron Wall mount enclosure for Color Control GX</v>
          </cell>
          <cell r="D875" t="str">
            <v>ASS050600000</v>
          </cell>
          <cell r="F875">
            <v>0</v>
          </cell>
          <cell r="G875">
            <v>54.6</v>
          </cell>
          <cell r="H875" t="str">
            <v>1-Victron</v>
          </cell>
          <cell r="I875">
            <v>0.31111111111111112</v>
          </cell>
        </row>
        <row r="876">
          <cell r="A876" t="str">
            <v>B0873</v>
          </cell>
          <cell r="B876" t="str">
            <v>Victron USB extension cable 0.3m one side right angle</v>
          </cell>
          <cell r="D876" t="str">
            <v>ASS060000100</v>
          </cell>
          <cell r="F876">
            <v>0</v>
          </cell>
          <cell r="G876">
            <v>8.4438095238095237</v>
          </cell>
          <cell r="H876" t="str">
            <v>1-Victron</v>
          </cell>
          <cell r="I876">
            <v>0.31111111111111112</v>
          </cell>
        </row>
        <row r="877">
          <cell r="A877" t="str">
            <v>B0874</v>
          </cell>
          <cell r="B877" t="str">
            <v>Victron RJ12 UTP Cable 0.3 m</v>
          </cell>
          <cell r="D877" t="str">
            <v>ASS030066003</v>
          </cell>
          <cell r="F877">
            <v>12.6</v>
          </cell>
          <cell r="G877">
            <v>8.68</v>
          </cell>
          <cell r="H877" t="str">
            <v>1-Victron</v>
          </cell>
          <cell r="I877">
            <v>0.31111111111111112</v>
          </cell>
        </row>
        <row r="878">
          <cell r="A878" t="str">
            <v>B0875</v>
          </cell>
          <cell r="B878" t="str">
            <v>Victron RJ12 UTP Cable 0.9 m</v>
          </cell>
          <cell r="D878" t="str">
            <v>ASS030066009</v>
          </cell>
          <cell r="F878">
            <v>12.6</v>
          </cell>
          <cell r="G878">
            <v>8.68</v>
          </cell>
          <cell r="H878" t="str">
            <v>1-Victron</v>
          </cell>
          <cell r="I878">
            <v>0.31111111111111112</v>
          </cell>
        </row>
        <row r="879">
          <cell r="A879" t="str">
            <v>B0876</v>
          </cell>
          <cell r="B879" t="str">
            <v>Goodwe NS Series 2.5KW</v>
          </cell>
          <cell r="D879" t="str">
            <v>GW2500-NS</v>
          </cell>
          <cell r="F879">
            <v>733.82352941176475</v>
          </cell>
          <cell r="G879">
            <v>499</v>
          </cell>
          <cell r="H879" t="str">
            <v>2-Krannich</v>
          </cell>
          <cell r="I879">
            <v>0.32</v>
          </cell>
        </row>
        <row r="880">
          <cell r="A880" t="str">
            <v>B0877</v>
          </cell>
          <cell r="B880" t="str">
            <v>Victron RJ12 UTP Cable 3 m</v>
          </cell>
          <cell r="D880" t="str">
            <v>ASS030066030</v>
          </cell>
          <cell r="F880">
            <v>0</v>
          </cell>
          <cell r="G880">
            <v>11.319904761904763</v>
          </cell>
          <cell r="H880" t="str">
            <v>1-Victron</v>
          </cell>
          <cell r="I880">
            <v>0.31111111111111112</v>
          </cell>
        </row>
        <row r="881">
          <cell r="A881" t="str">
            <v>B0878</v>
          </cell>
          <cell r="B881" t="str">
            <v>Victron RJ12 UTP Cable 5 m</v>
          </cell>
          <cell r="D881" t="str">
            <v>ASS030066050</v>
          </cell>
          <cell r="F881">
            <v>0</v>
          </cell>
          <cell r="G881">
            <v>13.324999999999999</v>
          </cell>
          <cell r="H881" t="str">
            <v>1-Victron</v>
          </cell>
          <cell r="I881">
            <v>0.31111111111111112</v>
          </cell>
        </row>
        <row r="882">
          <cell r="A882" t="str">
            <v>B0879</v>
          </cell>
          <cell r="B882" t="str">
            <v>Victron RJ12 UTP Cable 10 m</v>
          </cell>
          <cell r="D882" t="str">
            <v>ASS030066100</v>
          </cell>
          <cell r="F882">
            <v>0</v>
          </cell>
          <cell r="G882">
            <v>16.649904761904757</v>
          </cell>
          <cell r="H882" t="str">
            <v>1-Victron</v>
          </cell>
          <cell r="I882">
            <v>0.31111111111111112</v>
          </cell>
        </row>
        <row r="883">
          <cell r="A883" t="str">
            <v>B0880</v>
          </cell>
          <cell r="B883" t="str">
            <v>Victron RJ12 UTP Cable 15 m</v>
          </cell>
          <cell r="D883" t="str">
            <v>ASS030066150</v>
          </cell>
          <cell r="F883">
            <v>0</v>
          </cell>
          <cell r="G883">
            <v>19.987499999999997</v>
          </cell>
          <cell r="H883" t="str">
            <v>1-Victron</v>
          </cell>
          <cell r="I883">
            <v>0.31111111111111112</v>
          </cell>
        </row>
        <row r="884">
          <cell r="A884" t="str">
            <v>B0881</v>
          </cell>
          <cell r="B884" t="str">
            <v>Victron RJ12 UTP Cable 30 m</v>
          </cell>
          <cell r="D884" t="str">
            <v>ASS030066300</v>
          </cell>
          <cell r="F884">
            <v>0</v>
          </cell>
          <cell r="G884">
            <v>33.3125</v>
          </cell>
          <cell r="H884" t="str">
            <v>1-Victron</v>
          </cell>
          <cell r="I884">
            <v>0.31111111111111112</v>
          </cell>
        </row>
        <row r="885">
          <cell r="A885" t="str">
            <v>B0882</v>
          </cell>
          <cell r="B885" t="str">
            <v>Victron RJ45 UTP Cable 0.5 m</v>
          </cell>
          <cell r="D885" t="str">
            <v>ASS030064900</v>
          </cell>
          <cell r="F885">
            <v>0</v>
          </cell>
          <cell r="G885">
            <v>8.6549047619047617</v>
          </cell>
          <cell r="H885" t="str">
            <v>1-Victron</v>
          </cell>
          <cell r="I885">
            <v>0.31111111111111112</v>
          </cell>
        </row>
        <row r="886">
          <cell r="A886" t="str">
            <v>B0883</v>
          </cell>
          <cell r="B886" t="str">
            <v>Victron RJ45 UTP Cable 0.9 m</v>
          </cell>
          <cell r="D886" t="str">
            <v>ASS030064920</v>
          </cell>
          <cell r="F886">
            <v>0</v>
          </cell>
          <cell r="G886">
            <v>8.6549047619047617</v>
          </cell>
          <cell r="H886" t="str">
            <v>1-Victron</v>
          </cell>
          <cell r="I886">
            <v>0.31111111111111112</v>
          </cell>
        </row>
        <row r="887">
          <cell r="A887" t="str">
            <v>B0884</v>
          </cell>
          <cell r="B887" t="str">
            <v>Victron RJ45 UTP Cable 1.8 m</v>
          </cell>
          <cell r="D887" t="str">
            <v>ASS030064950</v>
          </cell>
          <cell r="F887">
            <v>0</v>
          </cell>
          <cell r="G887">
            <v>11.319904761904763</v>
          </cell>
          <cell r="H887" t="str">
            <v>1-Victron</v>
          </cell>
          <cell r="I887">
            <v>0.31111111111111112</v>
          </cell>
        </row>
        <row r="888">
          <cell r="A888" t="str">
            <v>B0885</v>
          </cell>
          <cell r="B888" t="str">
            <v>Victron RJ45 UTP Cable 1 m</v>
          </cell>
          <cell r="D888" t="str">
            <v>ASS030064980</v>
          </cell>
          <cell r="F888">
            <v>0</v>
          </cell>
          <cell r="G888">
            <v>13.324999999999999</v>
          </cell>
          <cell r="H888" t="str">
            <v>1-Victron</v>
          </cell>
          <cell r="I888">
            <v>0.31111111111111112</v>
          </cell>
        </row>
        <row r="889">
          <cell r="A889" t="str">
            <v>B0886</v>
          </cell>
          <cell r="B889" t="str">
            <v>Victron RJ45 UTP Cable 5 m</v>
          </cell>
          <cell r="D889" t="str">
            <v>ASS030065000</v>
          </cell>
          <cell r="F889">
            <v>0</v>
          </cell>
          <cell r="G889">
            <v>16.649904761904757</v>
          </cell>
          <cell r="H889" t="str">
            <v>1-Victron</v>
          </cell>
          <cell r="I889">
            <v>0.31111111111111112</v>
          </cell>
        </row>
        <row r="890">
          <cell r="A890" t="str">
            <v>B0887</v>
          </cell>
          <cell r="B890" t="str">
            <v>Victron RJ45 UTP Cable 10 m</v>
          </cell>
          <cell r="D890" t="str">
            <v>ASS030065010</v>
          </cell>
          <cell r="F890">
            <v>0</v>
          </cell>
          <cell r="G890">
            <v>19.987499999999997</v>
          </cell>
          <cell r="H890" t="str">
            <v>1-Victron</v>
          </cell>
          <cell r="I890">
            <v>0.31111111111111112</v>
          </cell>
        </row>
        <row r="891">
          <cell r="A891" t="str">
            <v>B0888</v>
          </cell>
          <cell r="B891" t="str">
            <v>Victron RJ45 UTP Cable 15 m</v>
          </cell>
          <cell r="D891" t="str">
            <v>ASS030065020</v>
          </cell>
          <cell r="F891">
            <v>0</v>
          </cell>
          <cell r="G891">
            <v>27.982499999999998</v>
          </cell>
          <cell r="H891" t="str">
            <v>1-Victron</v>
          </cell>
          <cell r="I891">
            <v>0.31111111111111112</v>
          </cell>
        </row>
        <row r="892">
          <cell r="A892" t="str">
            <v>B0889</v>
          </cell>
          <cell r="B892" t="str">
            <v>Victron RJ45 UTP Cable 20 m</v>
          </cell>
          <cell r="D892" t="str">
            <v>ASS030065030</v>
          </cell>
          <cell r="F892">
            <v>0</v>
          </cell>
          <cell r="G892">
            <v>33.3125</v>
          </cell>
          <cell r="H892" t="str">
            <v>1-Victron</v>
          </cell>
          <cell r="I892">
            <v>0.31111111111111112</v>
          </cell>
        </row>
        <row r="893">
          <cell r="A893" t="str">
            <v>B0890</v>
          </cell>
          <cell r="B893" t="str">
            <v>Victron RJ45 UTP Cable 30 m</v>
          </cell>
          <cell r="D893" t="str">
            <v>ASS030065050</v>
          </cell>
          <cell r="F893">
            <v>0</v>
          </cell>
          <cell r="G893">
            <v>39.315095238095239</v>
          </cell>
          <cell r="H893" t="str">
            <v>1-Victron</v>
          </cell>
          <cell r="I893">
            <v>0.31111111111111112</v>
          </cell>
        </row>
        <row r="894">
          <cell r="A894" t="str">
            <v>B0891</v>
          </cell>
          <cell r="B894" t="str">
            <v>Victron VE.Direct Cable 1.8m (one side Right Angle conn)</v>
          </cell>
          <cell r="D894" t="str">
            <v>ASS030531218</v>
          </cell>
          <cell r="F894">
            <v>20.7</v>
          </cell>
          <cell r="G894">
            <v>14.26</v>
          </cell>
          <cell r="H894" t="str">
            <v>1-Victron</v>
          </cell>
          <cell r="I894">
            <v>0.31111111111111112</v>
          </cell>
        </row>
        <row r="895">
          <cell r="A895" t="str">
            <v>B0892</v>
          </cell>
          <cell r="B895" t="str">
            <v>Victron VE.Direct Cable 3m (one side Right Angle conn)</v>
          </cell>
          <cell r="D895" t="str">
            <v>ASS030531230</v>
          </cell>
          <cell r="F895">
            <v>23.400000000000002</v>
          </cell>
          <cell r="G895">
            <v>16.12</v>
          </cell>
          <cell r="H895" t="str">
            <v>1-Victron</v>
          </cell>
          <cell r="I895">
            <v>0.31111111111111112</v>
          </cell>
        </row>
        <row r="896">
          <cell r="A896" t="str">
            <v>B0893</v>
          </cell>
          <cell r="B896" t="str">
            <v>Victron VE.Direct Cable 5m (one side Right Angle conn)</v>
          </cell>
          <cell r="D896" t="str">
            <v>ASS030531250</v>
          </cell>
          <cell r="F896">
            <v>26.1</v>
          </cell>
          <cell r="G896">
            <v>17.98</v>
          </cell>
          <cell r="H896" t="str">
            <v>1-Victron</v>
          </cell>
          <cell r="I896">
            <v>0.31111111111111112</v>
          </cell>
        </row>
        <row r="897">
          <cell r="A897" t="str">
            <v>B0894</v>
          </cell>
          <cell r="B897" t="str">
            <v>Victron VE.Direct Cable 10m (one side Right Angle conn)</v>
          </cell>
          <cell r="D897" t="str">
            <v>ASS030531320</v>
          </cell>
          <cell r="F897">
            <v>30.6</v>
          </cell>
          <cell r="G897">
            <v>21.08</v>
          </cell>
          <cell r="H897" t="str">
            <v>1-Victron</v>
          </cell>
          <cell r="I897">
            <v>0.31111111111111112</v>
          </cell>
        </row>
        <row r="898">
          <cell r="A898" t="str">
            <v>B0895</v>
          </cell>
          <cell r="B898" t="str">
            <v>Victron VE.Direct to BMV60xS Cable 1.5m</v>
          </cell>
          <cell r="D898" t="str">
            <v>ASS030532215</v>
          </cell>
          <cell r="F898">
            <v>0</v>
          </cell>
          <cell r="G898">
            <v>26.65</v>
          </cell>
          <cell r="H898" t="str">
            <v>1-Victron</v>
          </cell>
          <cell r="I898">
            <v>0.31111111111111112</v>
          </cell>
        </row>
        <row r="899">
          <cell r="A899" t="str">
            <v>B0896</v>
          </cell>
          <cell r="B899" t="str">
            <v>Victron VE.Direct to BMV60xS Cable 3m</v>
          </cell>
          <cell r="D899" t="str">
            <v>ASS030532230</v>
          </cell>
          <cell r="F899">
            <v>0</v>
          </cell>
          <cell r="G899">
            <v>31.98</v>
          </cell>
          <cell r="H899" t="str">
            <v>1-Victron</v>
          </cell>
          <cell r="I899">
            <v>0.31111111111111112</v>
          </cell>
        </row>
        <row r="900">
          <cell r="A900" t="str">
            <v>B0897</v>
          </cell>
          <cell r="B900" t="str">
            <v>Victron Male to Female 3 pole 1 m (bag of 2)</v>
          </cell>
          <cell r="D900" t="str">
            <v>ASS030560100</v>
          </cell>
          <cell r="F900">
            <v>0</v>
          </cell>
          <cell r="G900">
            <v>39.315095238095239</v>
          </cell>
          <cell r="H900" t="str">
            <v>1-Victron</v>
          </cell>
          <cell r="I900">
            <v>0.31111111111111112</v>
          </cell>
        </row>
        <row r="901">
          <cell r="A901" t="str">
            <v>B0898</v>
          </cell>
          <cell r="B901" t="str">
            <v>Victron Male to Female 3 pole 2 m (bag of 2)</v>
          </cell>
          <cell r="D901" t="str">
            <v>ASS030560200</v>
          </cell>
          <cell r="F901">
            <v>0</v>
          </cell>
          <cell r="G901">
            <v>41.30749999999999</v>
          </cell>
          <cell r="H901" t="str">
            <v>1-Victron</v>
          </cell>
          <cell r="I901">
            <v>0.31111111111111112</v>
          </cell>
        </row>
        <row r="902">
          <cell r="A902" t="str">
            <v>B0899</v>
          </cell>
          <cell r="B902" t="str">
            <v>Victron Male to Female 3 pole 3 m (bag of 2)</v>
          </cell>
          <cell r="D902" t="str">
            <v>ASS030560300</v>
          </cell>
          <cell r="F902">
            <v>0</v>
          </cell>
          <cell r="G902">
            <v>44.645095238095237</v>
          </cell>
          <cell r="H902" t="str">
            <v>1-Victron</v>
          </cell>
          <cell r="I902">
            <v>0.31111111111111112</v>
          </cell>
        </row>
        <row r="903">
          <cell r="A903" t="str">
            <v>B0900</v>
          </cell>
          <cell r="B903" t="str">
            <v>Victron Male to Female 3 pole 5 m (bag of 2)</v>
          </cell>
          <cell r="D903" t="str">
            <v>ASS030560500</v>
          </cell>
          <cell r="F903">
            <v>0</v>
          </cell>
          <cell r="G903">
            <v>50.634999999999991</v>
          </cell>
          <cell r="H903" t="str">
            <v>1-Victron</v>
          </cell>
          <cell r="I903">
            <v>0.31111111111111112</v>
          </cell>
        </row>
        <row r="904">
          <cell r="A904" t="str">
            <v>B0901</v>
          </cell>
          <cell r="B904" t="str">
            <v>Victron VE.Direct to USB interface</v>
          </cell>
          <cell r="D904" t="str">
            <v>ASS030530010</v>
          </cell>
          <cell r="F904">
            <v>42.300000000000004</v>
          </cell>
          <cell r="G904">
            <v>29.14</v>
          </cell>
          <cell r="H904" t="str">
            <v>1-Victron</v>
          </cell>
          <cell r="I904">
            <v>0.31111111111111112</v>
          </cell>
        </row>
        <row r="905">
          <cell r="A905" t="str">
            <v>B0902</v>
          </cell>
          <cell r="B905" t="str">
            <v>Victron Interface MK2-USB (for Phoenix Charger only)</v>
          </cell>
          <cell r="D905" t="str">
            <v>ASS030130010</v>
          </cell>
          <cell r="F905">
            <v>0</v>
          </cell>
          <cell r="G905">
            <v>83.947500000000005</v>
          </cell>
          <cell r="H905" t="str">
            <v>1-Victron</v>
          </cell>
          <cell r="I905">
            <v>0.31111111111111112</v>
          </cell>
        </row>
        <row r="906">
          <cell r="A906" t="str">
            <v>B0903</v>
          </cell>
          <cell r="B906" t="str">
            <v>Victron CANUSB interface</v>
          </cell>
          <cell r="D906" t="str">
            <v>ASS030532010</v>
          </cell>
          <cell r="F906">
            <v>0</v>
          </cell>
          <cell r="G906">
            <v>556.32509523809517</v>
          </cell>
          <cell r="H906" t="str">
            <v>1-Victron</v>
          </cell>
          <cell r="I906">
            <v>0.31111111111111112</v>
          </cell>
        </row>
        <row r="907">
          <cell r="A907" t="str">
            <v>B0904</v>
          </cell>
          <cell r="B907" t="str">
            <v>Victron VE.Bus to NMEA2000 interface</v>
          </cell>
          <cell r="D907" t="str">
            <v>ASS030520110</v>
          </cell>
          <cell r="F907">
            <v>0</v>
          </cell>
          <cell r="G907">
            <v>245.83990476190473</v>
          </cell>
          <cell r="H907" t="str">
            <v>1-Victron</v>
          </cell>
          <cell r="I907">
            <v>0.31111111111111112</v>
          </cell>
        </row>
        <row r="908">
          <cell r="A908" t="str">
            <v>B0905</v>
          </cell>
          <cell r="B908" t="str">
            <v>Victron VE.Direct to NMEA2000 interface</v>
          </cell>
          <cell r="D908" t="str">
            <v>ASS030520310</v>
          </cell>
          <cell r="F908">
            <v>0</v>
          </cell>
          <cell r="G908">
            <v>245.83990476190473</v>
          </cell>
          <cell r="H908" t="str">
            <v>1-Victron</v>
          </cell>
          <cell r="I908">
            <v>0.31111111111111112</v>
          </cell>
        </row>
        <row r="909">
          <cell r="A909" t="str">
            <v>B0906</v>
          </cell>
          <cell r="B909" t="str">
            <v>Victron VE.Can to NMEA2000 Micro-C male</v>
          </cell>
          <cell r="D909" t="str">
            <v>ASS030520200</v>
          </cell>
          <cell r="F909">
            <v>0</v>
          </cell>
          <cell r="G909">
            <v>111.92999999999999</v>
          </cell>
          <cell r="H909" t="str">
            <v>1-Victron</v>
          </cell>
          <cell r="I909">
            <v>0.31111111111111112</v>
          </cell>
        </row>
        <row r="910">
          <cell r="A910" t="str">
            <v>B0907</v>
          </cell>
          <cell r="B910" t="str">
            <v>Victron Interface MK2.2b (VE.Bus to RS232)</v>
          </cell>
          <cell r="D910" t="str">
            <v>ASS030120210</v>
          </cell>
          <cell r="F910">
            <v>0</v>
          </cell>
          <cell r="G910">
            <v>65.292500000000004</v>
          </cell>
          <cell r="H910" t="str">
            <v>1-Victron</v>
          </cell>
          <cell r="I910">
            <v>0.31111111111111112</v>
          </cell>
        </row>
        <row r="911">
          <cell r="A911" t="str">
            <v>B0908</v>
          </cell>
          <cell r="B911" t="str">
            <v>Victron RS232 to USB converter</v>
          </cell>
          <cell r="D911" t="str">
            <v>ASS030200000</v>
          </cell>
          <cell r="F911">
            <v>0</v>
          </cell>
          <cell r="G911">
            <v>34.645000000000003</v>
          </cell>
          <cell r="H911" t="str">
            <v>1-Victron</v>
          </cell>
          <cell r="I911">
            <v>0.31111111111111112</v>
          </cell>
        </row>
        <row r="912">
          <cell r="A912" t="str">
            <v>B0909</v>
          </cell>
          <cell r="B912" t="str">
            <v>Victron VE.Direct to RS232 interface</v>
          </cell>
          <cell r="D912" t="str">
            <v>ASS030520500</v>
          </cell>
          <cell r="F912">
            <v>0</v>
          </cell>
          <cell r="G912">
            <v>32.639904761904759</v>
          </cell>
          <cell r="H912" t="str">
            <v>1-Victron</v>
          </cell>
          <cell r="I912">
            <v>0.31111111111111112</v>
          </cell>
        </row>
        <row r="913">
          <cell r="A913" t="str">
            <v>B0910</v>
          </cell>
          <cell r="B913" t="str">
            <v>Victron VE.Direct to VE.Can interface</v>
          </cell>
          <cell r="D913" t="str">
            <v>ASS030520410</v>
          </cell>
          <cell r="F913">
            <v>0</v>
          </cell>
          <cell r="G913">
            <v>327.13509523809518</v>
          </cell>
          <cell r="H913" t="str">
            <v>1-Victron</v>
          </cell>
          <cell r="I913">
            <v>0.31111111111111112</v>
          </cell>
        </row>
        <row r="914">
          <cell r="A914" t="str">
            <v>B0911</v>
          </cell>
          <cell r="B914" t="str">
            <v>Victron VE.Direct to Global Remote interface</v>
          </cell>
          <cell r="D914" t="str">
            <v>ASS030534000</v>
          </cell>
          <cell r="F914">
            <v>0</v>
          </cell>
          <cell r="G914">
            <v>85.28</v>
          </cell>
          <cell r="H914" t="str">
            <v>1-Victron</v>
          </cell>
          <cell r="I914">
            <v>0.31111111111111112</v>
          </cell>
        </row>
        <row r="915">
          <cell r="A915" t="str">
            <v>B0912</v>
          </cell>
          <cell r="B915" t="str">
            <v>Victron VE.Can RJ45 terminator (bag of 2)</v>
          </cell>
          <cell r="D915" t="str">
            <v>ASS030700000</v>
          </cell>
          <cell r="F915">
            <v>0</v>
          </cell>
          <cell r="G915">
            <v>13.324999999999999</v>
          </cell>
          <cell r="H915" t="str">
            <v>1-Victron</v>
          </cell>
          <cell r="I915">
            <v>0.31111111111111112</v>
          </cell>
        </row>
        <row r="916">
          <cell r="A916" t="str">
            <v>B0913</v>
          </cell>
          <cell r="B916" t="str">
            <v>Victron VE.Bus to VE.Can interface</v>
          </cell>
          <cell r="D916" t="str">
            <v>ASS030520115</v>
          </cell>
          <cell r="F916">
            <v>0</v>
          </cell>
          <cell r="G916">
            <v>224.51990476190471</v>
          </cell>
          <cell r="H916" t="str">
            <v>1-Victron</v>
          </cell>
          <cell r="I916">
            <v>0.31111111111111112</v>
          </cell>
        </row>
        <row r="917">
          <cell r="A917" t="str">
            <v>B0914</v>
          </cell>
          <cell r="B917" t="str">
            <v>Victron VE.Can to CAN-bus BMS type A Cable 1.8m</v>
          </cell>
          <cell r="D917" t="str">
            <v>ASS030710018</v>
          </cell>
          <cell r="F917">
            <v>21.6</v>
          </cell>
          <cell r="G917">
            <v>14.879999999999999</v>
          </cell>
          <cell r="H917" t="str">
            <v>1-Victron</v>
          </cell>
          <cell r="I917">
            <v>0.31111111111111112</v>
          </cell>
        </row>
        <row r="918">
          <cell r="A918" t="str">
            <v>B0915</v>
          </cell>
          <cell r="B918" t="str">
            <v>Victron VE.Can to CAN-bus BMS type A Cable 5m</v>
          </cell>
          <cell r="D918" t="str">
            <v>ASS030710050</v>
          </cell>
          <cell r="F918">
            <v>21.6</v>
          </cell>
          <cell r="G918">
            <v>14.879999999999999</v>
          </cell>
          <cell r="H918" t="str">
            <v>1-Victron</v>
          </cell>
          <cell r="I918">
            <v>0.31111111111111112</v>
          </cell>
        </row>
        <row r="919">
          <cell r="A919" t="str">
            <v>B0916</v>
          </cell>
          <cell r="B919" t="str">
            <v>NETEC Neutral Bar 165A 3 Pole, 138mm</v>
          </cell>
          <cell r="D919" t="str">
            <v>NE33A006X</v>
          </cell>
          <cell r="F919">
            <v>24.338461538461537</v>
          </cell>
          <cell r="G919">
            <v>15.82</v>
          </cell>
          <cell r="H919" t="str">
            <v>6-Various</v>
          </cell>
          <cell r="I919">
            <v>0.35</v>
          </cell>
        </row>
        <row r="920">
          <cell r="A920" t="str">
            <v>B0917</v>
          </cell>
          <cell r="B920" t="str">
            <v>Victron VE.Can to CAN-bus BMS type B Cable 5m</v>
          </cell>
          <cell r="D920" t="str">
            <v>ASS030720050</v>
          </cell>
          <cell r="F920">
            <v>21.6</v>
          </cell>
          <cell r="G920">
            <v>14.879999999999999</v>
          </cell>
          <cell r="H920" t="str">
            <v>1-Victron</v>
          </cell>
          <cell r="I920">
            <v>0.31111111111111112</v>
          </cell>
        </row>
        <row r="921">
          <cell r="A921" t="str">
            <v>B0918</v>
          </cell>
          <cell r="B921" t="str">
            <v>Victron Inverting remote on-off cable</v>
          </cell>
          <cell r="D921" t="str">
            <v>ASS030550120</v>
          </cell>
          <cell r="F921">
            <v>0</v>
          </cell>
          <cell r="G921">
            <v>0</v>
          </cell>
          <cell r="H921" t="str">
            <v>1-Victron</v>
          </cell>
          <cell r="I921">
            <v>0</v>
          </cell>
        </row>
        <row r="922">
          <cell r="A922" t="str">
            <v>B0919</v>
          </cell>
          <cell r="B922" t="str">
            <v>Victron Non-inverting remote on-off cable</v>
          </cell>
          <cell r="D922" t="str">
            <v>ASS030550200</v>
          </cell>
          <cell r="F922">
            <v>0</v>
          </cell>
          <cell r="G922">
            <v>22.6525</v>
          </cell>
          <cell r="H922" t="str">
            <v>1-Victron</v>
          </cell>
          <cell r="I922">
            <v>0.31111111111111112</v>
          </cell>
        </row>
        <row r="923">
          <cell r="A923" t="str">
            <v>B0920</v>
          </cell>
          <cell r="B923" t="str">
            <v>Victron VE.Direct non-inverting remote on-off cable</v>
          </cell>
          <cell r="D923" t="str">
            <v>ASS030550320</v>
          </cell>
          <cell r="F923">
            <v>0</v>
          </cell>
          <cell r="G923">
            <v>22.6525</v>
          </cell>
          <cell r="H923" t="str">
            <v>1-Victron</v>
          </cell>
          <cell r="I923">
            <v>0.31111111111111112</v>
          </cell>
        </row>
        <row r="924">
          <cell r="A924" t="str">
            <v>B0921</v>
          </cell>
          <cell r="B924" t="str">
            <v>Victron VE.Bus BMS to BMS 12-200 alternator control cable</v>
          </cell>
          <cell r="D924" t="str">
            <v>ASS030510120</v>
          </cell>
          <cell r="F924">
            <v>0</v>
          </cell>
          <cell r="G924">
            <v>39.315095238095239</v>
          </cell>
          <cell r="H924" t="str">
            <v>1-Victron</v>
          </cell>
          <cell r="I924">
            <v>0.31111111111111112</v>
          </cell>
        </row>
        <row r="925">
          <cell r="A925" t="str">
            <v>B0922</v>
          </cell>
          <cell r="B925" t="str">
            <v xml:space="preserve">Victron Multi 48/500/6-16 </v>
          </cell>
          <cell r="D925" t="str">
            <v>CMP485010000</v>
          </cell>
          <cell r="F925">
            <v>0</v>
          </cell>
          <cell r="G925">
            <v>0</v>
          </cell>
          <cell r="H925" t="str">
            <v>1-Victron</v>
          </cell>
          <cell r="I925">
            <v>0</v>
          </cell>
        </row>
        <row r="926">
          <cell r="A926" t="str">
            <v>B0923</v>
          </cell>
          <cell r="B926" t="str">
            <v>Victron Smart Solar MPPT 250/85-Tr VE.Can</v>
          </cell>
          <cell r="D926" t="str">
            <v>SCC125085411</v>
          </cell>
          <cell r="F926">
            <v>846.9</v>
          </cell>
          <cell r="G926">
            <v>583.41999999999996</v>
          </cell>
          <cell r="H926" t="str">
            <v>1-Victron</v>
          </cell>
          <cell r="I926">
            <v>0.31111111111111112</v>
          </cell>
        </row>
        <row r="927">
          <cell r="A927" t="str">
            <v>B0924</v>
          </cell>
          <cell r="B927" t="str">
            <v>Victron AC Current sensor</v>
          </cell>
          <cell r="D927" t="str">
            <v>CSE000100000</v>
          </cell>
          <cell r="F927">
            <v>0</v>
          </cell>
          <cell r="G927">
            <v>54.6</v>
          </cell>
          <cell r="H927" t="str">
            <v>1-Victron</v>
          </cell>
          <cell r="I927">
            <v>0.31111111111111112</v>
          </cell>
        </row>
        <row r="928">
          <cell r="A928" t="str">
            <v>B0925</v>
          </cell>
          <cell r="B928" t="str">
            <v xml:space="preserve">Victron Anti-islanding relay UFR1001E </v>
          </cell>
          <cell r="D928" t="str">
            <v>REL100100000</v>
          </cell>
          <cell r="F928">
            <v>0</v>
          </cell>
          <cell r="G928">
            <v>508.9561904761905</v>
          </cell>
          <cell r="H928" t="str">
            <v>1-Victron</v>
          </cell>
          <cell r="I928">
            <v>0.31111111111111112</v>
          </cell>
        </row>
        <row r="929">
          <cell r="A929" t="str">
            <v>B0926</v>
          </cell>
          <cell r="B929" t="str">
            <v>Victron Zigbee to RS485 converter</v>
          </cell>
          <cell r="D929" t="str">
            <v>ASS300400100</v>
          </cell>
          <cell r="F929">
            <v>0</v>
          </cell>
          <cell r="G929">
            <v>100.75619047619047</v>
          </cell>
          <cell r="H929" t="str">
            <v>1-Victron</v>
          </cell>
          <cell r="I929">
            <v>0.31111111111111112</v>
          </cell>
        </row>
        <row r="930">
          <cell r="A930" t="str">
            <v>B0927</v>
          </cell>
          <cell r="B930" t="str">
            <v>Victron Zigbee to USB converter</v>
          </cell>
          <cell r="D930" t="str">
            <v>ASS300400200</v>
          </cell>
          <cell r="F930">
            <v>0</v>
          </cell>
          <cell r="G930">
            <v>87.09999999999998</v>
          </cell>
          <cell r="H930" t="str">
            <v>1-Victron</v>
          </cell>
          <cell r="I930">
            <v>0.31111111111111112</v>
          </cell>
        </row>
        <row r="931">
          <cell r="A931" t="str">
            <v>B0928</v>
          </cell>
          <cell r="B931" t="str">
            <v>Victron Anti-islanding box 63A single phase - UK</v>
          </cell>
          <cell r="D931" t="str">
            <v>RCD000100200</v>
          </cell>
          <cell r="F931">
            <v>0</v>
          </cell>
          <cell r="G931">
            <v>0</v>
          </cell>
          <cell r="H931" t="str">
            <v>1-Victron</v>
          </cell>
          <cell r="I931">
            <v>0</v>
          </cell>
        </row>
        <row r="932">
          <cell r="A932" t="str">
            <v>B0929</v>
          </cell>
          <cell r="B932" t="str">
            <v>Victron Anti-islanding box 63A single and three phase</v>
          </cell>
          <cell r="D932" t="str">
            <v>RCD000300200</v>
          </cell>
          <cell r="F932">
            <v>0</v>
          </cell>
          <cell r="G932">
            <v>1203.1561904761904</v>
          </cell>
          <cell r="H932" t="str">
            <v>1-Victron</v>
          </cell>
          <cell r="I932">
            <v>0.31111111111111112</v>
          </cell>
        </row>
        <row r="933">
          <cell r="A933" t="str">
            <v>B0930</v>
          </cell>
          <cell r="B933" t="str">
            <v>Victron Argodiode 80-2SC 2 batteries 80A</v>
          </cell>
          <cell r="D933" t="str">
            <v>ARG080202000R</v>
          </cell>
          <cell r="F933">
            <v>0</v>
          </cell>
          <cell r="G933">
            <v>43.55619047619048</v>
          </cell>
          <cell r="H933" t="str">
            <v>1-Victron</v>
          </cell>
          <cell r="I933">
            <v>0.31111111111111112</v>
          </cell>
        </row>
        <row r="934">
          <cell r="A934" t="str">
            <v>B0931</v>
          </cell>
          <cell r="B934" t="str">
            <v>Victron Argodiode 80-2AC 2 batteries 80A</v>
          </cell>
          <cell r="D934" t="str">
            <v>ARG080201000R</v>
          </cell>
          <cell r="F934">
            <v>0</v>
          </cell>
          <cell r="G934">
            <v>55.9</v>
          </cell>
          <cell r="H934" t="str">
            <v>1-Victron</v>
          </cell>
          <cell r="I934">
            <v>0.31111111111111112</v>
          </cell>
        </row>
        <row r="935">
          <cell r="A935" t="str">
            <v>B0932</v>
          </cell>
          <cell r="B935" t="str">
            <v>Victron Argodiode 100-3AC 3 batteries 100A</v>
          </cell>
          <cell r="D935" t="str">
            <v>ARG100301000R</v>
          </cell>
          <cell r="F935">
            <v>0</v>
          </cell>
          <cell r="G935">
            <v>75.399999999999991</v>
          </cell>
          <cell r="H935" t="str">
            <v>1-Victron</v>
          </cell>
          <cell r="I935">
            <v>0.31111111111111112</v>
          </cell>
        </row>
        <row r="936">
          <cell r="A936" t="str">
            <v>B0933</v>
          </cell>
          <cell r="B936" t="str">
            <v>Victron Argodiode 120-2AC 2 batteries 120A</v>
          </cell>
          <cell r="D936" t="str">
            <v>ARG120201020R</v>
          </cell>
          <cell r="F936">
            <v>0</v>
          </cell>
          <cell r="G936">
            <v>84.5</v>
          </cell>
          <cell r="H936" t="str">
            <v>1-Victron</v>
          </cell>
          <cell r="I936">
            <v>0.31111111111111112</v>
          </cell>
        </row>
        <row r="937">
          <cell r="A937" t="str">
            <v>B0934</v>
          </cell>
          <cell r="B937" t="str">
            <v>Victron Argodiode 140-3AC 3 batteries 140A</v>
          </cell>
          <cell r="D937" t="str">
            <v>ARG140301020R</v>
          </cell>
          <cell r="F937">
            <v>0</v>
          </cell>
          <cell r="G937">
            <v>105.95619047619049</v>
          </cell>
          <cell r="H937" t="str">
            <v>1-Victron</v>
          </cell>
          <cell r="I937">
            <v>0.31111111111111112</v>
          </cell>
        </row>
        <row r="938">
          <cell r="A938" t="str">
            <v>B0935</v>
          </cell>
          <cell r="B938" t="str">
            <v>Victron Argodiode 160-2AC 2 batteries 160A</v>
          </cell>
          <cell r="D938" t="str">
            <v>ARG160201020</v>
          </cell>
          <cell r="F938">
            <v>0</v>
          </cell>
          <cell r="G938">
            <v>100.75619047619047</v>
          </cell>
          <cell r="H938" t="str">
            <v>1-Victron</v>
          </cell>
          <cell r="I938">
            <v>0.31111111111111112</v>
          </cell>
        </row>
        <row r="939">
          <cell r="A939" t="str">
            <v>B0936</v>
          </cell>
          <cell r="B939" t="str">
            <v>Victron Argodiode 180-3AC 3 batteries 180A</v>
          </cell>
          <cell r="D939" t="str">
            <v>ARG180301020</v>
          </cell>
          <cell r="F939">
            <v>0</v>
          </cell>
          <cell r="G939">
            <v>122.2</v>
          </cell>
          <cell r="H939" t="str">
            <v>1-Victron</v>
          </cell>
          <cell r="I939">
            <v>0.31111111111111112</v>
          </cell>
        </row>
        <row r="940">
          <cell r="A940" t="str">
            <v>B0937</v>
          </cell>
          <cell r="B940" t="str">
            <v>Victron Argofet 100-2 Two batteries 100A</v>
          </cell>
          <cell r="D940" t="str">
            <v>ARG100201020R</v>
          </cell>
          <cell r="F940">
            <v>0</v>
          </cell>
          <cell r="G940">
            <v>111.8</v>
          </cell>
          <cell r="H940" t="str">
            <v>1-Victron</v>
          </cell>
          <cell r="I940">
            <v>0.31111111111111112</v>
          </cell>
        </row>
        <row r="941">
          <cell r="A941" t="str">
            <v>B0938</v>
          </cell>
          <cell r="B941" t="str">
            <v>Victron Argofet 100-3 Three batteries 100A</v>
          </cell>
          <cell r="D941" t="str">
            <v>ARG100301020R</v>
          </cell>
          <cell r="F941">
            <v>0</v>
          </cell>
          <cell r="G941">
            <v>128.04380952380953</v>
          </cell>
          <cell r="H941" t="str">
            <v>1-Victron</v>
          </cell>
          <cell r="I941">
            <v>0.31111111111111112</v>
          </cell>
        </row>
        <row r="942">
          <cell r="A942" t="str">
            <v>B0939</v>
          </cell>
          <cell r="B942" t="str">
            <v>Victron Argofet 200-2 Two batteries 200A</v>
          </cell>
          <cell r="D942" t="str">
            <v>ARG200201020R</v>
          </cell>
          <cell r="F942">
            <v>0</v>
          </cell>
          <cell r="G942">
            <v>133.24380952380952</v>
          </cell>
          <cell r="H942" t="str">
            <v>1-Victron</v>
          </cell>
          <cell r="I942">
            <v>0.31111111111111112</v>
          </cell>
        </row>
        <row r="943">
          <cell r="A943" t="str">
            <v>B0940</v>
          </cell>
          <cell r="B943" t="str">
            <v>Victron Argofet 200-3 Three batteries 200A</v>
          </cell>
          <cell r="D943" t="str">
            <v>ARG200301020R</v>
          </cell>
          <cell r="F943">
            <v>0</v>
          </cell>
          <cell r="G943">
            <v>156.64380952380949</v>
          </cell>
          <cell r="H943" t="str">
            <v>1-Victron</v>
          </cell>
          <cell r="I943">
            <v>0.31111111111111112</v>
          </cell>
        </row>
        <row r="944">
          <cell r="A944" t="str">
            <v>B0941</v>
          </cell>
          <cell r="B944" t="str">
            <v>Victron Cyrix-ct 12/24V-230A intelligent combiner</v>
          </cell>
          <cell r="D944" t="str">
            <v>CYR010230010R</v>
          </cell>
          <cell r="F944">
            <v>0</v>
          </cell>
          <cell r="G944">
            <v>122.2</v>
          </cell>
          <cell r="H944" t="str">
            <v>1-Victron</v>
          </cell>
          <cell r="I944">
            <v>0.31111111111111112</v>
          </cell>
        </row>
        <row r="945">
          <cell r="A945" t="str">
            <v>B0942</v>
          </cell>
          <cell r="B945" t="str">
            <v>Victron Cyrix-i 12/24V-400A intelligent combiner</v>
          </cell>
          <cell r="D945" t="str">
            <v>CYR010400000</v>
          </cell>
          <cell r="F945">
            <v>0</v>
          </cell>
          <cell r="G945">
            <v>261.3</v>
          </cell>
          <cell r="H945" t="str">
            <v>1-Victron</v>
          </cell>
          <cell r="I945">
            <v>0.31111111111111112</v>
          </cell>
        </row>
        <row r="946">
          <cell r="A946" t="str">
            <v>B0943</v>
          </cell>
          <cell r="B946" t="str">
            <v>Victron Cyrix-i 24/48V-400A intelligent combiner</v>
          </cell>
          <cell r="D946" t="str">
            <v>CYR020400000</v>
          </cell>
          <cell r="F946">
            <v>0</v>
          </cell>
          <cell r="G946">
            <v>261.3</v>
          </cell>
          <cell r="H946" t="str">
            <v>1-Victron</v>
          </cell>
          <cell r="I946">
            <v>0.31111111111111112</v>
          </cell>
        </row>
        <row r="947">
          <cell r="A947" t="str">
            <v>B0944</v>
          </cell>
          <cell r="B947" t="str">
            <v>Victron BCD 402  2 batteries 40A</v>
          </cell>
          <cell r="D947" t="str">
            <v>BCD000402000</v>
          </cell>
          <cell r="F947">
            <v>0</v>
          </cell>
          <cell r="G947">
            <v>48.1</v>
          </cell>
          <cell r="H947" t="str">
            <v>1-Victron</v>
          </cell>
          <cell r="I947">
            <v>0.31111111111111112</v>
          </cell>
        </row>
        <row r="948">
          <cell r="A948" t="str">
            <v>B0945</v>
          </cell>
          <cell r="B948" t="str">
            <v>Victron BCD 802  2 batteries 80A</v>
          </cell>
          <cell r="D948" t="str">
            <v>BCD000802000</v>
          </cell>
          <cell r="F948">
            <v>0</v>
          </cell>
          <cell r="G948">
            <v>59.156190476190481</v>
          </cell>
          <cell r="H948" t="str">
            <v>1-Victron</v>
          </cell>
          <cell r="I948">
            <v>0.31111111111111112</v>
          </cell>
        </row>
        <row r="949">
          <cell r="A949" t="str">
            <v>B0946</v>
          </cell>
          <cell r="B949" t="str">
            <v>Victron BatteryProtect 12/24V 65A</v>
          </cell>
          <cell r="D949" t="str">
            <v>BPR000065400</v>
          </cell>
          <cell r="F949">
            <v>0</v>
          </cell>
          <cell r="G949">
            <v>44.843809523809526</v>
          </cell>
          <cell r="H949" t="str">
            <v>1-Victron</v>
          </cell>
          <cell r="I949">
            <v>0.31111111111111112</v>
          </cell>
        </row>
        <row r="950">
          <cell r="A950" t="str">
            <v>B0947</v>
          </cell>
          <cell r="B950" t="str">
            <v>Victron BatteryProtect 48V-100A</v>
          </cell>
          <cell r="D950" t="str">
            <v>BPR048100400</v>
          </cell>
          <cell r="F950">
            <v>0</v>
          </cell>
          <cell r="G950">
            <v>147.55619047619049</v>
          </cell>
          <cell r="H950" t="str">
            <v>1-Victron</v>
          </cell>
          <cell r="I950">
            <v>0.31111111111111112</v>
          </cell>
        </row>
        <row r="951">
          <cell r="A951" t="str">
            <v>B0948</v>
          </cell>
          <cell r="B951" t="str">
            <v>Victron BlueSolar PWM-LCD&amp;USB 12/24V-5A</v>
          </cell>
          <cell r="D951" t="str">
            <v>SCC010005050</v>
          </cell>
          <cell r="F951">
            <v>37.800000000000004</v>
          </cell>
          <cell r="G951">
            <v>26.04</v>
          </cell>
          <cell r="H951" t="str">
            <v>1-Victron</v>
          </cell>
          <cell r="I951">
            <v>0.31111111111111112</v>
          </cell>
        </row>
        <row r="952">
          <cell r="A952" t="str">
            <v>B0949</v>
          </cell>
          <cell r="B952" t="str">
            <v>Victron BlueSolar PWM-LCD&amp;USB 12/24V-10A</v>
          </cell>
          <cell r="D952" t="str">
            <v>SCC010010050</v>
          </cell>
          <cell r="F952">
            <v>42.300000000000004</v>
          </cell>
          <cell r="G952">
            <v>29.14</v>
          </cell>
          <cell r="H952" t="str">
            <v>1-Victron</v>
          </cell>
          <cell r="I952">
            <v>0.31111111111111112</v>
          </cell>
        </row>
        <row r="953">
          <cell r="A953" t="str">
            <v>B0950</v>
          </cell>
          <cell r="B953" t="str">
            <v>Victron BlueSolar PWM-LCD&amp;USB 12/24V-20A</v>
          </cell>
          <cell r="D953" t="str">
            <v>SCC010020050</v>
          </cell>
          <cell r="F953">
            <v>53.1</v>
          </cell>
          <cell r="G953">
            <v>36.58</v>
          </cell>
          <cell r="H953" t="str">
            <v>1-Victron</v>
          </cell>
          <cell r="I953">
            <v>0.31111111111111112</v>
          </cell>
        </row>
        <row r="954">
          <cell r="A954" t="str">
            <v>B0951</v>
          </cell>
          <cell r="B954" t="str">
            <v>Victron BlueSolar PWM-LCD&amp;USB 12/24V-30A</v>
          </cell>
          <cell r="D954" t="str">
            <v>SCC010030050</v>
          </cell>
          <cell r="F954">
            <v>69.3</v>
          </cell>
          <cell r="G954">
            <v>47.74</v>
          </cell>
          <cell r="H954" t="str">
            <v>1-Victron</v>
          </cell>
          <cell r="I954">
            <v>0.31111111111111112</v>
          </cell>
        </row>
        <row r="955">
          <cell r="A955" t="str">
            <v>B0952</v>
          </cell>
          <cell r="B955" t="str">
            <v>Victron BlueSolar PWM-LCD&amp;USB 48V-10A</v>
          </cell>
          <cell r="D955" t="str">
            <v>SCC040010050</v>
          </cell>
          <cell r="F955">
            <v>73.8</v>
          </cell>
          <cell r="G955">
            <v>50.839999999999996</v>
          </cell>
          <cell r="H955" t="str">
            <v>1-Victron</v>
          </cell>
          <cell r="I955">
            <v>0.31111111111111112</v>
          </cell>
        </row>
        <row r="956">
          <cell r="A956" t="str">
            <v>B0953</v>
          </cell>
          <cell r="B956" t="str">
            <v>Victron Remote panel for BlueSolar PWM-Pro</v>
          </cell>
          <cell r="D956" t="str">
            <v>SCC900300000</v>
          </cell>
          <cell r="F956">
            <v>63.9</v>
          </cell>
          <cell r="G956">
            <v>44.02</v>
          </cell>
          <cell r="H956" t="str">
            <v>1-Victron</v>
          </cell>
          <cell r="I956">
            <v>0.31111111111111112</v>
          </cell>
        </row>
        <row r="957">
          <cell r="A957" t="str">
            <v>B0954</v>
          </cell>
          <cell r="B957" t="str">
            <v>Victron Temperature sensor for BlueSolar PWM-Pro</v>
          </cell>
          <cell r="D957" t="str">
            <v>SCC940100100</v>
          </cell>
          <cell r="F957">
            <v>17.100000000000001</v>
          </cell>
          <cell r="G957">
            <v>11.78</v>
          </cell>
          <cell r="H957" t="str">
            <v>1-Victron</v>
          </cell>
          <cell r="I957">
            <v>0.31111111111111112</v>
          </cell>
        </row>
        <row r="958">
          <cell r="A958" t="str">
            <v>B0955</v>
          </cell>
          <cell r="B958" t="str">
            <v>Victron BlueSolar PWM-Pro to USB interface cable</v>
          </cell>
          <cell r="D958" t="str">
            <v>SCC940100200</v>
          </cell>
          <cell r="F958">
            <v>17.100000000000001</v>
          </cell>
          <cell r="G958">
            <v>11.78</v>
          </cell>
          <cell r="H958" t="str">
            <v>1-Victron</v>
          </cell>
          <cell r="I958">
            <v>0.31111111111111112</v>
          </cell>
        </row>
        <row r="959">
          <cell r="A959" t="str">
            <v>B0956</v>
          </cell>
          <cell r="B959" t="str">
            <v>Victron BlueSolar PWM DUO 12/24V-20A</v>
          </cell>
          <cell r="D959" t="str">
            <v>SCC010020000</v>
          </cell>
          <cell r="F959">
            <v>0</v>
          </cell>
          <cell r="G959">
            <v>0</v>
          </cell>
          <cell r="H959" t="str">
            <v>1-Victron</v>
          </cell>
          <cell r="I959">
            <v>0</v>
          </cell>
        </row>
        <row r="960">
          <cell r="A960" t="str">
            <v>B0957</v>
          </cell>
          <cell r="B960" t="str">
            <v>Victron Remote Panel for BlueSolar DUO</v>
          </cell>
          <cell r="D960" t="str">
            <v>SCC900200000</v>
          </cell>
          <cell r="F960">
            <v>0</v>
          </cell>
          <cell r="G960">
            <v>0</v>
          </cell>
          <cell r="H960" t="str">
            <v>1-Victron</v>
          </cell>
          <cell r="I960">
            <v>0</v>
          </cell>
        </row>
        <row r="961">
          <cell r="A961" t="str">
            <v>B0958</v>
          </cell>
          <cell r="B961" t="str">
            <v>Victron SmartSolar MPPT 150/70-Tr VE.Can</v>
          </cell>
          <cell r="D961" t="str">
            <v>SCC115070410</v>
          </cell>
          <cell r="F961">
            <v>0</v>
          </cell>
          <cell r="G961">
            <v>0</v>
          </cell>
          <cell r="H961" t="str">
            <v>1-Victron</v>
          </cell>
          <cell r="I961">
            <v>0</v>
          </cell>
        </row>
        <row r="962">
          <cell r="A962" t="str">
            <v>B0959</v>
          </cell>
          <cell r="B962" t="str">
            <v>Victron Smart Solar MPPT 150/100-Tr VE.Can</v>
          </cell>
          <cell r="D962" t="str">
            <v>SCC115110411</v>
          </cell>
          <cell r="F962">
            <v>797.4</v>
          </cell>
          <cell r="G962">
            <v>549.32000000000005</v>
          </cell>
          <cell r="H962" t="str">
            <v>1-Victron</v>
          </cell>
          <cell r="I962">
            <v>0.31111111111111112</v>
          </cell>
        </row>
        <row r="963">
          <cell r="A963" t="str">
            <v>B0960</v>
          </cell>
          <cell r="B963" t="str">
            <v>Victron Smart Solar MPPT 250/70-Tr VE.Can</v>
          </cell>
          <cell r="D963" t="str">
            <v>SCC125070421</v>
          </cell>
          <cell r="F963">
            <v>787.5</v>
          </cell>
          <cell r="G963">
            <v>542.5</v>
          </cell>
          <cell r="H963" t="str">
            <v>1-Victron</v>
          </cell>
          <cell r="I963">
            <v>0.31111111111111112</v>
          </cell>
        </row>
        <row r="964">
          <cell r="A964" t="str">
            <v>B0961</v>
          </cell>
          <cell r="B964" t="str">
            <v>Victron SmartSolar MPPT 250/85-Tr</v>
          </cell>
          <cell r="D964" t="str">
            <v>SCC125085210</v>
          </cell>
          <cell r="F964">
            <v>0</v>
          </cell>
          <cell r="G964">
            <v>0</v>
          </cell>
          <cell r="H964" t="str">
            <v>1-Victron</v>
          </cell>
          <cell r="I964">
            <v>0.31111111111111112</v>
          </cell>
        </row>
        <row r="965">
          <cell r="A965" t="str">
            <v>B0962</v>
          </cell>
          <cell r="B965" t="str">
            <v>Victron Smart Solar MPPT 250/100-Tr VE.Can</v>
          </cell>
          <cell r="D965" t="str">
            <v>SCC125110411</v>
          </cell>
          <cell r="F965">
            <v>0</v>
          </cell>
          <cell r="G965">
            <v>0</v>
          </cell>
          <cell r="H965" t="str">
            <v>1-Victron</v>
          </cell>
          <cell r="I965">
            <v>0</v>
          </cell>
        </row>
        <row r="966">
          <cell r="A966" t="str">
            <v>B0963</v>
          </cell>
          <cell r="B966" t="str">
            <v>Victron MPPT WireBox-S 75-10/15 (For 75/10 and 75-15)</v>
          </cell>
          <cell r="D966" t="str">
            <v>SCC950100000</v>
          </cell>
          <cell r="F966">
            <v>36</v>
          </cell>
          <cell r="G966">
            <v>24.8</v>
          </cell>
          <cell r="H966" t="str">
            <v>1-Victron</v>
          </cell>
          <cell r="I966">
            <v>0.31111111111111112</v>
          </cell>
        </row>
        <row r="967">
          <cell r="A967" t="str">
            <v>B0964</v>
          </cell>
          <cell r="B967" t="str">
            <v>Victron MPPT WireBox-S 100-15</v>
          </cell>
          <cell r="D967" t="str">
            <v>SCC950120000</v>
          </cell>
          <cell r="F967">
            <v>36</v>
          </cell>
          <cell r="G967">
            <v>24.8</v>
          </cell>
          <cell r="H967" t="str">
            <v>1-Victron</v>
          </cell>
          <cell r="I967">
            <v>0.31111111111111112</v>
          </cell>
        </row>
        <row r="968">
          <cell r="A968" t="str">
            <v>B0965</v>
          </cell>
          <cell r="B968" t="str">
            <v>Victron MPPT WireBox-S 100-20</v>
          </cell>
          <cell r="D968" t="str">
            <v>SCC950140000</v>
          </cell>
          <cell r="F968">
            <v>36</v>
          </cell>
          <cell r="G968">
            <v>24.8</v>
          </cell>
          <cell r="H968" t="str">
            <v>1-Victron</v>
          </cell>
          <cell r="I968">
            <v>0.31111111111111112</v>
          </cell>
        </row>
        <row r="969">
          <cell r="A969" t="str">
            <v>B0966</v>
          </cell>
          <cell r="B969" t="str">
            <v>Victron MPPT WireBox-M (for models with h-130mm)</v>
          </cell>
          <cell r="D969" t="str">
            <v>SCC950200000</v>
          </cell>
          <cell r="F969">
            <v>45</v>
          </cell>
          <cell r="G969">
            <v>31</v>
          </cell>
          <cell r="H969" t="str">
            <v>1-Victron</v>
          </cell>
          <cell r="I969">
            <v>0.31111111111111112</v>
          </cell>
        </row>
        <row r="970">
          <cell r="A970" t="str">
            <v>B0967</v>
          </cell>
          <cell r="B970" t="str">
            <v>Victron Lynx Ion + Shunt 350A (not supported in AU)</v>
          </cell>
          <cell r="D970" t="str">
            <v>LYN040351000</v>
          </cell>
          <cell r="F970">
            <v>0</v>
          </cell>
          <cell r="G970">
            <v>0</v>
          </cell>
          <cell r="H970" t="str">
            <v>1-Victron</v>
          </cell>
          <cell r="I970">
            <v>0</v>
          </cell>
        </row>
        <row r="971">
          <cell r="A971" t="str">
            <v>B0968</v>
          </cell>
          <cell r="B971" t="str">
            <v>Victron Ion Control (not supported in AU)</v>
          </cell>
          <cell r="D971" t="str">
            <v>LYN010100100</v>
          </cell>
          <cell r="F971">
            <v>0</v>
          </cell>
          <cell r="G971">
            <v>0</v>
          </cell>
          <cell r="H971" t="str">
            <v>1-Victron</v>
          </cell>
          <cell r="I971">
            <v>0</v>
          </cell>
        </row>
        <row r="972">
          <cell r="A972" t="str">
            <v>B0969</v>
          </cell>
          <cell r="B972" t="str">
            <v>Victron Victron Peak Power Pack 12,8V/8Ah 102Wh</v>
          </cell>
          <cell r="D972" t="str">
            <v>PPP012008000</v>
          </cell>
          <cell r="F972">
            <v>0</v>
          </cell>
          <cell r="G972">
            <v>0</v>
          </cell>
          <cell r="H972" t="str">
            <v>1-Victron</v>
          </cell>
          <cell r="I972">
            <v>0</v>
          </cell>
        </row>
        <row r="973">
          <cell r="A973" t="str">
            <v>B0970</v>
          </cell>
          <cell r="B973" t="str">
            <v>Victron Victron Peak Power Pack 12,8V/20Ah 256Wh</v>
          </cell>
          <cell r="D973" t="str">
            <v>PPP012020000</v>
          </cell>
          <cell r="F973">
            <v>0</v>
          </cell>
          <cell r="G973">
            <v>408.84380952380957</v>
          </cell>
          <cell r="H973" t="str">
            <v>1-Victron</v>
          </cell>
          <cell r="I973">
            <v>0.31111111111111112</v>
          </cell>
        </row>
        <row r="974">
          <cell r="A974" t="str">
            <v>B0971</v>
          </cell>
          <cell r="B974" t="str">
            <v>Victron Victron Peak Power Pack 12,8V/30Ah 384Wh</v>
          </cell>
          <cell r="D974" t="str">
            <v>PPP012030000</v>
          </cell>
          <cell r="F974">
            <v>0</v>
          </cell>
          <cell r="G974">
            <v>566.80000000000007</v>
          </cell>
          <cell r="H974" t="str">
            <v>1-Victron</v>
          </cell>
          <cell r="I974">
            <v>0.31111111111111112</v>
          </cell>
        </row>
        <row r="975">
          <cell r="A975" t="str">
            <v>B0972</v>
          </cell>
          <cell r="B975" t="str">
            <v>Victron Victron Peak Power Pack 12,8V/40Ah 512Wh</v>
          </cell>
          <cell r="D975" t="str">
            <v>PPP012040000</v>
          </cell>
          <cell r="F975">
            <v>0</v>
          </cell>
          <cell r="G975">
            <v>709.15619047619043</v>
          </cell>
          <cell r="H975" t="str">
            <v>1-Victron</v>
          </cell>
          <cell r="I975">
            <v>0.31111111111111112</v>
          </cell>
        </row>
        <row r="976">
          <cell r="A976" t="str">
            <v>B0973</v>
          </cell>
          <cell r="B976" t="str">
            <v>Victron Mini BMS</v>
          </cell>
          <cell r="D976" t="str">
            <v>BMS400100000</v>
          </cell>
          <cell r="F976">
            <v>0</v>
          </cell>
          <cell r="G976">
            <v>54.6</v>
          </cell>
          <cell r="H976" t="str">
            <v>1-Victron</v>
          </cell>
          <cell r="I976">
            <v>0.31111111111111112</v>
          </cell>
        </row>
        <row r="977">
          <cell r="A977" t="str">
            <v>B0974</v>
          </cell>
          <cell r="B977" t="str">
            <v>Victron Battery Management System 12/200</v>
          </cell>
          <cell r="D977" t="str">
            <v>BMS012201000</v>
          </cell>
          <cell r="F977">
            <v>0</v>
          </cell>
          <cell r="G977">
            <v>264.55619047619047</v>
          </cell>
          <cell r="H977" t="str">
            <v>1-Victron</v>
          </cell>
          <cell r="I977">
            <v>0.31111111111111112</v>
          </cell>
        </row>
        <row r="978">
          <cell r="A978" t="str">
            <v>B0975</v>
          </cell>
          <cell r="B978" t="str">
            <v>Victron Male to Female 3 pole 1 m (bag of 2)</v>
          </cell>
          <cell r="D978" t="str">
            <v>ASS030560100</v>
          </cell>
          <cell r="F978">
            <v>0</v>
          </cell>
          <cell r="G978">
            <v>39.315095238095239</v>
          </cell>
          <cell r="H978" t="str">
            <v>1-Victron</v>
          </cell>
          <cell r="I978">
            <v>0.31111111111111112</v>
          </cell>
        </row>
        <row r="979">
          <cell r="A979" t="str">
            <v>B0976</v>
          </cell>
          <cell r="B979" t="str">
            <v>Victron Male to Female 3 pole 2 m (bag of 2)</v>
          </cell>
          <cell r="D979" t="str">
            <v>ASS030560200</v>
          </cell>
          <cell r="F979">
            <v>0</v>
          </cell>
          <cell r="G979">
            <v>41.30749999999999</v>
          </cell>
          <cell r="H979" t="str">
            <v>1-Victron</v>
          </cell>
          <cell r="I979">
            <v>0.31111111111111112</v>
          </cell>
        </row>
        <row r="980">
          <cell r="A980" t="str">
            <v>B0977</v>
          </cell>
          <cell r="B980" t="str">
            <v>Victron Male to Female 3 pole 3 m (bag of 2)</v>
          </cell>
          <cell r="D980" t="str">
            <v>ASS030560300</v>
          </cell>
          <cell r="F980">
            <v>0</v>
          </cell>
          <cell r="G980">
            <v>44.645095238095237</v>
          </cell>
          <cell r="H980" t="str">
            <v>1-Victron</v>
          </cell>
          <cell r="I980">
            <v>0.31111111111111112</v>
          </cell>
        </row>
        <row r="981">
          <cell r="A981" t="str">
            <v>B0978</v>
          </cell>
          <cell r="B981" t="str">
            <v>Victron Male to Female 3 pole 5 m (bag of 2)</v>
          </cell>
          <cell r="D981" t="str">
            <v>ASS030560500</v>
          </cell>
          <cell r="F981">
            <v>0</v>
          </cell>
          <cell r="G981">
            <v>50.634999999999991</v>
          </cell>
          <cell r="H981" t="str">
            <v>1-Victron</v>
          </cell>
          <cell r="I981">
            <v>0.31111111111111112</v>
          </cell>
        </row>
        <row r="982">
          <cell r="A982" t="str">
            <v>B0979</v>
          </cell>
          <cell r="B982" t="str">
            <v>Victron VE.Bus BMS to BMS 12-200 alternator control cable</v>
          </cell>
          <cell r="D982" t="str">
            <v>ASS030510120</v>
          </cell>
          <cell r="F982">
            <v>0</v>
          </cell>
          <cell r="G982">
            <v>39.315095238095239</v>
          </cell>
          <cell r="H982" t="str">
            <v>1-Victron</v>
          </cell>
          <cell r="I982">
            <v>0.31111111111111112</v>
          </cell>
        </row>
        <row r="983">
          <cell r="A983" t="str">
            <v>B0980</v>
          </cell>
          <cell r="B983" t="str">
            <v>Victron Inverting remote on-off cable</v>
          </cell>
          <cell r="D983" t="str">
            <v>ASS030550100</v>
          </cell>
          <cell r="F983">
            <v>0</v>
          </cell>
          <cell r="G983">
            <v>16.649904761904757</v>
          </cell>
          <cell r="H983" t="str">
            <v>1-Victron</v>
          </cell>
          <cell r="I983">
            <v>0.31111111111111112</v>
          </cell>
        </row>
        <row r="984">
          <cell r="A984" t="str">
            <v>B0981</v>
          </cell>
          <cell r="B984" t="str">
            <v>Victron Non-inverting remote on-off cable</v>
          </cell>
          <cell r="D984" t="str">
            <v>ASS030550200</v>
          </cell>
          <cell r="F984">
            <v>0</v>
          </cell>
          <cell r="G984">
            <v>22.6525</v>
          </cell>
          <cell r="H984" t="str">
            <v>1-Victron</v>
          </cell>
          <cell r="I984">
            <v>0.31111111111111112</v>
          </cell>
        </row>
        <row r="985">
          <cell r="A985" t="str">
            <v>B0982</v>
          </cell>
          <cell r="B985" t="str">
            <v>Victron Cyrix-Li-load 12/24V-230A</v>
          </cell>
          <cell r="D985" t="str">
            <v>CYR010230450</v>
          </cell>
          <cell r="F985">
            <v>0</v>
          </cell>
          <cell r="G985">
            <v>180.69999999999996</v>
          </cell>
          <cell r="H985" t="str">
            <v>1-Victron</v>
          </cell>
          <cell r="I985">
            <v>0.31111111111111112</v>
          </cell>
        </row>
        <row r="986">
          <cell r="A986" t="str">
            <v>B0983</v>
          </cell>
          <cell r="B986" t="str">
            <v>Victron Cyrix-Li-load 24/48V-230A</v>
          </cell>
          <cell r="D986" t="str">
            <v>CYR020230450</v>
          </cell>
          <cell r="F986">
            <v>0</v>
          </cell>
          <cell r="G986">
            <v>180.69999999999996</v>
          </cell>
          <cell r="H986" t="str">
            <v>1-Victron</v>
          </cell>
          <cell r="I986">
            <v>0.31111111111111112</v>
          </cell>
        </row>
        <row r="987">
          <cell r="A987" t="str">
            <v>B0984</v>
          </cell>
          <cell r="B987" t="str">
            <v>Victron Cyrix-Li-Charge 12/24V-230A</v>
          </cell>
          <cell r="D987" t="str">
            <v>CYR010230430</v>
          </cell>
          <cell r="F987">
            <v>0</v>
          </cell>
          <cell r="G987">
            <v>180.69999999999996</v>
          </cell>
          <cell r="H987" t="str">
            <v>1-Victron</v>
          </cell>
          <cell r="I987">
            <v>0.31111111111111112</v>
          </cell>
        </row>
        <row r="988">
          <cell r="A988" t="str">
            <v>B0985</v>
          </cell>
          <cell r="B988" t="str">
            <v>Victron Cyrix-Li-Charge 24/48V-230A</v>
          </cell>
          <cell r="D988" t="str">
            <v>CYR020230430</v>
          </cell>
          <cell r="F988">
            <v>0</v>
          </cell>
          <cell r="G988">
            <v>180.69999999999996</v>
          </cell>
          <cell r="H988" t="str">
            <v>1-Victron</v>
          </cell>
          <cell r="I988">
            <v>0.31111111111111112</v>
          </cell>
        </row>
        <row r="989">
          <cell r="A989" t="str">
            <v>B0986</v>
          </cell>
          <cell r="B989" t="str">
            <v>Victron Cyrix-Li-ct 12/24V-230A combiner</v>
          </cell>
          <cell r="D989" t="str">
            <v>CYR010230412</v>
          </cell>
          <cell r="F989">
            <v>0</v>
          </cell>
          <cell r="G989">
            <v>180.69999999999996</v>
          </cell>
          <cell r="H989" t="str">
            <v>1-Victron</v>
          </cell>
          <cell r="I989">
            <v>0.31111111111111112</v>
          </cell>
        </row>
        <row r="990">
          <cell r="A990" t="str">
            <v>B0987</v>
          </cell>
          <cell r="B990" t="str">
            <v>Victron Inverting remote on-off cable</v>
          </cell>
          <cell r="D990" t="str">
            <v>ASS030550100</v>
          </cell>
          <cell r="F990">
            <v>0</v>
          </cell>
          <cell r="G990">
            <v>16.649904761904757</v>
          </cell>
          <cell r="H990" t="str">
            <v>1-Victron</v>
          </cell>
          <cell r="I990">
            <v>0.31111111111111112</v>
          </cell>
        </row>
        <row r="991">
          <cell r="A991" t="str">
            <v>B0988</v>
          </cell>
          <cell r="B991" t="str">
            <v>Victron VE.Direct TX digital output cable (PWM light dimming cable)</v>
          </cell>
          <cell r="D991" t="str">
            <v>ASS030550500</v>
          </cell>
          <cell r="F991">
            <v>0</v>
          </cell>
          <cell r="G991">
            <v>11.319904761904763</v>
          </cell>
          <cell r="H991" t="str">
            <v>1-Victron</v>
          </cell>
          <cell r="I991">
            <v>0.31111111111111112</v>
          </cell>
        </row>
        <row r="992">
          <cell r="A992" t="str">
            <v>B0989</v>
          </cell>
          <cell r="B992" t="str">
            <v>Victron MPPT Control (VE.Direct cable not included)</v>
          </cell>
          <cell r="D992" t="str">
            <v>SCC900500000</v>
          </cell>
          <cell r="F992">
            <v>0</v>
          </cell>
          <cell r="G992">
            <v>87.756190476190469</v>
          </cell>
          <cell r="H992" t="str">
            <v>1-Victron</v>
          </cell>
          <cell r="I992">
            <v>0.31111111111111112</v>
          </cell>
        </row>
        <row r="993">
          <cell r="A993" t="str">
            <v>B0990</v>
          </cell>
          <cell r="B993" t="str">
            <v>Victron VE.Direct non-inverting remote on-off cable</v>
          </cell>
          <cell r="D993" t="str">
            <v>ASS030550320</v>
          </cell>
          <cell r="F993">
            <v>0</v>
          </cell>
          <cell r="G993">
            <v>22.6525</v>
          </cell>
          <cell r="H993" t="str">
            <v>1-Victron</v>
          </cell>
          <cell r="I993">
            <v>0.31111111111111112</v>
          </cell>
        </row>
        <row r="994">
          <cell r="A994" t="str">
            <v>B0991</v>
          </cell>
          <cell r="B994" t="str">
            <v>Victron Smart Battery Sense short range (&lt;3m)</v>
          </cell>
          <cell r="D994" t="str">
            <v>SBS050100200</v>
          </cell>
          <cell r="F994">
            <v>0</v>
          </cell>
          <cell r="G994">
            <v>32.5</v>
          </cell>
          <cell r="H994" t="str">
            <v>1-Victron</v>
          </cell>
          <cell r="I994">
            <v>0.31111111111111112</v>
          </cell>
        </row>
        <row r="995">
          <cell r="A995" t="str">
            <v>B0992</v>
          </cell>
          <cell r="B995" t="str">
            <v>Victron Smart Battery Sense long range (up to 10m)</v>
          </cell>
          <cell r="D995" t="str">
            <v>SBS050150200</v>
          </cell>
          <cell r="F995">
            <v>0</v>
          </cell>
          <cell r="G995">
            <v>43.55619047619048</v>
          </cell>
          <cell r="H995" t="str">
            <v>1-Victron</v>
          </cell>
          <cell r="I995">
            <v>0.31111111111111112</v>
          </cell>
        </row>
        <row r="996">
          <cell r="A996" t="str">
            <v>B0993</v>
          </cell>
          <cell r="B996" t="str">
            <v>Victron 20W-12V Mono 440×350×25mm series 4a*</v>
          </cell>
          <cell r="D996" t="str">
            <v>SPM040201200</v>
          </cell>
          <cell r="F996">
            <v>0</v>
          </cell>
          <cell r="G996">
            <v>34.645000000000003</v>
          </cell>
          <cell r="H996" t="str">
            <v>1-Victron</v>
          </cell>
          <cell r="I996">
            <v>0.31111111111111112</v>
          </cell>
        </row>
        <row r="997">
          <cell r="A997" t="str">
            <v>B0994</v>
          </cell>
          <cell r="B997" t="str">
            <v>Victron 30W-12V Mono 430×545×25mm series 3a*</v>
          </cell>
          <cell r="D997" t="str">
            <v>SPM030301200</v>
          </cell>
          <cell r="F997">
            <v>0</v>
          </cell>
          <cell r="G997">
            <v>0</v>
          </cell>
          <cell r="H997" t="str">
            <v>1-Victron</v>
          </cell>
          <cell r="I997">
            <v>0</v>
          </cell>
        </row>
        <row r="998">
          <cell r="A998" t="str">
            <v>B0995</v>
          </cell>
          <cell r="B998" t="str">
            <v>Victron 40W-12V Mono 425×668×25mm series 4a*</v>
          </cell>
          <cell r="D998" t="str">
            <v>SPM040401200</v>
          </cell>
          <cell r="F998">
            <v>0</v>
          </cell>
          <cell r="G998">
            <v>51.294904761904753</v>
          </cell>
          <cell r="H998" t="str">
            <v>1-Victron</v>
          </cell>
          <cell r="I998">
            <v>0.31111111111111112</v>
          </cell>
        </row>
        <row r="999">
          <cell r="A999" t="str">
            <v>B0996</v>
          </cell>
          <cell r="B999" t="str">
            <v>Victron 55W-12V Mono 545×668×25mm series 4a*</v>
          </cell>
          <cell r="D999" t="str">
            <v>SPM040551200</v>
          </cell>
          <cell r="F999">
            <v>0</v>
          </cell>
          <cell r="G999">
            <v>67.284904761904755</v>
          </cell>
          <cell r="H999" t="str">
            <v>1-Victron</v>
          </cell>
          <cell r="I999">
            <v>0.31111111111111112</v>
          </cell>
        </row>
        <row r="1000">
          <cell r="A1000" t="str">
            <v>B0997</v>
          </cell>
          <cell r="B1000" t="str">
            <v>Victron 80W-12V Mono 1195×545×35mm series 3a</v>
          </cell>
          <cell r="D1000" t="str">
            <v>SPM030801200</v>
          </cell>
          <cell r="F1000">
            <v>0</v>
          </cell>
          <cell r="G1000">
            <v>0</v>
          </cell>
          <cell r="H1000" t="str">
            <v>1-Victron</v>
          </cell>
          <cell r="I1000">
            <v>0</v>
          </cell>
        </row>
        <row r="1001">
          <cell r="A1001" t="str">
            <v>B0998</v>
          </cell>
          <cell r="B1001" t="str">
            <v>Victron 90W-12V Mono 780×668×30mm series 4a</v>
          </cell>
          <cell r="D1001" t="str">
            <v>SPM040901200</v>
          </cell>
          <cell r="F1001">
            <v>137.70000000000002</v>
          </cell>
          <cell r="G1001">
            <v>105.2675</v>
          </cell>
          <cell r="H1001" t="str">
            <v>1-Victron</v>
          </cell>
          <cell r="I1001">
            <v>0.31111111111111112</v>
          </cell>
        </row>
        <row r="1002">
          <cell r="A1002" t="str">
            <v>B0999</v>
          </cell>
          <cell r="B1002" t="str">
            <v>Victron 115W-12V Mono 1015x668x30mm series 4a</v>
          </cell>
          <cell r="D1002" t="str">
            <v>SPM041151200</v>
          </cell>
          <cell r="F1002">
            <v>157.5</v>
          </cell>
          <cell r="G1002">
            <v>119.92499999999998</v>
          </cell>
          <cell r="H1002" t="str">
            <v>1-Victron</v>
          </cell>
          <cell r="I1002">
            <v>0.31111111111111112</v>
          </cell>
        </row>
        <row r="1003">
          <cell r="A1003" t="str">
            <v>B1000</v>
          </cell>
          <cell r="B1003" t="str">
            <v>Victron 175W-12V Mono 1485x668×30mm series 4a</v>
          </cell>
          <cell r="D1003" t="str">
            <v>SPM041751200</v>
          </cell>
          <cell r="F1003">
            <v>0</v>
          </cell>
          <cell r="G1003">
            <v>159.24009523809522</v>
          </cell>
          <cell r="H1003" t="str">
            <v>1-Victron</v>
          </cell>
          <cell r="I1003">
            <v>0.31111111111111112</v>
          </cell>
        </row>
        <row r="1004">
          <cell r="A1004" t="str">
            <v>B1001</v>
          </cell>
          <cell r="B1004" t="str">
            <v>Victron 215W-24V Mono 1580×808×35mm series 4a</v>
          </cell>
          <cell r="D1004" t="str">
            <v>SPM042152400</v>
          </cell>
          <cell r="F1004">
            <v>0</v>
          </cell>
          <cell r="G1004">
            <v>234.51999999999998</v>
          </cell>
          <cell r="H1004" t="str">
            <v>1-Victron</v>
          </cell>
          <cell r="I1004">
            <v>0.31111111111111112</v>
          </cell>
        </row>
        <row r="1005">
          <cell r="A1005" t="str">
            <v>B1002</v>
          </cell>
          <cell r="B1005" t="str">
            <v>Victron 305W-20V Mono 1640x992x35mm series 4a</v>
          </cell>
          <cell r="D1005" t="str">
            <v>SPM043052000</v>
          </cell>
          <cell r="F1005">
            <v>0</v>
          </cell>
          <cell r="G1005">
            <v>277.16000000000003</v>
          </cell>
          <cell r="H1005" t="str">
            <v>1-Victron</v>
          </cell>
          <cell r="I1005">
            <v>0.31111111111111112</v>
          </cell>
        </row>
        <row r="1006">
          <cell r="A1006" t="str">
            <v>B1003</v>
          </cell>
          <cell r="B1006" t="str">
            <v>Victron 360W-24V Mono 1956×992×40mm series 4a</v>
          </cell>
          <cell r="D1006" t="str">
            <v>SPM043602400</v>
          </cell>
          <cell r="F1006">
            <v>0</v>
          </cell>
          <cell r="G1006">
            <v>310.47250000000003</v>
          </cell>
          <cell r="H1006" t="str">
            <v>1-Victron</v>
          </cell>
          <cell r="I1006">
            <v>0.31111111111111112</v>
          </cell>
        </row>
        <row r="1007">
          <cell r="A1007" t="str">
            <v>B1004</v>
          </cell>
          <cell r="B1007" t="str">
            <v>Victron Solar Cable 4mm with MC4 Connectors Length 1 m</v>
          </cell>
          <cell r="D1007" t="str">
            <v>SCA000100000</v>
          </cell>
          <cell r="F1007">
            <v>0</v>
          </cell>
          <cell r="G1007">
            <v>11.319904761904763</v>
          </cell>
          <cell r="H1007" t="str">
            <v>1-Victron</v>
          </cell>
          <cell r="I1007">
            <v>0.31111111111111112</v>
          </cell>
        </row>
        <row r="1008">
          <cell r="A1008" t="str">
            <v>B1005</v>
          </cell>
          <cell r="B1008" t="str">
            <v>Victron Solar Cable 4mm with MC4 Connectors Length 3 m</v>
          </cell>
          <cell r="D1008" t="str">
            <v>SCA000300000</v>
          </cell>
          <cell r="F1008">
            <v>0</v>
          </cell>
          <cell r="G1008">
            <v>16.649904761904757</v>
          </cell>
          <cell r="H1008" t="str">
            <v>1-Victron</v>
          </cell>
          <cell r="I1008">
            <v>0.31111111111111112</v>
          </cell>
        </row>
        <row r="1009">
          <cell r="A1009" t="str">
            <v>B1006</v>
          </cell>
          <cell r="B1009" t="str">
            <v>Victron Solar Cable 4mm with MC4 Connectors Length 5 m</v>
          </cell>
          <cell r="D1009" t="str">
            <v>SCA000500000</v>
          </cell>
          <cell r="F1009">
            <v>0</v>
          </cell>
          <cell r="G1009">
            <v>24.644904761904765</v>
          </cell>
          <cell r="H1009" t="str">
            <v>1-Victron</v>
          </cell>
          <cell r="I1009">
            <v>0.31111111111111112</v>
          </cell>
        </row>
        <row r="1010">
          <cell r="A1010" t="str">
            <v>B1007</v>
          </cell>
          <cell r="B1010" t="str">
            <v>Victron Solar Cable 6mm with MC4 Connectors Length 1 m</v>
          </cell>
          <cell r="D1010" t="str">
            <v>SCA000100100</v>
          </cell>
          <cell r="F1010">
            <v>0</v>
          </cell>
          <cell r="G1010">
            <v>13.324999999999999</v>
          </cell>
          <cell r="H1010" t="str">
            <v>1-Victron</v>
          </cell>
          <cell r="I1010">
            <v>0.31111111111111112</v>
          </cell>
        </row>
        <row r="1011">
          <cell r="A1011" t="str">
            <v>B1008</v>
          </cell>
          <cell r="B1011" t="str">
            <v>Victron Solar Cable 6mm with MC4 Connectors Length 3 m</v>
          </cell>
          <cell r="D1011" t="str">
            <v>SCA000300100</v>
          </cell>
          <cell r="F1011">
            <v>0</v>
          </cell>
          <cell r="G1011">
            <v>19.987499999999997</v>
          </cell>
          <cell r="H1011" t="str">
            <v>1-Victron</v>
          </cell>
          <cell r="I1011">
            <v>0.31111111111111112</v>
          </cell>
        </row>
        <row r="1012">
          <cell r="A1012" t="str">
            <v>B1009</v>
          </cell>
          <cell r="B1012" t="str">
            <v>Victron Solar Cable 6mm with MC4 Connectors Length 5 m</v>
          </cell>
          <cell r="D1012" t="str">
            <v>SCA000500100</v>
          </cell>
          <cell r="F1012">
            <v>0</v>
          </cell>
          <cell r="G1012">
            <v>29.974904761904757</v>
          </cell>
          <cell r="H1012" t="str">
            <v>1-Victron</v>
          </cell>
          <cell r="I1012">
            <v>0.31111111111111112</v>
          </cell>
        </row>
        <row r="1013">
          <cell r="A1013" t="str">
            <v>B1010</v>
          </cell>
          <cell r="B1013" t="str">
            <v>Victron Solar Cable 6mm with MC4 Connectors Length 10 m</v>
          </cell>
          <cell r="D1013" t="str">
            <v>SCA001000100</v>
          </cell>
          <cell r="F1013">
            <v>0</v>
          </cell>
          <cell r="G1013">
            <v>45.964904761904762</v>
          </cell>
          <cell r="H1013" t="str">
            <v>1-Victron</v>
          </cell>
          <cell r="I1013">
            <v>0.31111111111111112</v>
          </cell>
        </row>
        <row r="1014">
          <cell r="A1014" t="str">
            <v>B1011</v>
          </cell>
          <cell r="B1014" t="str">
            <v>Victron Solar Cable 6mm with MC4 Connectors Length 20 m</v>
          </cell>
          <cell r="D1014" t="str">
            <v>SCA002000100</v>
          </cell>
          <cell r="F1014">
            <v>0</v>
          </cell>
          <cell r="G1014">
            <v>85.28</v>
          </cell>
          <cell r="H1014" t="str">
            <v>1-Victron</v>
          </cell>
          <cell r="I1014">
            <v>0.31111111111111112</v>
          </cell>
        </row>
        <row r="1015">
          <cell r="A1015" t="str">
            <v>B1012</v>
          </cell>
          <cell r="B1015" t="str">
            <v>Victron Solar adapter cable MC4 male to MC3 female, length 15 cm</v>
          </cell>
          <cell r="D1015" t="str">
            <v>SCA500100000</v>
          </cell>
          <cell r="F1015">
            <v>0</v>
          </cell>
          <cell r="G1015">
            <v>10.66</v>
          </cell>
          <cell r="H1015" t="str">
            <v>1-Victron</v>
          </cell>
          <cell r="I1015">
            <v>0.31111111111111112</v>
          </cell>
        </row>
        <row r="1016">
          <cell r="A1016" t="str">
            <v>B1013</v>
          </cell>
          <cell r="B1016" t="str">
            <v>Victron Solar adapter cable MC4 female to MC3 male, length 15 cm</v>
          </cell>
          <cell r="D1016" t="str">
            <v>SCA500200000</v>
          </cell>
          <cell r="F1016">
            <v>0</v>
          </cell>
          <cell r="G1016">
            <v>10.66</v>
          </cell>
          <cell r="H1016" t="str">
            <v>1-Victron</v>
          </cell>
          <cell r="I1016">
            <v>0.31111111111111112</v>
          </cell>
        </row>
        <row r="1017">
          <cell r="A1017" t="str">
            <v>B1014</v>
          </cell>
          <cell r="B1017" t="str">
            <v>Victron Digital Multi Control 200/200A</v>
          </cell>
          <cell r="D1017" t="str">
            <v>REC020005010</v>
          </cell>
          <cell r="F1017">
            <v>0</v>
          </cell>
          <cell r="G1017">
            <v>163.80000000000001</v>
          </cell>
          <cell r="H1017" t="str">
            <v>1-Victron</v>
          </cell>
          <cell r="I1017">
            <v>0.31111111111111112</v>
          </cell>
        </row>
        <row r="1018">
          <cell r="A1018" t="str">
            <v>B1015</v>
          </cell>
          <cell r="B1018" t="str">
            <v>Victron Wall mount enclosure for Color Control GX</v>
          </cell>
          <cell r="D1018" t="str">
            <v>ASS050400000</v>
          </cell>
          <cell r="F1018">
            <v>0</v>
          </cell>
          <cell r="G1018">
            <v>43.55619047619048</v>
          </cell>
          <cell r="H1018" t="str">
            <v>1-Victron</v>
          </cell>
          <cell r="I1018">
            <v>0.31111111111111112</v>
          </cell>
        </row>
        <row r="1019">
          <cell r="A1019" t="str">
            <v>B1016</v>
          </cell>
          <cell r="B1019" t="str">
            <v>Victron Phoenix Inverter 48/5000 Smart</v>
          </cell>
          <cell r="D1019" t="str">
            <v>PIN482500000</v>
          </cell>
          <cell r="F1019">
            <v>2106</v>
          </cell>
          <cell r="G1019">
            <v>1450.8</v>
          </cell>
          <cell r="H1019" t="str">
            <v>1-Victron</v>
          </cell>
          <cell r="I1019">
            <v>0.31111111111111112</v>
          </cell>
        </row>
        <row r="1020">
          <cell r="A1020" t="str">
            <v>B1017</v>
          </cell>
          <cell r="B1020" t="str">
            <v>Victron VE.Direct Cable 0.3m (one side Right Angle conn)</v>
          </cell>
          <cell r="D1020" t="str">
            <v>ASS030531203</v>
          </cell>
          <cell r="F1020">
            <v>20.7</v>
          </cell>
          <cell r="G1020">
            <v>14.26</v>
          </cell>
          <cell r="H1020" t="str">
            <v>1-Victron</v>
          </cell>
          <cell r="I1020">
            <v>0.31111111111111112</v>
          </cell>
        </row>
        <row r="1021">
          <cell r="A1021" t="str">
            <v>B1018</v>
          </cell>
          <cell r="B1021" t="str">
            <v>Noark MCB 63A 360V DC 4 Pole</v>
          </cell>
          <cell r="D1021">
            <v>84482</v>
          </cell>
          <cell r="F1021">
            <v>83.117647058823536</v>
          </cell>
          <cell r="G1021">
            <v>56.52</v>
          </cell>
          <cell r="H1021" t="str">
            <v>3-Tradezone</v>
          </cell>
          <cell r="I1021">
            <v>0.32</v>
          </cell>
        </row>
        <row r="1022">
          <cell r="A1022" t="str">
            <v>B1019</v>
          </cell>
          <cell r="B1022" t="str">
            <v>Avery Label Adhesive A4 Clear 1/page (Avery #L7567)</v>
          </cell>
          <cell r="D1022" t="str">
            <v>L7567</v>
          </cell>
          <cell r="F1022">
            <v>0</v>
          </cell>
          <cell r="G1022">
            <v>0</v>
          </cell>
          <cell r="H1022" t="str">
            <v>1-Victron</v>
          </cell>
          <cell r="I1022">
            <v>0</v>
          </cell>
        </row>
        <row r="1023">
          <cell r="A1023" t="str">
            <v>B1020</v>
          </cell>
          <cell r="B1023" t="str">
            <v>Goodwe DNS Series 3.0KW</v>
          </cell>
          <cell r="D1023" t="str">
            <v>GW3000D-NS</v>
          </cell>
          <cell r="F1023">
            <v>927.14285714285722</v>
          </cell>
          <cell r="G1023">
            <v>649</v>
          </cell>
          <cell r="H1023" t="str">
            <v>2-Krannich</v>
          </cell>
          <cell r="I1023">
            <v>0.3</v>
          </cell>
        </row>
        <row r="1024">
          <cell r="A1024" t="str">
            <v>B1021</v>
          </cell>
          <cell r="B1024" t="str">
            <v>Victron Energy meter EM24 - 3 phase - max 65A/phase</v>
          </cell>
          <cell r="D1024" t="str">
            <v>REL200100000</v>
          </cell>
          <cell r="F1024">
            <v>267.3</v>
          </cell>
          <cell r="G1024">
            <v>184.14</v>
          </cell>
          <cell r="H1024" t="str">
            <v>1-Victron</v>
          </cell>
          <cell r="I1024">
            <v>0.31111111111111112</v>
          </cell>
        </row>
        <row r="1025">
          <cell r="A1025" t="str">
            <v>B1022</v>
          </cell>
          <cell r="B1025" t="str">
            <v>Victron RS485 to USB interface cable 1.8 m</v>
          </cell>
          <cell r="D1025" t="str">
            <v>ASS030572018</v>
          </cell>
          <cell r="F1025">
            <v>0</v>
          </cell>
          <cell r="G1025">
            <v>30.556190476190476</v>
          </cell>
          <cell r="H1025" t="str">
            <v>1-Victron</v>
          </cell>
          <cell r="I1025">
            <v>0.31111111111111112</v>
          </cell>
        </row>
        <row r="1026">
          <cell r="A1026" t="str">
            <v>B1023</v>
          </cell>
          <cell r="B1026" t="str">
            <v>Powerplus Battery Powerplus LiFe 3.3KWh 24V Lithium Module</v>
          </cell>
          <cell r="D1026" t="str">
            <v>LiFe2433P</v>
          </cell>
          <cell r="F1026">
            <v>3425.7142857142858</v>
          </cell>
          <cell r="G1026">
            <v>2398</v>
          </cell>
          <cell r="H1026" t="str">
            <v>6-Various</v>
          </cell>
          <cell r="I1026">
            <v>0.3</v>
          </cell>
        </row>
        <row r="1027">
          <cell r="A1027" t="str">
            <v>B1024</v>
          </cell>
          <cell r="B1027" t="str">
            <v>Victron Cyrix-ct 12/24V-120A intelligent combiner</v>
          </cell>
          <cell r="D1027" t="str">
            <v>CYR010120011R</v>
          </cell>
          <cell r="F1027">
            <v>0</v>
          </cell>
          <cell r="G1027">
            <v>49.4</v>
          </cell>
          <cell r="H1027" t="str">
            <v>1-Victron</v>
          </cell>
          <cell r="I1027">
            <v>0.31111111111111112</v>
          </cell>
        </row>
        <row r="1028">
          <cell r="A1028" t="str">
            <v>B1025</v>
          </cell>
          <cell r="B1028" t="str">
            <v>Victron Cyrix-ct 12/24V-120A Battery combiner kit</v>
          </cell>
          <cell r="D1028" t="str">
            <v>CYR010120110R</v>
          </cell>
          <cell r="F1028">
            <v>0</v>
          </cell>
          <cell r="G1028">
            <v>98.156190476190488</v>
          </cell>
          <cell r="H1028" t="str">
            <v>1-Victron</v>
          </cell>
          <cell r="I1028">
            <v>0.31111111111111112</v>
          </cell>
        </row>
        <row r="1029">
          <cell r="A1029" t="str">
            <v>B1026</v>
          </cell>
          <cell r="B1029" t="str">
            <v>Victron BlueSolar PWM-Light 48V-10A</v>
          </cell>
          <cell r="D1029" t="str">
            <v>SCC040010020</v>
          </cell>
          <cell r="F1029">
            <v>63.9</v>
          </cell>
          <cell r="G1029">
            <v>44.02</v>
          </cell>
          <cell r="H1029" t="str">
            <v>1-Victron</v>
          </cell>
          <cell r="I1029">
            <v>0.31111111111111112</v>
          </cell>
        </row>
        <row r="1030">
          <cell r="A1030" t="str">
            <v>B1027</v>
          </cell>
          <cell r="B1030" t="str">
            <v>Victron BlueSolar PWM-Light 48V-20A</v>
          </cell>
          <cell r="D1030" t="str">
            <v>SCC040020020</v>
          </cell>
          <cell r="F1030">
            <v>81.900000000000006</v>
          </cell>
          <cell r="G1030">
            <v>56.42</v>
          </cell>
          <cell r="H1030" t="str">
            <v>1-Victron</v>
          </cell>
          <cell r="I1030">
            <v>0.31111111111111112</v>
          </cell>
        </row>
        <row r="1031">
          <cell r="A1031" t="str">
            <v>B1028</v>
          </cell>
          <cell r="B1031" t="str">
            <v>Victron BlueSolar PWM-Light 48V-30A</v>
          </cell>
          <cell r="D1031" t="str">
            <v>SCC040030020</v>
          </cell>
          <cell r="F1031">
            <v>95.4</v>
          </cell>
          <cell r="G1031">
            <v>65.72</v>
          </cell>
          <cell r="H1031" t="str">
            <v>1-Victron</v>
          </cell>
          <cell r="I1031">
            <v>0.31111111111111112</v>
          </cell>
        </row>
        <row r="1032">
          <cell r="A1032" t="str">
            <v>B1029</v>
          </cell>
          <cell r="B1032" t="str">
            <v>Victron BlueSolar PWM-Pro 12/24V-5A</v>
          </cell>
          <cell r="D1032" t="str">
            <v>SCC010005010</v>
          </cell>
          <cell r="F1032">
            <v>37.800000000000004</v>
          </cell>
          <cell r="G1032">
            <v>26.04</v>
          </cell>
          <cell r="H1032" t="str">
            <v>1-Victron</v>
          </cell>
          <cell r="I1032">
            <v>0.31111111111111112</v>
          </cell>
        </row>
        <row r="1033">
          <cell r="A1033" t="str">
            <v>B1030</v>
          </cell>
          <cell r="B1033" t="str">
            <v>Victron BlueSolar PWM-Pro 12/24V-10A</v>
          </cell>
          <cell r="D1033" t="str">
            <v>SCC010010010</v>
          </cell>
          <cell r="F1033">
            <v>42.300000000000004</v>
          </cell>
          <cell r="G1033">
            <v>29.14</v>
          </cell>
          <cell r="H1033" t="str">
            <v>1-Victron</v>
          </cell>
          <cell r="I1033">
            <v>0.31111111111111112</v>
          </cell>
        </row>
        <row r="1034">
          <cell r="A1034" t="str">
            <v>B1031</v>
          </cell>
          <cell r="B1034" t="str">
            <v>Victron BlueSolar PWM-Pro 12/24V-20A</v>
          </cell>
          <cell r="D1034" t="str">
            <v>SCC010020110</v>
          </cell>
          <cell r="F1034">
            <v>73.8</v>
          </cell>
          <cell r="G1034">
            <v>50.839999999999996</v>
          </cell>
          <cell r="H1034" t="str">
            <v>1-Victron</v>
          </cell>
          <cell r="I1034">
            <v>0.31111111111111112</v>
          </cell>
        </row>
        <row r="1035">
          <cell r="A1035" t="str">
            <v>B1032</v>
          </cell>
          <cell r="B1035" t="str">
            <v>Victron BlueSolar PWM-Pro 12/24V-30A</v>
          </cell>
          <cell r="D1035" t="str">
            <v>SCC010030010</v>
          </cell>
          <cell r="F1035">
            <v>117</v>
          </cell>
          <cell r="G1035">
            <v>80.599999999999994</v>
          </cell>
          <cell r="H1035" t="str">
            <v>1-Victron</v>
          </cell>
          <cell r="I1035">
            <v>0.31111111111111112</v>
          </cell>
        </row>
        <row r="1036">
          <cell r="A1036" t="str">
            <v>B1033</v>
          </cell>
          <cell r="B1036" t="str">
            <v xml:space="preserve">Victron 12V15Ah  AGM Super Cycle Batt. (Faston-tab 6.3x0.8mm) </v>
          </cell>
          <cell r="D1036" t="str">
            <v>BAT412015080</v>
          </cell>
          <cell r="F1036">
            <v>0</v>
          </cell>
          <cell r="G1036">
            <v>46.156190476190481</v>
          </cell>
          <cell r="H1036" t="str">
            <v>1-Victron</v>
          </cell>
          <cell r="I1036">
            <v>0.31111111111111112</v>
          </cell>
        </row>
        <row r="1037">
          <cell r="A1037" t="str">
            <v>B1034</v>
          </cell>
          <cell r="B1037" t="str">
            <v>Victron Lithium SuperPack 25,6V/50Ah (M8)</v>
          </cell>
          <cell r="D1037" t="str">
            <v>BAT524050705</v>
          </cell>
          <cell r="F1037">
            <v>0</v>
          </cell>
          <cell r="G1037">
            <v>1454.7</v>
          </cell>
          <cell r="H1037" t="str">
            <v>1-Victron</v>
          </cell>
          <cell r="I1037">
            <v>0.31111111111111112</v>
          </cell>
        </row>
        <row r="1038">
          <cell r="A1038" t="str">
            <v>B1035</v>
          </cell>
          <cell r="B1038" t="str">
            <v>Victron 50W-12V Poly 540×670×25mm series 3a*</v>
          </cell>
          <cell r="D1038" t="str">
            <v>SPP030501200</v>
          </cell>
          <cell r="F1038">
            <v>0</v>
          </cell>
          <cell r="G1038">
            <v>0</v>
          </cell>
          <cell r="H1038" t="str">
            <v>1-Victron</v>
          </cell>
          <cell r="I1038">
            <v>0</v>
          </cell>
        </row>
        <row r="1039">
          <cell r="A1039" t="str">
            <v>B1036</v>
          </cell>
          <cell r="B1039" t="str">
            <v>Victron 60W-12V Poly 545×668×25mm series 4a*</v>
          </cell>
          <cell r="D1039" t="str">
            <v>SPP040601200</v>
          </cell>
          <cell r="F1039">
            <v>0</v>
          </cell>
          <cell r="G1039">
            <v>68.630095238095222</v>
          </cell>
          <cell r="H1039" t="str">
            <v>1-Victron</v>
          </cell>
          <cell r="I1039">
            <v>0.31111111111111112</v>
          </cell>
        </row>
        <row r="1040">
          <cell r="A1040" t="str">
            <v>B1037</v>
          </cell>
          <cell r="B1040" t="str">
            <v>Victron 90W-12V Poly 780×668×30mm series 4a</v>
          </cell>
          <cell r="D1040" t="str">
            <v>SPP040901200</v>
          </cell>
          <cell r="F1040">
            <v>0</v>
          </cell>
          <cell r="G1040">
            <v>100.61009523809524</v>
          </cell>
          <cell r="H1040" t="str">
            <v>1-Victron</v>
          </cell>
          <cell r="I1040">
            <v>0.31111111111111112</v>
          </cell>
        </row>
        <row r="1041">
          <cell r="A1041" t="str">
            <v>B1038</v>
          </cell>
          <cell r="B1041" t="str">
            <v>Victron 100W-12V Poly 1000×670×35mm series 3a</v>
          </cell>
          <cell r="D1041" t="str">
            <v>SPP031001200</v>
          </cell>
          <cell r="F1041">
            <v>0</v>
          </cell>
          <cell r="G1041">
            <v>0</v>
          </cell>
          <cell r="H1041" t="str">
            <v>1-Victron</v>
          </cell>
          <cell r="I1041">
            <v>0</v>
          </cell>
        </row>
        <row r="1042">
          <cell r="A1042" t="str">
            <v>B1039</v>
          </cell>
          <cell r="B1042" t="str">
            <v xml:space="preserve">Victron 115W-12V Poly 1015x668x30mm series 4a </v>
          </cell>
          <cell r="D1042" t="str">
            <v>SPP041151200</v>
          </cell>
          <cell r="F1042">
            <v>0</v>
          </cell>
          <cell r="G1042">
            <v>111.27009523809524</v>
          </cell>
          <cell r="H1042" t="str">
            <v>1-Victron</v>
          </cell>
          <cell r="I1042">
            <v>0.31111111111111112</v>
          </cell>
        </row>
        <row r="1043">
          <cell r="A1043" t="str">
            <v>B1040</v>
          </cell>
          <cell r="B1043" t="str">
            <v>Victron 260W-20V Poly 1640x992x40mm series 3b</v>
          </cell>
          <cell r="D1043" t="str">
            <v>SPP032602000</v>
          </cell>
          <cell r="F1043">
            <v>0</v>
          </cell>
          <cell r="G1043">
            <v>0</v>
          </cell>
          <cell r="H1043" t="str">
            <v>1-Victron</v>
          </cell>
          <cell r="I1043">
            <v>0</v>
          </cell>
        </row>
        <row r="1044">
          <cell r="A1044" t="str">
            <v>B1041</v>
          </cell>
          <cell r="B1044" t="str">
            <v>Victron Solar splitter pair MC4-Y, 1x M-2F / 1x F-2M</v>
          </cell>
          <cell r="D1044" t="str">
            <v>SCA520500000</v>
          </cell>
          <cell r="F1044">
            <v>0</v>
          </cell>
          <cell r="G1044">
            <v>27.309904761904757</v>
          </cell>
          <cell r="H1044" t="str">
            <v>1-Victron</v>
          </cell>
          <cell r="I1044">
            <v>0.31111111111111112</v>
          </cell>
        </row>
        <row r="1045">
          <cell r="A1045" t="str">
            <v>B1042</v>
          </cell>
          <cell r="B1045" t="str">
            <v>ecoCool Solar connector pair MC4, 1x Male / 1x Female</v>
          </cell>
          <cell r="D1045" t="str">
            <v>SCA520300000</v>
          </cell>
          <cell r="F1045">
            <v>0</v>
          </cell>
          <cell r="G1045">
            <v>9.3274999999999988</v>
          </cell>
          <cell r="H1045" t="str">
            <v>1-Victron</v>
          </cell>
          <cell r="I1045">
            <v>0.31111111111111112</v>
          </cell>
        </row>
        <row r="1046">
          <cell r="A1046" t="str">
            <v>B1043</v>
          </cell>
          <cell r="B1046" t="e">
            <v>#N/A</v>
          </cell>
          <cell r="D1046" t="e">
            <v>#N/A</v>
          </cell>
          <cell r="F1046">
            <v>0</v>
          </cell>
          <cell r="G1046">
            <v>0</v>
          </cell>
          <cell r="H1046" t="str">
            <v>2-Krannich</v>
          </cell>
          <cell r="I1046">
            <v>0</v>
          </cell>
        </row>
        <row r="1047">
          <cell r="A1047" t="str">
            <v>B1044</v>
          </cell>
          <cell r="B1047" t="e">
            <v>#N/A</v>
          </cell>
          <cell r="D1047" t="e">
            <v>#N/A</v>
          </cell>
          <cell r="F1047">
            <v>0</v>
          </cell>
          <cell r="G1047">
            <v>0</v>
          </cell>
          <cell r="H1047" t="str">
            <v>2-Krannich</v>
          </cell>
          <cell r="I1047">
            <v>0</v>
          </cell>
        </row>
        <row r="1048">
          <cell r="A1048" t="str">
            <v>B1045</v>
          </cell>
          <cell r="B1048" t="str">
            <v>SMA Automatic Backup Unit for Sunny Storage</v>
          </cell>
          <cell r="D1048" t="str">
            <v>SBS-ABU-63.1-AU-10</v>
          </cell>
          <cell r="F1048">
            <v>0</v>
          </cell>
          <cell r="G1048">
            <v>0</v>
          </cell>
          <cell r="H1048" t="str">
            <v>9-SolarJuice</v>
          </cell>
          <cell r="I1048">
            <v>0</v>
          </cell>
        </row>
        <row r="1049">
          <cell r="A1049" t="str">
            <v>B1046</v>
          </cell>
          <cell r="B1049" t="str">
            <v>Sonnenschein Solar Sealed 2V Gel Cell, A602/1130, battery links included, AH @ C100 = 1105</v>
          </cell>
          <cell r="D1049" t="str">
            <v>A602/1130</v>
          </cell>
          <cell r="F1049">
            <v>0</v>
          </cell>
          <cell r="G1049">
            <v>0</v>
          </cell>
          <cell r="H1049" t="str">
            <v>10-SupplyPartners</v>
          </cell>
          <cell r="I1049">
            <v>0</v>
          </cell>
        </row>
        <row r="1050">
          <cell r="A1050" t="str">
            <v>B1047</v>
          </cell>
          <cell r="B1050" t="str">
            <v>Sonnenschein Solar Sealed 2V Gel Cell, A602/1415, battery links included, AH @ C100 = 1382</v>
          </cell>
          <cell r="D1050" t="str">
            <v>A602/1415</v>
          </cell>
          <cell r="F1050">
            <v>0</v>
          </cell>
          <cell r="G1050">
            <v>0</v>
          </cell>
          <cell r="H1050" t="str">
            <v>10-SupplyPartners</v>
          </cell>
          <cell r="I1050">
            <v>0</v>
          </cell>
        </row>
        <row r="1051">
          <cell r="A1051" t="str">
            <v>B1048</v>
          </cell>
          <cell r="B1051" t="str">
            <v>Sonnenschein Solar Sealed 2V Gel Cell, A602/1695, battery links included, AH @ C100 = 1658</v>
          </cell>
          <cell r="D1051" t="str">
            <v>A602/1695</v>
          </cell>
          <cell r="F1051">
            <v>0</v>
          </cell>
          <cell r="G1051">
            <v>0</v>
          </cell>
          <cell r="H1051" t="str">
            <v>10-SupplyPartners</v>
          </cell>
          <cell r="I1051">
            <v>0</v>
          </cell>
        </row>
        <row r="1052">
          <cell r="A1052" t="str">
            <v>B1049</v>
          </cell>
          <cell r="B1052" t="str">
            <v>Sonnenschein Solar Sealed 2V Gel Cell, A602/1960, battery links included, AH @ C100 = 1937</v>
          </cell>
          <cell r="D1052" t="str">
            <v>A602/1960</v>
          </cell>
          <cell r="F1052">
            <v>0</v>
          </cell>
          <cell r="G1052">
            <v>0</v>
          </cell>
          <cell r="H1052" t="str">
            <v>10-SupplyPartners</v>
          </cell>
          <cell r="I1052">
            <v>0</v>
          </cell>
        </row>
        <row r="1053">
          <cell r="A1053" t="str">
            <v>B1050</v>
          </cell>
          <cell r="B1053" t="str">
            <v>Sonnenschein Solar Sealed 2V Gel Cell, A602/2600, battery links included, AH @ C100 = 2547</v>
          </cell>
          <cell r="D1053" t="str">
            <v>A602/2600</v>
          </cell>
          <cell r="F1053">
            <v>0</v>
          </cell>
          <cell r="G1053">
            <v>0</v>
          </cell>
          <cell r="H1053" t="str">
            <v>10-SupplyPartners</v>
          </cell>
          <cell r="I1053">
            <v>0</v>
          </cell>
        </row>
        <row r="1054">
          <cell r="A1054" t="str">
            <v>B1051</v>
          </cell>
          <cell r="B1054" t="str">
            <v>Sonnenschein Solar Sealed 2V Gel Cell, A602/520, battery links included, AH @ C100 = 505</v>
          </cell>
          <cell r="D1054" t="str">
            <v>A602/520</v>
          </cell>
          <cell r="F1054">
            <v>0</v>
          </cell>
          <cell r="G1054">
            <v>0</v>
          </cell>
          <cell r="H1054" t="str">
            <v>10-SupplyPartners</v>
          </cell>
          <cell r="I1054">
            <v>0</v>
          </cell>
        </row>
        <row r="1055">
          <cell r="A1055" t="str">
            <v>B1052</v>
          </cell>
          <cell r="B1055" t="str">
            <v>Sonnenschein Solar Sealed 2V Gel Cell, A602/750, battery links included, AH @ C100 = 707</v>
          </cell>
          <cell r="D1055" t="str">
            <v>A602/750</v>
          </cell>
          <cell r="F1055">
            <v>0</v>
          </cell>
          <cell r="G1055">
            <v>0</v>
          </cell>
          <cell r="H1055" t="str">
            <v>10-SupplyPartners</v>
          </cell>
          <cell r="I1055">
            <v>0</v>
          </cell>
        </row>
        <row r="1056">
          <cell r="A1056" t="str">
            <v>B1053</v>
          </cell>
          <cell r="B1056" t="str">
            <v>Sonnenschein Solar Sealed 2V Gel Cell, A602/850, battery links included, AH @ C100 = 829</v>
          </cell>
          <cell r="D1056" t="str">
            <v>A602/850</v>
          </cell>
          <cell r="F1056">
            <v>0</v>
          </cell>
          <cell r="G1056">
            <v>0</v>
          </cell>
          <cell r="H1056" t="str">
            <v>10-SupplyPartners</v>
          </cell>
          <cell r="I1056">
            <v>0</v>
          </cell>
        </row>
        <row r="1057">
          <cell r="A1057" t="str">
            <v>B1054</v>
          </cell>
          <cell r="B1057" t="str">
            <v>Sonnenschein Solar Sealed 6V Gel Cell, SB6/200A, AH @ C100 = 200</v>
          </cell>
          <cell r="D1057" t="str">
            <v>SB6/200A</v>
          </cell>
          <cell r="F1057">
            <v>0</v>
          </cell>
          <cell r="G1057">
            <v>0</v>
          </cell>
          <cell r="H1057" t="str">
            <v>10-SupplyPartners</v>
          </cell>
          <cell r="I1057">
            <v>0</v>
          </cell>
        </row>
        <row r="1058">
          <cell r="A1058" t="str">
            <v>B1055</v>
          </cell>
          <cell r="B1058" t="str">
            <v>Sonnenschein Solar Sealed 6V Gel Cell, SB6/330A, AH @ C100 = 330</v>
          </cell>
          <cell r="D1058" t="str">
            <v>SB6/330A</v>
          </cell>
          <cell r="F1058">
            <v>0</v>
          </cell>
          <cell r="G1058">
            <v>0</v>
          </cell>
          <cell r="H1058" t="str">
            <v>10-SupplyPartners</v>
          </cell>
          <cell r="I1058">
            <v>0</v>
          </cell>
        </row>
        <row r="1059">
          <cell r="A1059" t="str">
            <v>B1056</v>
          </cell>
          <cell r="B1059" t="str">
            <v>Sungrow 10kW Three Phase Solar</v>
          </cell>
          <cell r="D1059" t="str">
            <v>SG10KTL-MT</v>
          </cell>
          <cell r="F1059">
            <v>0</v>
          </cell>
          <cell r="G1059">
            <v>0</v>
          </cell>
          <cell r="H1059" t="str">
            <v>10-SupplyPartners</v>
          </cell>
          <cell r="I1059">
            <v>0</v>
          </cell>
        </row>
        <row r="1060">
          <cell r="A1060" t="str">
            <v>B1057</v>
          </cell>
          <cell r="B1060" t="str">
            <v>Sungrow 15kW Three Phase Solar</v>
          </cell>
          <cell r="D1060" t="str">
            <v>SG15KTL-M</v>
          </cell>
          <cell r="F1060">
            <v>0</v>
          </cell>
          <cell r="G1060">
            <v>0</v>
          </cell>
          <cell r="H1060" t="str">
            <v>10-SupplyPartners</v>
          </cell>
          <cell r="I1060">
            <v>0</v>
          </cell>
        </row>
        <row r="1061">
          <cell r="A1061" t="str">
            <v>B1058</v>
          </cell>
          <cell r="B1061" t="str">
            <v>Sungrow 20kW Three Phase Solar</v>
          </cell>
          <cell r="D1061" t="str">
            <v>SG20KTL-M</v>
          </cell>
          <cell r="F1061">
            <v>0</v>
          </cell>
          <cell r="G1061">
            <v>0</v>
          </cell>
          <cell r="H1061" t="str">
            <v>10-SupplyPartners</v>
          </cell>
          <cell r="I1061">
            <v>0</v>
          </cell>
        </row>
        <row r="1062">
          <cell r="A1062" t="str">
            <v>B1059</v>
          </cell>
          <cell r="B1062" t="str">
            <v>Sungrow 5kW Single Phase Hybrid</v>
          </cell>
          <cell r="D1062" t="str">
            <v>SGSH5K-20</v>
          </cell>
          <cell r="F1062">
            <v>0</v>
          </cell>
          <cell r="G1062">
            <v>0</v>
          </cell>
          <cell r="H1062" t="str">
            <v>10-SupplyPartners</v>
          </cell>
          <cell r="I1062">
            <v>0</v>
          </cell>
        </row>
        <row r="1063">
          <cell r="A1063" t="str">
            <v>B1060</v>
          </cell>
          <cell r="B1063" t="str">
            <v>Sungrow 5kW Three Phase Solar</v>
          </cell>
          <cell r="D1063" t="str">
            <v>SG5KTL-MT</v>
          </cell>
          <cell r="F1063">
            <v>0</v>
          </cell>
          <cell r="G1063">
            <v>0</v>
          </cell>
          <cell r="H1063" t="str">
            <v>10-SupplyPartners</v>
          </cell>
          <cell r="I1063">
            <v>0</v>
          </cell>
        </row>
        <row r="1064">
          <cell r="A1064" t="str">
            <v>B1061</v>
          </cell>
          <cell r="B1064" t="str">
            <v>Sungrow COM100E - Logger1000 commercial datalogger in IP66 enclosure with power supply</v>
          </cell>
          <cell r="D1064" t="str">
            <v>COM100E</v>
          </cell>
          <cell r="F1064">
            <v>0</v>
          </cell>
          <cell r="G1064">
            <v>0</v>
          </cell>
          <cell r="H1064" t="str">
            <v>10-SupplyPartners</v>
          </cell>
          <cell r="I1064">
            <v>0</v>
          </cell>
        </row>
        <row r="1065">
          <cell r="A1065" t="str">
            <v>B1062</v>
          </cell>
          <cell r="B1065" t="str">
            <v>Sungrow Crystal 2.0kW Single MPPT (2nd Gen)</v>
          </cell>
          <cell r="D1065" t="str">
            <v>SG2K-S</v>
          </cell>
          <cell r="F1065">
            <v>0</v>
          </cell>
          <cell r="G1065">
            <v>0</v>
          </cell>
          <cell r="H1065" t="str">
            <v>10-SupplyPartners</v>
          </cell>
          <cell r="I1065">
            <v>0</v>
          </cell>
        </row>
        <row r="1066">
          <cell r="A1066" t="str">
            <v>B1063</v>
          </cell>
          <cell r="B1066" t="str">
            <v>Sungrow Crystal 2.5kW Single MPPT (2nd Gen)</v>
          </cell>
          <cell r="D1066" t="str">
            <v>SG2K5-S</v>
          </cell>
          <cell r="F1066">
            <v>0</v>
          </cell>
          <cell r="G1066">
            <v>0</v>
          </cell>
          <cell r="H1066" t="str">
            <v>10-SupplyPartners</v>
          </cell>
          <cell r="I1066">
            <v>0</v>
          </cell>
        </row>
        <row r="1067">
          <cell r="A1067" t="str">
            <v>B1064</v>
          </cell>
          <cell r="B1067" t="str">
            <v>Sungrow Crystal 3kW Dual MPPT (2nd Gen)</v>
          </cell>
          <cell r="D1067" t="str">
            <v>SG3K-D</v>
          </cell>
          <cell r="F1067">
            <v>0</v>
          </cell>
          <cell r="G1067">
            <v>0</v>
          </cell>
          <cell r="H1067" t="str">
            <v>10-SupplyPartners</v>
          </cell>
          <cell r="I1067">
            <v>0</v>
          </cell>
        </row>
        <row r="1068">
          <cell r="A1068" t="str">
            <v>B1065</v>
          </cell>
          <cell r="B1068" t="str">
            <v>Sungrow Crystal 3kW Single MPPT (2nd Gen)</v>
          </cell>
          <cell r="D1068" t="str">
            <v>SG3K-S</v>
          </cell>
          <cell r="F1068">
            <v>0</v>
          </cell>
          <cell r="G1068">
            <v>0</v>
          </cell>
          <cell r="H1068" t="str">
            <v>10-SupplyPartners</v>
          </cell>
          <cell r="I1068">
            <v>0</v>
          </cell>
        </row>
        <row r="1069">
          <cell r="A1069" t="str">
            <v>B1066</v>
          </cell>
          <cell r="B1069" t="str">
            <v>Sungrow Crystal 5kW Dual MPPT (2nd Gen)</v>
          </cell>
          <cell r="D1069" t="str">
            <v>SG5K-D</v>
          </cell>
          <cell r="F1069">
            <v>0</v>
          </cell>
          <cell r="G1069">
            <v>0</v>
          </cell>
          <cell r="H1069" t="str">
            <v>10-SupplyPartners</v>
          </cell>
          <cell r="I1069">
            <v>0</v>
          </cell>
        </row>
        <row r="1070">
          <cell r="A1070" t="str">
            <v>B1067</v>
          </cell>
          <cell r="B1070" t="str">
            <v>Victron Phoenix Inverter 24/5000 Smart</v>
          </cell>
          <cell r="D1070">
            <v>0</v>
          </cell>
          <cell r="F1070">
            <v>0</v>
          </cell>
          <cell r="G1070">
            <v>0</v>
          </cell>
          <cell r="H1070" t="str">
            <v>10-SupplyPartners</v>
          </cell>
          <cell r="I1070">
            <v>0</v>
          </cell>
        </row>
        <row r="1071">
          <cell r="A1071" t="str">
            <v>B1068</v>
          </cell>
          <cell r="B1071" t="str">
            <v>Victron Phoenix Inverter 12/5000 Smart</v>
          </cell>
          <cell r="D1071">
            <v>0</v>
          </cell>
          <cell r="F1071">
            <v>0</v>
          </cell>
          <cell r="G1071">
            <v>0</v>
          </cell>
          <cell r="H1071" t="str">
            <v>10-SupplyPartners</v>
          </cell>
          <cell r="I1071">
            <v>0</v>
          </cell>
        </row>
        <row r="1072">
          <cell r="A1072" t="str">
            <v>B1069</v>
          </cell>
          <cell r="B1072" t="str">
            <v>Victron MultiPlus 12/2000/80-32</v>
          </cell>
          <cell r="D1072" t="str">
            <v>PMP122200000</v>
          </cell>
          <cell r="F1072">
            <v>1579.5</v>
          </cell>
          <cell r="G1072">
            <v>1088.0999999999999</v>
          </cell>
          <cell r="H1072" t="str">
            <v>1-Victron</v>
          </cell>
          <cell r="I1072">
            <v>0.31111111111111112</v>
          </cell>
        </row>
        <row r="1073">
          <cell r="A1073" t="str">
            <v>B1070</v>
          </cell>
          <cell r="B1073" t="str">
            <v xml:space="preserve">Victron Quattro-II 24/5000/120-50 230V </v>
          </cell>
          <cell r="D1073" t="str">
            <v>QUA242505010</v>
          </cell>
          <cell r="F1073">
            <v>3601.8</v>
          </cell>
          <cell r="G1073">
            <v>2481.2399999999998</v>
          </cell>
          <cell r="H1073" t="str">
            <v>1-Victron</v>
          </cell>
          <cell r="I1073">
            <v>0.31111111111111112</v>
          </cell>
        </row>
        <row r="1074">
          <cell r="A1074" t="str">
            <v>B1071</v>
          </cell>
          <cell r="B1074" t="str">
            <v xml:space="preserve">Victron Quattro-II 48/5000/70-50 230V </v>
          </cell>
          <cell r="D1074" t="str">
            <v>QUA482504010</v>
          </cell>
          <cell r="F1074">
            <v>2935.8</v>
          </cell>
          <cell r="G1074">
            <v>2022.44</v>
          </cell>
          <cell r="H1074" t="str">
            <v>1-Victron</v>
          </cell>
          <cell r="I1074">
            <v>0.31111111111111112</v>
          </cell>
        </row>
        <row r="1075">
          <cell r="A1075" t="str">
            <v>B1072</v>
          </cell>
          <cell r="B1075" t="str">
            <v>Midnight Solar Ground Fault Relay 63A/150V</v>
          </cell>
          <cell r="D1075" t="str">
            <v>MNDC-GFP63</v>
          </cell>
          <cell r="F1075">
            <v>152.94117647058826</v>
          </cell>
          <cell r="G1075">
            <v>104</v>
          </cell>
          <cell r="H1075" t="str">
            <v>6-Various</v>
          </cell>
          <cell r="I1075">
            <v>0.32</v>
          </cell>
        </row>
        <row r="1076">
          <cell r="A1076" t="str">
            <v>B1073</v>
          </cell>
          <cell r="B1076" t="str">
            <v>Midnight Solar Ground Fault Relay 80A/150V</v>
          </cell>
          <cell r="D1076" t="str">
            <v>MNDC-GFP80</v>
          </cell>
          <cell r="F1076">
            <v>152.94117647058826</v>
          </cell>
          <cell r="G1076">
            <v>104</v>
          </cell>
          <cell r="H1076" t="str">
            <v>6-Various</v>
          </cell>
          <cell r="I1076">
            <v>0.32</v>
          </cell>
        </row>
        <row r="1077">
          <cell r="A1077" t="str">
            <v>B1074</v>
          </cell>
          <cell r="B1077" t="str">
            <v>Victron VE.Bus BMS V2</v>
          </cell>
          <cell r="D1077" t="str">
            <v>BMS300200200</v>
          </cell>
          <cell r="F1077">
            <v>240.3</v>
          </cell>
          <cell r="G1077">
            <v>165.54</v>
          </cell>
          <cell r="H1077" t="str">
            <v>1-Victron</v>
          </cell>
          <cell r="I1077">
            <v>0.31111111111111112</v>
          </cell>
        </row>
        <row r="1078">
          <cell r="A1078" t="str">
            <v>B1075</v>
          </cell>
          <cell r="B1078" t="str">
            <v xml:space="preserve">Victron Ekrano GX </v>
          </cell>
          <cell r="D1078" t="str">
            <v>BPP900480100</v>
          </cell>
          <cell r="F1078">
            <v>963.9</v>
          </cell>
          <cell r="G1078">
            <v>664.02</v>
          </cell>
          <cell r="H1078" t="str">
            <v>1-Victron</v>
          </cell>
          <cell r="I1078">
            <v>0.31111111111111112</v>
          </cell>
        </row>
        <row r="1079">
          <cell r="A1079" t="str">
            <v>B1076</v>
          </cell>
          <cell r="B1079" t="str">
            <v>Victron EV Charging Station</v>
          </cell>
          <cell r="D1079" t="str">
            <v>EVC300400300</v>
          </cell>
          <cell r="F1079">
            <v>966.6</v>
          </cell>
          <cell r="G1079">
            <v>665.88</v>
          </cell>
          <cell r="H1079" t="str">
            <v>1-Victron</v>
          </cell>
          <cell r="I1079">
            <v>0.31111111111111112</v>
          </cell>
        </row>
        <row r="1080">
          <cell r="A1080" t="str">
            <v>B1077</v>
          </cell>
          <cell r="B1080" t="str">
            <v>Victron EV Charging Station NS</v>
          </cell>
          <cell r="D1080" t="str">
            <v>EVC200300200</v>
          </cell>
          <cell r="F1080">
            <v>966.6</v>
          </cell>
          <cell r="G1080">
            <v>665.88</v>
          </cell>
          <cell r="H1080" t="str">
            <v>1-Victron</v>
          </cell>
          <cell r="I1080">
            <v>0.31111111111111112</v>
          </cell>
        </row>
        <row r="1081">
          <cell r="A1081" t="str">
            <v>B1078</v>
          </cell>
          <cell r="B1081" t="str">
            <v>Victron GX Touch 70</v>
          </cell>
          <cell r="D1081" t="str">
            <v>BPP900455070</v>
          </cell>
          <cell r="F1081">
            <v>499.5</v>
          </cell>
          <cell r="G1081">
            <v>344.1</v>
          </cell>
          <cell r="H1081" t="str">
            <v>1-Victron</v>
          </cell>
          <cell r="I1081">
            <v>0.31111111111111112</v>
          </cell>
        </row>
        <row r="1082">
          <cell r="A1082" t="str">
            <v>B1079</v>
          </cell>
          <cell r="B1082" t="str">
            <v>Victron EasySolarII 48/5000/70-50 GX</v>
          </cell>
          <cell r="D1082" t="str">
            <v>PMP482507010</v>
          </cell>
          <cell r="F1082">
            <v>3377.7000000000003</v>
          </cell>
          <cell r="G1082">
            <v>2326.86</v>
          </cell>
          <cell r="H1082" t="str">
            <v>1-Victron</v>
          </cell>
          <cell r="I1082">
            <v>0.31111111111111112</v>
          </cell>
        </row>
        <row r="1083">
          <cell r="A1083" t="str">
            <v>B1080</v>
          </cell>
          <cell r="B1083" t="str">
            <v>Victron Cerbo-S GX</v>
          </cell>
          <cell r="D1083" t="str">
            <v>BPP900450120</v>
          </cell>
          <cell r="F1083">
            <v>335.7</v>
          </cell>
          <cell r="G1083">
            <v>231.26</v>
          </cell>
          <cell r="H1083" t="str">
            <v>1-Victron</v>
          </cell>
          <cell r="I1083">
            <v>0.31111111111111112</v>
          </cell>
        </row>
        <row r="1084">
          <cell r="A1084" t="str">
            <v>B1081</v>
          </cell>
          <cell r="B1084" t="str">
            <v>Hresys 5KWh Lithium Battery Module</v>
          </cell>
          <cell r="D1084" t="str">
            <v>VHR-TL-48100</v>
          </cell>
          <cell r="F1084">
            <v>2373.5714285714289</v>
          </cell>
          <cell r="G1084">
            <v>1661.5</v>
          </cell>
          <cell r="H1084" t="str">
            <v>6-Various</v>
          </cell>
          <cell r="I1084">
            <v>0.3</v>
          </cell>
        </row>
        <row r="1085">
          <cell r="A1085" t="str">
            <v>B1082</v>
          </cell>
          <cell r="B1085" t="str">
            <v>Victron Type 2 EV Charging cable 3m, 22kW</v>
          </cell>
          <cell r="D1085" t="str">
            <v>EVC703220300</v>
          </cell>
          <cell r="F1085">
            <v>231.3</v>
          </cell>
          <cell r="G1085">
            <v>159.34</v>
          </cell>
          <cell r="H1085" t="str">
            <v>1-Victron</v>
          </cell>
          <cell r="I1085">
            <v>0.31111111111111112</v>
          </cell>
        </row>
        <row r="1086">
          <cell r="A1086" t="str">
            <v>B1083</v>
          </cell>
          <cell r="B1086" t="str">
            <v>Victron Type 2 EV Charging cable 5m, 22kW</v>
          </cell>
          <cell r="D1086" t="str">
            <v>EVC703220500</v>
          </cell>
          <cell r="F1086">
            <v>259.2</v>
          </cell>
          <cell r="G1086">
            <v>178.56</v>
          </cell>
          <cell r="H1086" t="str">
            <v>1-Victron</v>
          </cell>
          <cell r="I1086">
            <v>0.31111111111111112</v>
          </cell>
        </row>
        <row r="1087">
          <cell r="A1087" t="str">
            <v>B1084</v>
          </cell>
          <cell r="B1087" t="str">
            <v>Powerhouse PowerHouse AGM Cycling 12V 120Ah</v>
          </cell>
          <cell r="D1087" t="str">
            <v>PHC12/120</v>
          </cell>
          <cell r="F1087">
            <v>264.70588235294122</v>
          </cell>
          <cell r="G1087">
            <v>180</v>
          </cell>
          <cell r="H1087" t="str">
            <v>14-MHPower</v>
          </cell>
          <cell r="I1087">
            <v>0.32</v>
          </cell>
        </row>
        <row r="1088">
          <cell r="A1088" t="str">
            <v>B1085</v>
          </cell>
          <cell r="B1088" t="str">
            <v>Voltex  32A gen inlet, 3pin</v>
          </cell>
          <cell r="D1088" t="str">
            <v>C66AI332</v>
          </cell>
          <cell r="F1088">
            <v>145.14705882352942</v>
          </cell>
          <cell r="G1088">
            <v>98.7</v>
          </cell>
          <cell r="H1088" t="str">
            <v>6-Various</v>
          </cell>
          <cell r="I1088">
            <v>0.32</v>
          </cell>
        </row>
        <row r="1089">
          <cell r="A1089" t="str">
            <v>B1086</v>
          </cell>
          <cell r="B1089" t="str">
            <v>Voltex 10A outlet</v>
          </cell>
          <cell r="D1089" t="str">
            <v>C66SO310</v>
          </cell>
          <cell r="F1089">
            <v>40</v>
          </cell>
          <cell r="G1089">
            <v>26</v>
          </cell>
          <cell r="H1089" t="str">
            <v>6-Various</v>
          </cell>
          <cell r="I1089">
            <v>0.35</v>
          </cell>
        </row>
        <row r="1090">
          <cell r="A1090" t="str">
            <v>B1087</v>
          </cell>
          <cell r="B1090" t="str">
            <v>Voltex 15A outlet</v>
          </cell>
          <cell r="D1090" t="str">
            <v>C66SO315</v>
          </cell>
          <cell r="F1090">
            <v>41.53846153846154</v>
          </cell>
          <cell r="G1090">
            <v>27</v>
          </cell>
          <cell r="H1090" t="str">
            <v>6-Various</v>
          </cell>
          <cell r="I1090">
            <v>0.35</v>
          </cell>
        </row>
        <row r="1091">
          <cell r="A1091" t="str">
            <v>B1088</v>
          </cell>
          <cell r="B1091" t="str">
            <v>Voltex 15A outlet</v>
          </cell>
          <cell r="D1091" t="str">
            <v>C66SO332</v>
          </cell>
          <cell r="F1091">
            <v>69.230769230769226</v>
          </cell>
          <cell r="G1091">
            <v>45</v>
          </cell>
          <cell r="H1091" t="str">
            <v>6-Various</v>
          </cell>
          <cell r="I1091">
            <v>0.35</v>
          </cell>
        </row>
        <row r="1092">
          <cell r="A1092" t="str">
            <v>B1089</v>
          </cell>
          <cell r="B1092" t="str">
            <v>NHP 10A isolator 2 pole AC</v>
          </cell>
          <cell r="D1092" t="str">
            <v>ISOSW110PG</v>
          </cell>
          <cell r="F1092">
            <v>60.184615384615377</v>
          </cell>
          <cell r="G1092">
            <v>39.119999999999997</v>
          </cell>
          <cell r="H1092" t="str">
            <v>3-Tradezone</v>
          </cell>
          <cell r="I1092">
            <v>0.35</v>
          </cell>
        </row>
        <row r="1093">
          <cell r="A1093" t="str">
            <v>B1090</v>
          </cell>
          <cell r="B1093" t="str">
            <v>AERL CoolMax SRX MPPT 300/30</v>
          </cell>
          <cell r="D1093" t="str">
            <v>SRXHV 300/30</v>
          </cell>
          <cell r="F1093">
            <v>1798.5714285714287</v>
          </cell>
          <cell r="G1093">
            <v>1259</v>
          </cell>
          <cell r="H1093" t="str">
            <v>6-Various</v>
          </cell>
          <cell r="I1093">
            <v>0.3</v>
          </cell>
        </row>
        <row r="1094">
          <cell r="A1094" t="str">
            <v>B1091</v>
          </cell>
          <cell r="B1094" t="str">
            <v>AERL CoolMax SRX MPPT 300/40</v>
          </cell>
          <cell r="D1094" t="str">
            <v>SRXHV 300/40</v>
          </cell>
          <cell r="F1094">
            <v>1998.5714285714287</v>
          </cell>
          <cell r="G1094">
            <v>1399</v>
          </cell>
          <cell r="H1094" t="str">
            <v>6-Various</v>
          </cell>
          <cell r="I1094">
            <v>0.3</v>
          </cell>
        </row>
        <row r="1095">
          <cell r="A1095" t="str">
            <v>B1092</v>
          </cell>
          <cell r="B1095" t="str">
            <v>AERL CoolMax SRX MPPT 300/50</v>
          </cell>
          <cell r="D1095" t="str">
            <v>SRXMV 300/50</v>
          </cell>
          <cell r="F1095">
            <v>1555.7142857142858</v>
          </cell>
          <cell r="G1095">
            <v>1089</v>
          </cell>
          <cell r="H1095" t="str">
            <v>6-Various</v>
          </cell>
          <cell r="I1095">
            <v>0.3</v>
          </cell>
        </row>
        <row r="1096">
          <cell r="A1096" t="str">
            <v>B1093</v>
          </cell>
          <cell r="B1096" t="str">
            <v>AERL CoolMax SRX MPPT 300/60</v>
          </cell>
          <cell r="D1096" t="str">
            <v>SRXMV 300/60</v>
          </cell>
          <cell r="F1096">
            <v>1641.4285714285716</v>
          </cell>
          <cell r="G1096">
            <v>1149</v>
          </cell>
          <cell r="H1096" t="str">
            <v>6-Various</v>
          </cell>
          <cell r="I1096">
            <v>0.3</v>
          </cell>
        </row>
        <row r="1097">
          <cell r="A1097" t="str">
            <v>B1094</v>
          </cell>
          <cell r="B1097" t="str">
            <v>Morningstar TriStar MPPT  60A 600V y</v>
          </cell>
          <cell r="D1097" t="str">
            <v>TS-MPPT-60-60048</v>
          </cell>
          <cell r="F1097">
            <v>2683.957142857143</v>
          </cell>
          <cell r="G1097">
            <v>1878.77</v>
          </cell>
          <cell r="H1097" t="str">
            <v>10-RFI</v>
          </cell>
          <cell r="I1097">
            <v>0</v>
          </cell>
        </row>
        <row r="1098">
          <cell r="A1098" t="str">
            <v>B1095</v>
          </cell>
          <cell r="B1098" t="str">
            <v>Morningstar TriStar MPPT 60A 600V w/ DC Disconnect Box</v>
          </cell>
          <cell r="D1098" t="str">
            <v>TS-MPPT-60-60048DB</v>
          </cell>
          <cell r="F1098">
            <v>3154.7428571428577</v>
          </cell>
          <cell r="G1098">
            <v>2208.3200000000002</v>
          </cell>
          <cell r="H1098" t="str">
            <v>10-RFI</v>
          </cell>
          <cell r="I1098">
            <v>0</v>
          </cell>
        </row>
        <row r="1099">
          <cell r="A1099" t="str">
            <v>B1096</v>
          </cell>
          <cell r="B1099" t="str">
            <v>Morningstar TriStar Digital Meter for TS-MPPT-600V only</v>
          </cell>
          <cell r="D1099" t="str">
            <v>TS-M-2-600V</v>
          </cell>
          <cell r="F1099">
            <v>233.75</v>
          </cell>
          <cell r="G1099">
            <v>158.94999999999999</v>
          </cell>
          <cell r="H1099" t="str">
            <v>10-RFI</v>
          </cell>
          <cell r="I1099">
            <v>0</v>
          </cell>
        </row>
        <row r="1100">
          <cell r="A1100" t="str">
            <v>B1097</v>
          </cell>
          <cell r="B1100" t="str">
            <v>Morningstar Ground fault protection device 600V</v>
          </cell>
          <cell r="D1100" t="str">
            <v>GFPD-600V</v>
          </cell>
          <cell r="F1100">
            <v>760.94285714285718</v>
          </cell>
          <cell r="G1100">
            <v>532.66</v>
          </cell>
          <cell r="H1100" t="str">
            <v>10-RFI</v>
          </cell>
          <cell r="I1100">
            <v>0</v>
          </cell>
        </row>
        <row r="1101">
          <cell r="A1101" t="str">
            <v>B1098</v>
          </cell>
          <cell r="B1101" t="str">
            <v>Solar Edge SolarEdge StorEdge Interface S2</v>
          </cell>
          <cell r="D1101" t="str">
            <v>SESTI-S2</v>
          </cell>
          <cell r="F1101">
            <v>0</v>
          </cell>
          <cell r="G1101">
            <v>0</v>
          </cell>
          <cell r="H1101" t="str">
            <v>12-SolDistribution</v>
          </cell>
          <cell r="I1101">
            <v>0</v>
          </cell>
        </row>
        <row r="1102">
          <cell r="A1102" t="str">
            <v>B1099</v>
          </cell>
          <cell r="B1102" t="str">
            <v>Solar Edge SolarEdge Modbus Meter</v>
          </cell>
          <cell r="D1102" t="str">
            <v xml:space="preserve">SE-WND-3Y400-MB-K2 </v>
          </cell>
          <cell r="F1102">
            <v>0</v>
          </cell>
          <cell r="G1102">
            <v>0</v>
          </cell>
          <cell r="H1102" t="str">
            <v>12-SolDistribution</v>
          </cell>
          <cell r="I1102">
            <v>0</v>
          </cell>
        </row>
        <row r="1103">
          <cell r="A1103" t="str">
            <v>B1100</v>
          </cell>
          <cell r="B1103" t="str">
            <v>Solar Edge SolarEdge 250A Split-Core Current Transformer</v>
          </cell>
          <cell r="D1103" t="str">
            <v xml:space="preserve">SE-ACT-0750-250-C6 </v>
          </cell>
          <cell r="F1103">
            <v>0</v>
          </cell>
          <cell r="G1103">
            <v>0</v>
          </cell>
          <cell r="H1103" t="str">
            <v>12-SolDistribution</v>
          </cell>
          <cell r="I1103">
            <v>0</v>
          </cell>
        </row>
        <row r="1104">
          <cell r="A1104" t="str">
            <v>B1101</v>
          </cell>
          <cell r="B1104" t="str">
            <v>BYD Battery-Box L3.5</v>
          </cell>
          <cell r="D1104" t="str">
            <v>BBox-L3.5</v>
          </cell>
          <cell r="F1104">
            <v>3141.4285714285716</v>
          </cell>
          <cell r="G1104">
            <v>2199</v>
          </cell>
          <cell r="H1104" t="str">
            <v>2-Krannich</v>
          </cell>
          <cell r="I1104">
            <v>0.3</v>
          </cell>
        </row>
        <row r="1105">
          <cell r="A1105" t="str">
            <v>B1102</v>
          </cell>
          <cell r="B1105" t="str">
            <v>BYD Battery-Box L7.0</v>
          </cell>
          <cell r="D1105" t="str">
            <v>BBox-L7.0</v>
          </cell>
          <cell r="F1105">
            <v>5712.8571428571431</v>
          </cell>
          <cell r="G1105">
            <v>3999</v>
          </cell>
          <cell r="H1105" t="str">
            <v>2-Krannich</v>
          </cell>
          <cell r="I1105">
            <v>0.3</v>
          </cell>
        </row>
        <row r="1106">
          <cell r="A1106" t="str">
            <v>B1103</v>
          </cell>
          <cell r="B1106" t="str">
            <v>BYD Battery-Box L10.5</v>
          </cell>
          <cell r="D1106" t="str">
            <v>BBox-L10.5</v>
          </cell>
          <cell r="F1106">
            <v>8427.1428571428569</v>
          </cell>
          <cell r="G1106">
            <v>5899</v>
          </cell>
          <cell r="H1106" t="str">
            <v>2-Krannich</v>
          </cell>
          <cell r="I1106">
            <v>0.3</v>
          </cell>
        </row>
        <row r="1107">
          <cell r="A1107" t="str">
            <v>B1104</v>
          </cell>
          <cell r="B1107" t="str">
            <v>BYD Battery-Box L14</v>
          </cell>
          <cell r="D1107" t="str">
            <v>BBox-L14</v>
          </cell>
          <cell r="F1107">
            <v>10712.857142857143</v>
          </cell>
          <cell r="G1107">
            <v>7499</v>
          </cell>
          <cell r="H1107" t="str">
            <v>2-Krannich</v>
          </cell>
          <cell r="I1107">
            <v>0.3</v>
          </cell>
        </row>
        <row r="1108">
          <cell r="A1108" t="str">
            <v>B1105</v>
          </cell>
          <cell r="B1108" t="str">
            <v>BYD Battery-Box 2.5KWh LV Module</v>
          </cell>
          <cell r="D1108" t="str">
            <v>BBOX-LV-2.5</v>
          </cell>
          <cell r="F1108">
            <v>0</v>
          </cell>
          <cell r="G1108">
            <v>0</v>
          </cell>
          <cell r="H1108" t="str">
            <v>12-SolDistribution</v>
          </cell>
          <cell r="I1108">
            <v>0</v>
          </cell>
        </row>
        <row r="1109">
          <cell r="A1109" t="str">
            <v>B1106</v>
          </cell>
          <cell r="B1109" t="str">
            <v>BYD Battery IP55 Cabinet</v>
          </cell>
          <cell r="D1109" t="str">
            <v>BYD-IP55-CAB</v>
          </cell>
          <cell r="F1109">
            <v>0</v>
          </cell>
          <cell r="G1109">
            <v>0</v>
          </cell>
          <cell r="H1109" t="str">
            <v>12-SolDistribution</v>
          </cell>
          <cell r="I1109">
            <v>0</v>
          </cell>
        </row>
        <row r="1110">
          <cell r="A1110" t="str">
            <v>B1107</v>
          </cell>
          <cell r="B1110" t="str">
            <v>BYD LV Flex 5KWh 48V Module</v>
          </cell>
          <cell r="D1110" t="str">
            <v>B-BoxLVFlex</v>
          </cell>
          <cell r="F1110">
            <v>2855.7142857142858</v>
          </cell>
          <cell r="G1110">
            <v>1999</v>
          </cell>
          <cell r="H1110" t="str">
            <v>2-Krannich</v>
          </cell>
          <cell r="I1110">
            <v>0.3</v>
          </cell>
        </row>
        <row r="1111">
          <cell r="A1111" t="str">
            <v>B1108</v>
          </cell>
          <cell r="B1111" t="str">
            <v>Victron Multiplus-II GX 48/5000/70-50</v>
          </cell>
          <cell r="D1111" t="str">
            <v>PMP482506000</v>
          </cell>
          <cell r="F1111">
            <v>1764.9</v>
          </cell>
          <cell r="G1111">
            <v>1215.82</v>
          </cell>
          <cell r="H1111" t="str">
            <v>1-Victron</v>
          </cell>
          <cell r="I1111">
            <v>0.31111111111111112</v>
          </cell>
        </row>
        <row r="1112">
          <cell r="A1112" t="str">
            <v>B1109</v>
          </cell>
          <cell r="B1112" t="str">
            <v>IP Enclosures Enclosure 600H x 600W x 200D Steel Powdercoated</v>
          </cell>
          <cell r="D1112" t="str">
            <v>IP606020</v>
          </cell>
          <cell r="F1112">
            <v>283.88235294117646</v>
          </cell>
          <cell r="G1112">
            <v>193.04</v>
          </cell>
          <cell r="H1112" t="str">
            <v>3-Tradezone</v>
          </cell>
          <cell r="I1112">
            <v>0.32</v>
          </cell>
        </row>
        <row r="1113">
          <cell r="A1113" t="str">
            <v>B1110</v>
          </cell>
          <cell r="B1113" t="str">
            <v>Fiamm Sealed Gel OPzV 2V 860Ah (C120)</v>
          </cell>
          <cell r="D1113" t="str">
            <v>SMG860</v>
          </cell>
          <cell r="F1113">
            <v>625.00000000000011</v>
          </cell>
          <cell r="G1113">
            <v>425</v>
          </cell>
          <cell r="H1113" t="str">
            <v>6-Various</v>
          </cell>
          <cell r="I1113">
            <v>0.32</v>
          </cell>
        </row>
        <row r="1114">
          <cell r="A1114" t="str">
            <v>B1111</v>
          </cell>
          <cell r="B1114" t="str">
            <v>Fiamm Sealed Gel OPzV 2V 1150Ah (C120)</v>
          </cell>
          <cell r="D1114" t="str">
            <v>SMG1150</v>
          </cell>
          <cell r="F1114">
            <v>827.14285714285722</v>
          </cell>
          <cell r="G1114">
            <v>579</v>
          </cell>
          <cell r="H1114" t="str">
            <v>6-Various</v>
          </cell>
          <cell r="I1114">
            <v>0.3</v>
          </cell>
        </row>
        <row r="1115">
          <cell r="A1115" t="str">
            <v>B1112</v>
          </cell>
          <cell r="B1115" t="str">
            <v>Fiamm Sealed Gel OPzV 2V 1440Ah (C120)</v>
          </cell>
          <cell r="D1115" t="str">
            <v>SMG1440</v>
          </cell>
          <cell r="F1115">
            <v>1071.4285714285716</v>
          </cell>
          <cell r="G1115">
            <v>750</v>
          </cell>
          <cell r="H1115" t="str">
            <v>6-Various</v>
          </cell>
          <cell r="I1115">
            <v>0.3</v>
          </cell>
        </row>
        <row r="1116">
          <cell r="A1116" t="str">
            <v>B1113</v>
          </cell>
          <cell r="B1116" t="str">
            <v>DC Solutions Fuse 200A NH1 500V DC HRC</v>
          </cell>
          <cell r="D1116" t="str">
            <v>FH01/200A</v>
          </cell>
          <cell r="F1116">
            <v>14.261538461538461</v>
          </cell>
          <cell r="G1116">
            <v>9.27</v>
          </cell>
          <cell r="H1116" t="str">
            <v>3-Tradezone</v>
          </cell>
          <cell r="I1116">
            <v>0.35</v>
          </cell>
        </row>
        <row r="1117">
          <cell r="A1117" t="str">
            <v>B1114</v>
          </cell>
          <cell r="B1117" t="str">
            <v>NHP Isolator 40A 2 Pole IP65</v>
          </cell>
          <cell r="D1117" t="str">
            <v>NL140L</v>
          </cell>
          <cell r="F1117">
            <v>25.230769230769226</v>
          </cell>
          <cell r="G1117">
            <v>16.399999999999999</v>
          </cell>
          <cell r="H1117" t="str">
            <v>3-Tradezone</v>
          </cell>
          <cell r="I1117">
            <v>0.35</v>
          </cell>
        </row>
        <row r="1118">
          <cell r="A1118" t="str">
            <v>B1115</v>
          </cell>
          <cell r="B1118" t="str">
            <v>Victron SmarSolar MPPT 250/85 VE.Can Tr</v>
          </cell>
          <cell r="D1118" t="str">
            <v>SCC125085411</v>
          </cell>
          <cell r="F1118">
            <v>846.9</v>
          </cell>
          <cell r="G1118">
            <v>583.41999999999996</v>
          </cell>
          <cell r="H1118" t="str">
            <v>1-Victron</v>
          </cell>
          <cell r="I1118">
            <v>0.31111111111111112</v>
          </cell>
        </row>
        <row r="1119">
          <cell r="A1119" t="str">
            <v>B1116</v>
          </cell>
          <cell r="B1119" t="str">
            <v>Voltex Generator Inlet 15A IP66</v>
          </cell>
          <cell r="D1119" t="str">
            <v>C66AI315</v>
          </cell>
          <cell r="F1119">
            <v>79.852941176470594</v>
          </cell>
          <cell r="G1119">
            <v>54.3</v>
          </cell>
          <cell r="H1119" t="str">
            <v>6-Various</v>
          </cell>
          <cell r="I1119">
            <v>0.32</v>
          </cell>
        </row>
        <row r="1120">
          <cell r="A1120" t="str">
            <v>B1117</v>
          </cell>
          <cell r="B1120" t="str">
            <v>Victron SmarSolar MPPT 250/70 VE.Can MC4</v>
          </cell>
          <cell r="D1120" t="str">
            <v>SCC125070421</v>
          </cell>
          <cell r="F1120">
            <v>787.5</v>
          </cell>
          <cell r="G1120">
            <v>542.5</v>
          </cell>
          <cell r="H1120" t="str">
            <v>1-Victron</v>
          </cell>
          <cell r="I1120">
            <v>0.31111111111111112</v>
          </cell>
        </row>
        <row r="1121">
          <cell r="A1121" t="str">
            <v>B1118</v>
          </cell>
          <cell r="B1121" t="str">
            <v>Victron SmarSolar MPPT 250/85 VE.Can MC4</v>
          </cell>
          <cell r="D1121" t="str">
            <v>SCC125085511</v>
          </cell>
          <cell r="F1121">
            <v>862.2</v>
          </cell>
          <cell r="G1121">
            <v>593.96</v>
          </cell>
          <cell r="H1121" t="str">
            <v>1-Victron</v>
          </cell>
          <cell r="I1121">
            <v>0.31111111111111112</v>
          </cell>
        </row>
        <row r="1122">
          <cell r="A1122" t="str">
            <v>B1119</v>
          </cell>
          <cell r="B1122" t="str">
            <v>NHP Relay 16A 240v AC coil</v>
          </cell>
          <cell r="D1122" t="str">
            <v>46610054240VAC</v>
          </cell>
          <cell r="F1122">
            <v>19.584615384615386</v>
          </cell>
          <cell r="G1122">
            <v>12.73</v>
          </cell>
          <cell r="H1122" t="str">
            <v>3-Tradezone</v>
          </cell>
          <cell r="I1122">
            <v>0.35</v>
          </cell>
        </row>
        <row r="1123">
          <cell r="A1123" t="str">
            <v>B1120</v>
          </cell>
          <cell r="B1123" t="str">
            <v>Victron Smart Solar MPPT 250/100-MC4 VE.Can</v>
          </cell>
          <cell r="D1123" t="str">
            <v>SCC125110412</v>
          </cell>
          <cell r="F1123">
            <v>945</v>
          </cell>
          <cell r="G1123">
            <v>651</v>
          </cell>
          <cell r="H1123" t="str">
            <v>1-Victron</v>
          </cell>
          <cell r="I1123">
            <v>0.31111111111111112</v>
          </cell>
        </row>
        <row r="1124">
          <cell r="A1124" t="str">
            <v>B1121</v>
          </cell>
          <cell r="B1124" t="str">
            <v>NHP Relay 16A 12v DC coil</v>
          </cell>
          <cell r="D1124" t="str">
            <v>4661007412VDC</v>
          </cell>
          <cell r="F1124">
            <v>16.076923076923077</v>
          </cell>
          <cell r="G1124">
            <v>10.45</v>
          </cell>
          <cell r="H1124" t="str">
            <v>3-Tradezone</v>
          </cell>
          <cell r="I1124">
            <v>0.35</v>
          </cell>
        </row>
        <row r="1125">
          <cell r="A1125" t="str">
            <v>B1122</v>
          </cell>
          <cell r="B1125" t="str">
            <v>SolarWatt Solarwatt MyReserve Command Accessory kit</v>
          </cell>
          <cell r="D1125" t="str">
            <v>MRC-Acc</v>
          </cell>
          <cell r="F1125">
            <v>387.08823529411774</v>
          </cell>
          <cell r="G1125">
            <v>263.22000000000003</v>
          </cell>
          <cell r="H1125" t="str">
            <v>7-Baywa</v>
          </cell>
          <cell r="I1125">
            <v>0</v>
          </cell>
        </row>
        <row r="1126">
          <cell r="A1126" t="str">
            <v>B1123</v>
          </cell>
          <cell r="B1126" t="str">
            <v>LBS Lithium LiFePo Battery 3.6KWh 48V/75Ah</v>
          </cell>
          <cell r="D1126" t="str">
            <v xml:space="preserve">LBS-4875-HP-REG </v>
          </cell>
          <cell r="F1126">
            <v>2642.8571428571431</v>
          </cell>
          <cell r="G1126">
            <v>1850</v>
          </cell>
          <cell r="H1126" t="str">
            <v>6-Various</v>
          </cell>
          <cell r="I1126">
            <v>0.3</v>
          </cell>
        </row>
        <row r="1127">
          <cell r="A1127" t="str">
            <v>B1124</v>
          </cell>
          <cell r="B1127" t="str">
            <v>LBS Lithium LiFePo Battery5KWh</v>
          </cell>
          <cell r="D1127" t="str">
            <v>LBS-48110-HP-REG</v>
          </cell>
          <cell r="F1127">
            <v>4214.2857142857147</v>
          </cell>
          <cell r="G1127">
            <v>2950</v>
          </cell>
          <cell r="H1127" t="str">
            <v>6-Various</v>
          </cell>
          <cell r="I1127">
            <v>0.3</v>
          </cell>
        </row>
        <row r="1128">
          <cell r="A1128" t="str">
            <v>B1125</v>
          </cell>
          <cell r="B1128" t="str">
            <v>LBS Monitoring Screen for LBS Battery system</v>
          </cell>
          <cell r="D1128" t="str">
            <v>LBS-MON</v>
          </cell>
          <cell r="F1128">
            <v>147.05882352941177</v>
          </cell>
          <cell r="G1128">
            <v>100</v>
          </cell>
          <cell r="H1128" t="str">
            <v>6-Various</v>
          </cell>
          <cell r="I1128">
            <v>0.32</v>
          </cell>
        </row>
        <row r="1129">
          <cell r="A1129" t="str">
            <v>B1126</v>
          </cell>
          <cell r="B1129" t="str">
            <v>LBS Cable &amp; 175A Anderson plug, LBS 2m dual cable</v>
          </cell>
          <cell r="D1129" t="str">
            <v>LBS-AND-175</v>
          </cell>
          <cell r="F1129">
            <v>110.29411764705884</v>
          </cell>
          <cell r="G1129">
            <v>75</v>
          </cell>
          <cell r="H1129" t="str">
            <v>6-Various</v>
          </cell>
          <cell r="I1129">
            <v>0.32</v>
          </cell>
        </row>
        <row r="1130">
          <cell r="A1130" t="str">
            <v>B1127</v>
          </cell>
          <cell r="B1130" t="str">
            <v>Pylontech Cable set Pylontech US2000B 2M</v>
          </cell>
          <cell r="D1130" t="str">
            <v>Cab-Pylon-2m</v>
          </cell>
          <cell r="F1130">
            <v>0</v>
          </cell>
          <cell r="G1130">
            <v>52.6</v>
          </cell>
          <cell r="H1130" t="str">
            <v>3-Tradezone</v>
          </cell>
          <cell r="I1130">
            <v>0</v>
          </cell>
        </row>
        <row r="1131">
          <cell r="A1131" t="str">
            <v>B1128</v>
          </cell>
          <cell r="B1131" t="str">
            <v>DC Solutions Fuse 100A NH00 250V DC HRC</v>
          </cell>
          <cell r="D1131" t="str">
            <v>FH00/100A</v>
          </cell>
          <cell r="F1131">
            <v>6.2923076923076922</v>
          </cell>
          <cell r="G1131">
            <v>4.09</v>
          </cell>
          <cell r="H1131" t="str">
            <v>3-Tradezone</v>
          </cell>
          <cell r="I1131">
            <v>0.35</v>
          </cell>
        </row>
        <row r="1132">
          <cell r="A1132" t="str">
            <v>B1129</v>
          </cell>
          <cell r="B1132" t="str">
            <v xml:space="preserve">Pylontech Lithium Battery Module US3000 </v>
          </cell>
          <cell r="D1132" t="str">
            <v>PYLON-US3000/P1</v>
          </cell>
          <cell r="F1132">
            <v>0</v>
          </cell>
          <cell r="G1132">
            <v>1690</v>
          </cell>
          <cell r="H1132" t="str">
            <v>1-Victron</v>
          </cell>
          <cell r="I1132">
            <v>0.31111111111111112</v>
          </cell>
        </row>
        <row r="1133">
          <cell r="A1133" t="str">
            <v>B1130</v>
          </cell>
          <cell r="B1133" t="str">
            <v xml:space="preserve">B&amp;R Rack Frame 19" Ausrack Onyx 9RU Wall Mounted </v>
          </cell>
          <cell r="D1133" t="str">
            <v>ARWX9U450</v>
          </cell>
          <cell r="F1133">
            <v>400.36764705882359</v>
          </cell>
          <cell r="G1133">
            <v>272.25</v>
          </cell>
          <cell r="H1133" t="str">
            <v>3-Tradezone</v>
          </cell>
          <cell r="I1133">
            <v>0.32</v>
          </cell>
        </row>
        <row r="1134">
          <cell r="A1134" t="str">
            <v>B1131</v>
          </cell>
          <cell r="B1134" t="str">
            <v xml:space="preserve">Trina Solar Panel 330W Mono </v>
          </cell>
          <cell r="D1134" t="str">
            <v>TSM330</v>
          </cell>
          <cell r="F1134">
            <v>170.58823529411765</v>
          </cell>
          <cell r="G1134">
            <v>116</v>
          </cell>
          <cell r="H1134" t="str">
            <v>3-Tradezone</v>
          </cell>
          <cell r="I1134">
            <v>0.32</v>
          </cell>
        </row>
        <row r="1135">
          <cell r="A1135" t="str">
            <v>B1132</v>
          </cell>
          <cell r="B1135" t="str">
            <v>Fiamm Sealed Gel OPzV 2V 660Ah (C120)</v>
          </cell>
          <cell r="D1135" t="str">
            <v>SMG660</v>
          </cell>
          <cell r="F1135">
            <v>485.29411764705884</v>
          </cell>
          <cell r="G1135">
            <v>330</v>
          </cell>
          <cell r="H1135" t="str">
            <v>7-Baywa</v>
          </cell>
          <cell r="I1135">
            <v>0</v>
          </cell>
        </row>
        <row r="1136">
          <cell r="A1136" t="str">
            <v>B1133</v>
          </cell>
          <cell r="B1136" t="str">
            <v>Victron SmartSolar MPPT 150/45</v>
          </cell>
          <cell r="D1136" t="str">
            <v>SCC115045222</v>
          </cell>
          <cell r="F1136">
            <v>310.5</v>
          </cell>
          <cell r="G1136">
            <v>213.9</v>
          </cell>
          <cell r="H1136" t="str">
            <v>1-Victron</v>
          </cell>
          <cell r="I1136">
            <v>0.31111111111111112</v>
          </cell>
        </row>
        <row r="1137">
          <cell r="A1137" t="str">
            <v>B1134</v>
          </cell>
          <cell r="B1137" t="str">
            <v>Voltex MCB Enclosure 4 Pole IP66</v>
          </cell>
          <cell r="D1137" t="str">
            <v>C66CB4N</v>
          </cell>
          <cell r="F1137">
            <v>43.876923076923077</v>
          </cell>
          <cell r="G1137">
            <v>28.52</v>
          </cell>
          <cell r="H1137" t="str">
            <v>6-Various</v>
          </cell>
          <cell r="I1137">
            <v>0.35</v>
          </cell>
        </row>
        <row r="1138">
          <cell r="A1138" t="str">
            <v>B1135</v>
          </cell>
          <cell r="B1138" t="str">
            <v>NHP Finder Relay Base 16A</v>
          </cell>
          <cell r="D1138">
            <v>9701</v>
          </cell>
          <cell r="F1138">
            <v>11.292307692307691</v>
          </cell>
          <cell r="G1138">
            <v>7.34</v>
          </cell>
          <cell r="H1138" t="str">
            <v>3-Tradezone</v>
          </cell>
          <cell r="I1138">
            <v>0.35</v>
          </cell>
        </row>
        <row r="1139">
          <cell r="A1139" t="str">
            <v>B1136</v>
          </cell>
          <cell r="B1139" t="str">
            <v>Goodwe DNS Series 4.2KW</v>
          </cell>
          <cell r="D1139" t="str">
            <v>GW4200D-NS</v>
          </cell>
          <cell r="F1139">
            <v>978.57142857142867</v>
          </cell>
          <cell r="G1139">
            <v>685</v>
          </cell>
          <cell r="H1139" t="str">
            <v>2-Krannich</v>
          </cell>
          <cell r="I1139">
            <v>0.3</v>
          </cell>
        </row>
        <row r="1140">
          <cell r="A1140" t="str">
            <v>B1137</v>
          </cell>
          <cell r="B1140" t="str">
            <v>Goodwe DNS Series 5.0KW</v>
          </cell>
          <cell r="D1140" t="str">
            <v>GW5000D-NS</v>
          </cell>
          <cell r="F1140">
            <v>1070</v>
          </cell>
          <cell r="G1140">
            <v>749</v>
          </cell>
          <cell r="H1140" t="str">
            <v>2-Krannich</v>
          </cell>
          <cell r="I1140">
            <v>0.3</v>
          </cell>
        </row>
        <row r="1141">
          <cell r="A1141" t="str">
            <v>B1138</v>
          </cell>
          <cell r="B1141" t="str">
            <v>Goodwe EM Series 5.0KW Hybrid</v>
          </cell>
          <cell r="D1141" t="str">
            <v xml:space="preserve">GW5048-EM </v>
          </cell>
          <cell r="F1141">
            <v>2427.1428571428573</v>
          </cell>
          <cell r="G1141">
            <v>1699</v>
          </cell>
          <cell r="H1141" t="str">
            <v>2-Krannich</v>
          </cell>
          <cell r="I1141">
            <v>0.3</v>
          </cell>
        </row>
        <row r="1142">
          <cell r="A1142" t="str">
            <v>B1139</v>
          </cell>
          <cell r="B1142" t="str">
            <v>Goodwe ES Series 5.0KW Hybrid</v>
          </cell>
          <cell r="D1142" t="str">
            <v xml:space="preserve">GW5048D-ES </v>
          </cell>
          <cell r="F1142">
            <v>2998.5714285714289</v>
          </cell>
          <cell r="G1142">
            <v>2099</v>
          </cell>
          <cell r="H1142" t="str">
            <v>2-Krannich</v>
          </cell>
          <cell r="I1142">
            <v>0.3</v>
          </cell>
        </row>
        <row r="1143">
          <cell r="A1143" t="str">
            <v>B1140</v>
          </cell>
          <cell r="B1143" t="str">
            <v>Goodwe ET Series 5.0KW 3ph</v>
          </cell>
          <cell r="D1143" t="str">
            <v>GW5KL-ET</v>
          </cell>
          <cell r="F1143">
            <v>3570</v>
          </cell>
          <cell r="G1143">
            <v>2499</v>
          </cell>
          <cell r="H1143" t="str">
            <v>2-Krannich</v>
          </cell>
          <cell r="I1143">
            <v>0.3</v>
          </cell>
        </row>
        <row r="1144">
          <cell r="A1144" t="str">
            <v>B1141</v>
          </cell>
          <cell r="B1144" t="str">
            <v>Goodwe ET Series 10KW 3ph</v>
          </cell>
          <cell r="D1144" t="str">
            <v xml:space="preserve">GW10KL-ET  </v>
          </cell>
          <cell r="F1144">
            <v>4785.7142857142862</v>
          </cell>
          <cell r="G1144">
            <v>3350</v>
          </cell>
          <cell r="H1144" t="str">
            <v>2-Krannich</v>
          </cell>
          <cell r="I1144">
            <v>0.3</v>
          </cell>
        </row>
        <row r="1145">
          <cell r="A1145" t="str">
            <v>B1142</v>
          </cell>
          <cell r="B1145" t="str">
            <v>Goodwe MT Series 50KW 3ph</v>
          </cell>
          <cell r="D1145" t="str">
            <v>GW50KN-MT</v>
          </cell>
          <cell r="F1145">
            <v>5855.7142857142862</v>
          </cell>
          <cell r="G1145">
            <v>4099</v>
          </cell>
          <cell r="H1145" t="str">
            <v>2-Krannich</v>
          </cell>
          <cell r="I1145">
            <v>0.3</v>
          </cell>
        </row>
        <row r="1146">
          <cell r="A1146" t="str">
            <v>B1143</v>
          </cell>
          <cell r="B1146" t="str">
            <v>Goodwe MT Series 60KW 3ph</v>
          </cell>
          <cell r="D1146" t="str">
            <v>GW60KN-MT</v>
          </cell>
          <cell r="F1146">
            <v>6357.1428571428578</v>
          </cell>
          <cell r="G1146">
            <v>4450</v>
          </cell>
          <cell r="H1146" t="str">
            <v>2-Krannich</v>
          </cell>
          <cell r="I1146">
            <v>0.3</v>
          </cell>
        </row>
        <row r="1147">
          <cell r="A1147" t="str">
            <v>B1144</v>
          </cell>
          <cell r="B1147" t="str">
            <v>Netec Earth link 100A 5 Pole</v>
          </cell>
          <cell r="D1147" t="str">
            <v>AN100S-5-BAR</v>
          </cell>
          <cell r="F1147">
            <v>15.923076923076922</v>
          </cell>
          <cell r="G1147">
            <v>10.35</v>
          </cell>
          <cell r="H1147" t="str">
            <v>6-Various</v>
          </cell>
          <cell r="I1147">
            <v>0.35</v>
          </cell>
        </row>
        <row r="1148">
          <cell r="A1148" t="str">
            <v>B1145</v>
          </cell>
          <cell r="B1148" t="str">
            <v>NHP MCB 16A 2 Pole 6KA</v>
          </cell>
          <cell r="D1148" t="str">
            <v>MOD6216</v>
          </cell>
          <cell r="F1148">
            <v>22.876923076923074</v>
          </cell>
          <cell r="G1148">
            <v>14.87</v>
          </cell>
          <cell r="H1148" t="str">
            <v>3-Tradezone</v>
          </cell>
          <cell r="I1148">
            <v>0.35</v>
          </cell>
        </row>
        <row r="1149">
          <cell r="A1149" t="str">
            <v>B1146</v>
          </cell>
          <cell r="B1149" t="str">
            <v xml:space="preserve">Teltonika Teltonika 4G modem 1 Port TRB140 </v>
          </cell>
          <cell r="D1149" t="str">
            <v>TRB140</v>
          </cell>
          <cell r="F1149">
            <v>0</v>
          </cell>
          <cell r="G1149">
            <v>0</v>
          </cell>
          <cell r="H1149" t="str">
            <v>3-Tradezone</v>
          </cell>
          <cell r="I1149">
            <v>0</v>
          </cell>
        </row>
        <row r="1150">
          <cell r="A1150" t="str">
            <v>B1147</v>
          </cell>
          <cell r="B1150" t="str">
            <v xml:space="preserve">Teltonika Teltonika 4G modem/router 2 Port RUT241 </v>
          </cell>
          <cell r="D1150" t="str">
            <v>RUT241</v>
          </cell>
          <cell r="F1150">
            <v>0</v>
          </cell>
          <cell r="G1150">
            <v>0</v>
          </cell>
          <cell r="H1150" t="str">
            <v>3-Tradezone</v>
          </cell>
          <cell r="I1150">
            <v>0</v>
          </cell>
        </row>
        <row r="1151">
          <cell r="A1151" t="str">
            <v>B1148</v>
          </cell>
          <cell r="B1151" t="str">
            <v>Teltonika Network switch 5 Port TSW110</v>
          </cell>
          <cell r="D1151" t="str">
            <v>TSW110</v>
          </cell>
          <cell r="F1151">
            <v>0</v>
          </cell>
          <cell r="G1151">
            <v>0</v>
          </cell>
          <cell r="H1151" t="str">
            <v>3-Tradezone</v>
          </cell>
          <cell r="I1151">
            <v>0</v>
          </cell>
        </row>
        <row r="1152">
          <cell r="A1152" t="str">
            <v>B1149</v>
          </cell>
          <cell r="B1152" t="str">
            <v>Teltonika Teltonika 4G modem/router 4port</v>
          </cell>
          <cell r="D1152" t="str">
            <v>RUT955</v>
          </cell>
          <cell r="F1152">
            <v>0</v>
          </cell>
          <cell r="G1152">
            <v>0</v>
          </cell>
          <cell r="H1152" t="str">
            <v>3-Tradezone</v>
          </cell>
          <cell r="I1152">
            <v>0</v>
          </cell>
        </row>
        <row r="1153">
          <cell r="A1153" t="str">
            <v>B1150</v>
          </cell>
          <cell r="B1153" t="str">
            <v>TE Connectivity Push Button switch LED illuminated red blue</v>
          </cell>
          <cell r="D1153" t="str">
            <v>AV1911RB12Q04</v>
          </cell>
          <cell r="F1153">
            <v>0</v>
          </cell>
          <cell r="G1153">
            <v>0</v>
          </cell>
          <cell r="H1153" t="str">
            <v>3-Tradezone</v>
          </cell>
          <cell r="I1153">
            <v>0</v>
          </cell>
        </row>
        <row r="1154">
          <cell r="A1154" t="str">
            <v>B1151</v>
          </cell>
          <cell r="B1154" t="str">
            <v xml:space="preserve">Wattmaster Cable Lug 16mm x 8mm hole </v>
          </cell>
          <cell r="D1154" t="str">
            <v>ALCLBM16M8/25</v>
          </cell>
          <cell r="F1154">
            <v>0.7846153846153846</v>
          </cell>
          <cell r="G1154">
            <v>0.51</v>
          </cell>
          <cell r="H1154" t="str">
            <v>3-Tradezone</v>
          </cell>
          <cell r="I1154">
            <v>0.35</v>
          </cell>
        </row>
        <row r="1155">
          <cell r="A1155" t="str">
            <v>B1152</v>
          </cell>
          <cell r="B1155" t="str">
            <v>NHP Earth Terminal 10A</v>
          </cell>
          <cell r="D1155" t="str">
            <v>V7WG10S</v>
          </cell>
          <cell r="F1155">
            <v>8.2923076923076913</v>
          </cell>
          <cell r="G1155">
            <v>5.39</v>
          </cell>
          <cell r="H1155" t="str">
            <v>3-Tradezone</v>
          </cell>
          <cell r="I1155">
            <v>0.35</v>
          </cell>
        </row>
        <row r="1156">
          <cell r="A1156" t="str">
            <v>B1153</v>
          </cell>
          <cell r="B1156" t="str">
            <v>NHP Earth Terminal 6A</v>
          </cell>
          <cell r="D1156" t="str">
            <v>V7WG6</v>
          </cell>
          <cell r="F1156">
            <v>7.8923076923076918</v>
          </cell>
          <cell r="G1156">
            <v>5.13</v>
          </cell>
          <cell r="H1156" t="str">
            <v>3-Tradezone</v>
          </cell>
          <cell r="I1156">
            <v>0.35</v>
          </cell>
        </row>
        <row r="1157">
          <cell r="A1157" t="str">
            <v>B1154</v>
          </cell>
          <cell r="B1157" t="str">
            <v>Growatt Growatt 1.5kw Single Phase Solar Inverter With Single MPPT IP65 With WIFI Capability</v>
          </cell>
          <cell r="D1157" t="str">
            <v>1500S</v>
          </cell>
          <cell r="F1157">
            <v>452.4264705882353</v>
          </cell>
          <cell r="G1157">
            <v>307.64999999999998</v>
          </cell>
          <cell r="H1157" t="str">
            <v>3-Tradezone</v>
          </cell>
          <cell r="I1157">
            <v>0.32</v>
          </cell>
        </row>
        <row r="1158">
          <cell r="A1158" t="str">
            <v>B1155</v>
          </cell>
          <cell r="B1158" t="str">
            <v>Growatt GroWatt 2kw Single Phase Solar Inverter With Single MPPT IP65 With WIFI Capability</v>
          </cell>
          <cell r="D1158" t="str">
            <v>2000S</v>
          </cell>
          <cell r="F1158">
            <v>484.20588235294122</v>
          </cell>
          <cell r="G1158">
            <v>329.26</v>
          </cell>
          <cell r="H1158" t="str">
            <v>3-Tradezone</v>
          </cell>
          <cell r="I1158">
            <v>0.32</v>
          </cell>
        </row>
        <row r="1159">
          <cell r="A1159" t="str">
            <v>B1156</v>
          </cell>
          <cell r="B1159" t="str">
            <v>Growatt GroWatt 3kw Single Phase Solar Inverter With Single MPPT IP65 With WIFI Capability</v>
          </cell>
          <cell r="D1159" t="str">
            <v>3000S</v>
          </cell>
          <cell r="F1159">
            <v>599.14705882352951</v>
          </cell>
          <cell r="G1159">
            <v>407.42</v>
          </cell>
          <cell r="H1159" t="str">
            <v>3-Tradezone</v>
          </cell>
          <cell r="I1159">
            <v>0.32</v>
          </cell>
        </row>
        <row r="1160">
          <cell r="A1160" t="str">
            <v>B1157</v>
          </cell>
          <cell r="B1160" t="str">
            <v>Growatt Growatt 2.5kw Single Phase Solar Inverter With Dual MPPT IP65 With WIFI Capability</v>
          </cell>
          <cell r="D1160" t="str">
            <v>2500TLX</v>
          </cell>
          <cell r="F1160">
            <v>795.48571428571438</v>
          </cell>
          <cell r="G1160">
            <v>556.84</v>
          </cell>
          <cell r="H1160" t="str">
            <v>3-Tradezone</v>
          </cell>
          <cell r="I1160">
            <v>0.3</v>
          </cell>
        </row>
        <row r="1161">
          <cell r="A1161" t="str">
            <v>B1158</v>
          </cell>
          <cell r="B1161" t="str">
            <v>Growatt Growatt 3kw Single Phase Solar Inverter With Dual MPPT IP65 With WIFI Capability</v>
          </cell>
          <cell r="D1161" t="str">
            <v>3000TLX</v>
          </cell>
          <cell r="F1161">
            <v>819.60000000000014</v>
          </cell>
          <cell r="G1161">
            <v>573.72</v>
          </cell>
          <cell r="H1161" t="str">
            <v>3-Tradezone</v>
          </cell>
          <cell r="I1161">
            <v>0.3</v>
          </cell>
        </row>
        <row r="1162">
          <cell r="A1162" t="str">
            <v>B1159</v>
          </cell>
          <cell r="B1162" t="str">
            <v>Growatt Growatt 4.2kw Single Phase Solar Inverter With Dual MPPT IP65 With WIFI Capability</v>
          </cell>
          <cell r="D1162" t="str">
            <v>4200TLX.</v>
          </cell>
          <cell r="F1162">
            <v>831.6</v>
          </cell>
          <cell r="G1162">
            <v>582.12</v>
          </cell>
          <cell r="H1162" t="str">
            <v>3-Tradezone</v>
          </cell>
          <cell r="I1162">
            <v>0.3</v>
          </cell>
        </row>
        <row r="1163">
          <cell r="A1163" t="str">
            <v>B1160</v>
          </cell>
          <cell r="B1163" t="str">
            <v>Growatt Growatt 5kw Single Phase Solar Inverter With Dual MPPT IP65 With WIFI Capability</v>
          </cell>
          <cell r="D1163" t="str">
            <v>5000TLX</v>
          </cell>
          <cell r="F1163">
            <v>850</v>
          </cell>
          <cell r="G1163">
            <v>595</v>
          </cell>
          <cell r="H1163" t="str">
            <v>3-Tradezone</v>
          </cell>
          <cell r="I1163">
            <v>0.3</v>
          </cell>
        </row>
        <row r="1164">
          <cell r="A1164" t="str">
            <v>B1161</v>
          </cell>
          <cell r="B1164" t="str">
            <v xml:space="preserve">Growatt Growatt 6kw Single Phase Solar Inverter With Dual MPPT IP65 With WIFI Capability  </v>
          </cell>
          <cell r="D1164" t="str">
            <v>6000TLX</v>
          </cell>
          <cell r="F1164">
            <v>922.55714285714282</v>
          </cell>
          <cell r="G1164">
            <v>645.79</v>
          </cell>
          <cell r="H1164" t="str">
            <v>3-Tradezone</v>
          </cell>
          <cell r="I1164">
            <v>0.3</v>
          </cell>
        </row>
        <row r="1165">
          <cell r="A1165" t="str">
            <v>B1162</v>
          </cell>
          <cell r="B1165" t="str">
            <v xml:space="preserve">Growatt Growatt 7kw Single Phase Solar Inverter With Dual MPPT IP65 With WIFI Capability </v>
          </cell>
          <cell r="D1165" t="str">
            <v>7000MTLS</v>
          </cell>
          <cell r="F1165">
            <v>1298.6428571428571</v>
          </cell>
          <cell r="G1165">
            <v>909.05</v>
          </cell>
          <cell r="H1165" t="str">
            <v>3-Tradezone</v>
          </cell>
          <cell r="I1165">
            <v>0.3</v>
          </cell>
        </row>
        <row r="1166">
          <cell r="A1166" t="str">
            <v>B1163</v>
          </cell>
          <cell r="B1166" t="str">
            <v xml:space="preserve">Growatt Growatt 8kw Single Phase Solar Inverter With Dual MPPT IP65 With WIFI Capability </v>
          </cell>
          <cell r="D1166" t="str">
            <v>8000MTLS</v>
          </cell>
          <cell r="F1166">
            <v>1350.1000000000001</v>
          </cell>
          <cell r="G1166">
            <v>945.07</v>
          </cell>
          <cell r="H1166" t="str">
            <v>3-Tradezone</v>
          </cell>
          <cell r="I1166">
            <v>0.3</v>
          </cell>
        </row>
        <row r="1167">
          <cell r="A1167" t="str">
            <v>B1164</v>
          </cell>
          <cell r="B1167" t="str">
            <v xml:space="preserve">Growatt Growatt 5kw Three Phase Solar Inverter With Dual MPPT IP65 With WIFI Capability </v>
          </cell>
          <cell r="D1167" t="str">
            <v>5000TL3S</v>
          </cell>
          <cell r="F1167">
            <v>1385.3857142857144</v>
          </cell>
          <cell r="G1167">
            <v>969.77</v>
          </cell>
          <cell r="H1167" t="str">
            <v>3-Tradezone</v>
          </cell>
          <cell r="I1167">
            <v>0.3</v>
          </cell>
        </row>
        <row r="1168">
          <cell r="A1168" t="str">
            <v>B1165</v>
          </cell>
          <cell r="B1168" t="str">
            <v>Growatt Growatt 8kw Three Phase Solar Inverter With Dual MPPT IP65 With WIFI Capability</v>
          </cell>
          <cell r="D1168" t="str">
            <v>8000TL3S</v>
          </cell>
          <cell r="F1168">
            <v>1941.0571428571429</v>
          </cell>
          <cell r="G1168">
            <v>1358.74</v>
          </cell>
          <cell r="H1168" t="str">
            <v>3-Tradezone</v>
          </cell>
          <cell r="I1168">
            <v>0.3</v>
          </cell>
        </row>
        <row r="1169">
          <cell r="A1169" t="str">
            <v>B1166</v>
          </cell>
          <cell r="B1169" t="str">
            <v>Growatt Growatt 10kw Three Phase Solar Inverter With Dual MPPT IP65 With WfFi Capability</v>
          </cell>
          <cell r="D1169" t="str">
            <v>10000TL3SAU.</v>
          </cell>
          <cell r="F1169">
            <v>2169.1285714285718</v>
          </cell>
          <cell r="G1169">
            <v>1518.39</v>
          </cell>
          <cell r="H1169" t="str">
            <v>3-Tradezone</v>
          </cell>
          <cell r="I1169">
            <v>0.3</v>
          </cell>
        </row>
        <row r="1170">
          <cell r="A1170" t="str">
            <v>B1167</v>
          </cell>
          <cell r="B1170" t="str">
            <v>Growatt Growatt 15kw Three Phase Solar Inverter With Dual MPPT IP65 With WIFI Capability</v>
          </cell>
          <cell r="D1170" t="str">
            <v>15000TL3S</v>
          </cell>
          <cell r="F1170">
            <v>2561.1142857142859</v>
          </cell>
          <cell r="G1170">
            <v>1792.78</v>
          </cell>
          <cell r="H1170" t="str">
            <v>3-Tradezone</v>
          </cell>
          <cell r="I1170">
            <v>0.3</v>
          </cell>
        </row>
        <row r="1171">
          <cell r="A1171" t="str">
            <v>B1168</v>
          </cell>
          <cell r="B1171" t="str">
            <v>Growatt Growatt 30kw Three Phase Solar Inverter With Dual MPPT IP65 With WIFI Capability</v>
          </cell>
          <cell r="D1171" t="str">
            <v>30000TL3S</v>
          </cell>
          <cell r="F1171">
            <v>4345.4142857142861</v>
          </cell>
          <cell r="G1171">
            <v>3041.79</v>
          </cell>
          <cell r="H1171" t="str">
            <v>3-Tradezone</v>
          </cell>
          <cell r="I1171">
            <v>0.3</v>
          </cell>
        </row>
        <row r="1172">
          <cell r="A1172" t="str">
            <v>B1169</v>
          </cell>
          <cell r="B1172" t="str">
            <v>Growatt Growatt 5kW Single Phase Solar Inverter Dual MPPT IP65 AC Battery Ready Hybrid With EPS &amp; WIFI Capability</v>
          </cell>
          <cell r="D1172" t="str">
            <v>SPH5000</v>
          </cell>
          <cell r="F1172">
            <v>1834.2857142857144</v>
          </cell>
          <cell r="G1172">
            <v>1284</v>
          </cell>
          <cell r="H1172" t="str">
            <v>3-Tradezone</v>
          </cell>
          <cell r="I1172">
            <v>0.3</v>
          </cell>
        </row>
        <row r="1173">
          <cell r="A1173" t="str">
            <v>B1170</v>
          </cell>
          <cell r="B1173" t="str">
            <v>Growatt Growatt 6kW Single Phase Solar Inverter Dual MPPT IP65 AC Battery Ready Hybrid With EPS &amp; WIFI Capability</v>
          </cell>
          <cell r="D1173" t="str">
            <v>SPH6000</v>
          </cell>
          <cell r="F1173">
            <v>1570</v>
          </cell>
          <cell r="G1173">
            <v>1099</v>
          </cell>
          <cell r="H1173" t="str">
            <v>3-Tradezone</v>
          </cell>
          <cell r="I1173">
            <v>0.3</v>
          </cell>
        </row>
        <row r="1174">
          <cell r="A1174" t="str">
            <v>B1171</v>
          </cell>
          <cell r="B1174" t="str">
            <v>Growatt Growatt Single Phase Energy Meter</v>
          </cell>
          <cell r="D1174" t="str">
            <v>SPM</v>
          </cell>
          <cell r="F1174">
            <v>115.17647058823529</v>
          </cell>
          <cell r="G1174">
            <v>78.319999999999993</v>
          </cell>
          <cell r="H1174" t="str">
            <v>3-Tradezone</v>
          </cell>
          <cell r="I1174">
            <v>0.32</v>
          </cell>
        </row>
        <row r="1175">
          <cell r="A1175" t="str">
            <v>B1172</v>
          </cell>
          <cell r="B1175" t="str">
            <v>Growatt Growatt Three Phase Energy Meter</v>
          </cell>
          <cell r="D1175" t="str">
            <v>TPM</v>
          </cell>
          <cell r="F1175">
            <v>157.66176470588235</v>
          </cell>
          <cell r="G1175">
            <v>107.21</v>
          </cell>
          <cell r="H1175" t="str">
            <v>3-Tradezone</v>
          </cell>
          <cell r="I1175">
            <v>0.32</v>
          </cell>
        </row>
        <row r="1176">
          <cell r="A1176" t="str">
            <v>B1173</v>
          </cell>
          <cell r="B1176" t="str">
            <v>Goodwe MT Series 80KW 3ph</v>
          </cell>
          <cell r="D1176" t="str">
            <v>GW80K-MT</v>
          </cell>
          <cell r="F1176">
            <v>7570.0000000000009</v>
          </cell>
          <cell r="G1176">
            <v>5299</v>
          </cell>
          <cell r="H1176" t="str">
            <v>2-Krannich</v>
          </cell>
          <cell r="I1176">
            <v>0.3</v>
          </cell>
        </row>
        <row r="1177">
          <cell r="A1177" t="str">
            <v>B1174</v>
          </cell>
          <cell r="B1177" t="str">
            <v>Vaulta Lithium Battery Module 5KWh, Vertical</v>
          </cell>
          <cell r="D1177" t="str">
            <v>EC.Vaulta-5KWh</v>
          </cell>
          <cell r="F1177">
            <v>3000</v>
          </cell>
          <cell r="G1177">
            <v>2100</v>
          </cell>
          <cell r="H1177" t="str">
            <v>6-Various</v>
          </cell>
          <cell r="I1177">
            <v>0.3</v>
          </cell>
        </row>
        <row r="1178">
          <cell r="A1178" t="str">
            <v>B1175</v>
          </cell>
          <cell r="B1178" t="str">
            <v>Selectronic SP Pro 24V/3.0KW Series II</v>
          </cell>
          <cell r="D1178" t="str">
            <v>EC.Vaulta-5KWh</v>
          </cell>
          <cell r="F1178">
            <v>0</v>
          </cell>
          <cell r="G1178">
            <v>0</v>
          </cell>
          <cell r="H1178" t="str">
            <v>2-Krannich</v>
          </cell>
          <cell r="I1178">
            <v>0</v>
          </cell>
        </row>
        <row r="1179">
          <cell r="A1179" t="str">
            <v>B1176</v>
          </cell>
          <cell r="B1179" t="str">
            <v>Selectronic SP Pro 24V/4.5KW Series II</v>
          </cell>
          <cell r="D1179" t="str">
            <v>SPMC241-AU</v>
          </cell>
          <cell r="F1179">
            <v>7071.4285714285716</v>
          </cell>
          <cell r="G1179">
            <v>4950</v>
          </cell>
          <cell r="H1179" t="str">
            <v>2-Krannich</v>
          </cell>
          <cell r="I1179">
            <v>0.3</v>
          </cell>
        </row>
        <row r="1180">
          <cell r="A1180" t="str">
            <v>B1177</v>
          </cell>
          <cell r="B1180" t="str">
            <v>Selectronic SP Pro 48V/3.5KW Series II</v>
          </cell>
          <cell r="D1180" t="str">
            <v>SPMC480-AU</v>
          </cell>
          <cell r="F1180">
            <v>5914.2857142857147</v>
          </cell>
          <cell r="G1180">
            <v>4140</v>
          </cell>
          <cell r="H1180" t="str">
            <v>2-Krannich</v>
          </cell>
          <cell r="I1180">
            <v>0.3</v>
          </cell>
        </row>
        <row r="1181">
          <cell r="A1181" t="str">
            <v>B1178</v>
          </cell>
          <cell r="B1181" t="str">
            <v>Selectronic SP Pro 120V/7.5KW Series II</v>
          </cell>
          <cell r="D1181" t="str">
            <v>SPMC1201-AU</v>
          </cell>
          <cell r="F1181">
            <v>9998.5714285714294</v>
          </cell>
          <cell r="G1181">
            <v>6999</v>
          </cell>
          <cell r="H1181" t="str">
            <v>2-Krannich</v>
          </cell>
          <cell r="I1181">
            <v>0.3</v>
          </cell>
        </row>
        <row r="1182">
          <cell r="A1182" t="str">
            <v>B1179</v>
          </cell>
          <cell r="B1182" t="str">
            <v>Selectronic SP Pro 120V/15KW Series II</v>
          </cell>
          <cell r="D1182" t="str">
            <v>SPLC1200-AU</v>
          </cell>
          <cell r="F1182">
            <v>16357.142857142859</v>
          </cell>
          <cell r="G1182">
            <v>11450</v>
          </cell>
          <cell r="H1182" t="str">
            <v>2-Krannich</v>
          </cell>
          <cell r="I1182">
            <v>0.3</v>
          </cell>
        </row>
        <row r="1183">
          <cell r="A1183" t="str">
            <v>B1180</v>
          </cell>
          <cell r="B1183" t="str">
            <v>Selectronic SP Pro 120V/20KW Series II</v>
          </cell>
          <cell r="D1183" t="str">
            <v>SPLC1202-AU</v>
          </cell>
          <cell r="F1183">
            <v>19642.857142857145</v>
          </cell>
          <cell r="G1183">
            <v>13750</v>
          </cell>
          <cell r="H1183" t="str">
            <v>2-Krannich</v>
          </cell>
          <cell r="I1183">
            <v>0.3</v>
          </cell>
        </row>
        <row r="1184">
          <cell r="A1184" t="str">
            <v>B1181</v>
          </cell>
          <cell r="B1184" t="str">
            <v>GenZ Rack Mount Shelf for GenZ 3KWh Battery 2RU</v>
          </cell>
          <cell r="D1184" t="str">
            <v>MNTSHELF-GNZ</v>
          </cell>
          <cell r="F1184">
            <v>80.882352941176478</v>
          </cell>
          <cell r="G1184">
            <v>55</v>
          </cell>
          <cell r="H1184" t="str">
            <v>14-MHPower</v>
          </cell>
          <cell r="I1184">
            <v>0.32</v>
          </cell>
        </row>
        <row r="1185">
          <cell r="A1185" t="str">
            <v>B1182</v>
          </cell>
          <cell r="B1185" t="str">
            <v xml:space="preserve">Klein Digital Multimeter, A-MM325 600V </v>
          </cell>
          <cell r="D1185" t="str">
            <v>MM325</v>
          </cell>
          <cell r="F1185">
            <v>68.531468531468533</v>
          </cell>
          <cell r="G1185">
            <v>44.545454545454547</v>
          </cell>
          <cell r="H1185" t="str">
            <v>6-Various</v>
          </cell>
          <cell r="I1185">
            <v>0.35</v>
          </cell>
        </row>
        <row r="1186">
          <cell r="A1186" t="str">
            <v>B1183</v>
          </cell>
          <cell r="B1186" t="str">
            <v>DKSH Fuse 38mm PV type 20A</v>
          </cell>
          <cell r="D1186" t="str">
            <v>30F20PV</v>
          </cell>
          <cell r="F1186">
            <v>14.246153846153845</v>
          </cell>
          <cell r="G1186">
            <v>9.26</v>
          </cell>
          <cell r="H1186" t="str">
            <v>3-Tradezone</v>
          </cell>
          <cell r="I1186">
            <v>0.35</v>
          </cell>
        </row>
        <row r="1187">
          <cell r="A1187" t="str">
            <v>B1184</v>
          </cell>
          <cell r="B1187" t="str">
            <v>Clipsal 25mm Conduit Entry adaptor</v>
          </cell>
          <cell r="D1187" t="str">
            <v>263/25GY</v>
          </cell>
          <cell r="F1187">
            <v>0.84615384615384615</v>
          </cell>
          <cell r="G1187">
            <v>0.55000000000000004</v>
          </cell>
          <cell r="H1187" t="str">
            <v>3-Tradezone</v>
          </cell>
          <cell r="I1187">
            <v>0.35</v>
          </cell>
        </row>
        <row r="1188">
          <cell r="A1188" t="str">
            <v>B1185</v>
          </cell>
          <cell r="B1188" t="str">
            <v xml:space="preserve">Clipsal 25mm Conduit Entry lockring </v>
          </cell>
          <cell r="D1188" t="str">
            <v>260/25GY</v>
          </cell>
          <cell r="F1188">
            <v>0.29230769230769232</v>
          </cell>
          <cell r="G1188">
            <v>0.19</v>
          </cell>
          <cell r="H1188" t="str">
            <v>3-Tradezone</v>
          </cell>
          <cell r="I1188">
            <v>0.35</v>
          </cell>
        </row>
        <row r="1189">
          <cell r="A1189" t="str">
            <v>B1186</v>
          </cell>
          <cell r="B1189" t="str">
            <v>Clipsal Conduit saddles 25mm Galv</v>
          </cell>
          <cell r="D1189" t="str">
            <v>180HD25</v>
          </cell>
          <cell r="F1189">
            <v>0.50769230769230766</v>
          </cell>
          <cell r="G1189">
            <v>0.33</v>
          </cell>
          <cell r="H1189" t="str">
            <v>3-Tradezone</v>
          </cell>
          <cell r="I1189">
            <v>0.35</v>
          </cell>
        </row>
        <row r="1190">
          <cell r="A1190" t="str">
            <v>B1187</v>
          </cell>
          <cell r="B1190" t="str">
            <v>Victron EM540 Meter 3 phase</v>
          </cell>
          <cell r="D1190" t="str">
            <v>REL200100100</v>
          </cell>
          <cell r="F1190">
            <v>252</v>
          </cell>
          <cell r="G1190">
            <v>173.6</v>
          </cell>
          <cell r="H1190" t="str">
            <v>1-Victron</v>
          </cell>
          <cell r="I1190">
            <v>0.31111111111111112</v>
          </cell>
        </row>
        <row r="1191">
          <cell r="A1191" t="str">
            <v>B1188</v>
          </cell>
          <cell r="B1191" t="str">
            <v>Victron VM-3P75CT Meter 3 phase</v>
          </cell>
          <cell r="D1191" t="str">
            <v>REL200300100</v>
          </cell>
          <cell r="F1191">
            <v>420.3</v>
          </cell>
          <cell r="G1191">
            <v>289.54000000000002</v>
          </cell>
          <cell r="H1191" t="str">
            <v>1-Victron</v>
          </cell>
          <cell r="I1191">
            <v>0.31111111111111112</v>
          </cell>
        </row>
        <row r="1192">
          <cell r="A1192" t="str">
            <v>B1189</v>
          </cell>
          <cell r="B1192" t="str">
            <v>Victron GX Touch 50 Wall Mount</v>
          </cell>
          <cell r="D1192" t="str">
            <v>BPP900465050</v>
          </cell>
          <cell r="F1192">
            <v>23.400000000000002</v>
          </cell>
          <cell r="G1192">
            <v>16.12</v>
          </cell>
          <cell r="H1192" t="str">
            <v>1-Victron</v>
          </cell>
          <cell r="I1192">
            <v>0.31111111111111112</v>
          </cell>
        </row>
        <row r="1193">
          <cell r="A1193" t="str">
            <v>B1190</v>
          </cell>
          <cell r="B1193" t="str">
            <v>Victron GX Touch 70 Wall Mount</v>
          </cell>
          <cell r="D1193" t="str">
            <v>BPP900465070</v>
          </cell>
          <cell r="F1193">
            <v>32.4</v>
          </cell>
          <cell r="G1193">
            <v>22.32</v>
          </cell>
          <cell r="H1193" t="str">
            <v>1-Victron</v>
          </cell>
          <cell r="I1193">
            <v>0.31111111111111112</v>
          </cell>
        </row>
        <row r="1194">
          <cell r="A1194" t="str">
            <v>B1191</v>
          </cell>
          <cell r="B1194" t="str">
            <v>Fronius Gen24 Primo 10.0KW</v>
          </cell>
          <cell r="D1194" t="str">
            <v>Primo-Gen24-10.0</v>
          </cell>
          <cell r="F1194">
            <v>4089.542857142857</v>
          </cell>
          <cell r="G1194">
            <v>2862.68</v>
          </cell>
          <cell r="H1194" t="str">
            <v>2-Krannich</v>
          </cell>
          <cell r="I1194">
            <v>0.3</v>
          </cell>
        </row>
        <row r="1195">
          <cell r="A1195" t="str">
            <v>B1192</v>
          </cell>
          <cell r="B1195" t="str">
            <v>Noark MCB 360V DC 16A 2 Pole</v>
          </cell>
          <cell r="D1195" t="str">
            <v>N84450</v>
          </cell>
          <cell r="F1195">
            <v>0</v>
          </cell>
          <cell r="G1195">
            <v>0</v>
          </cell>
          <cell r="I1195">
            <v>0</v>
          </cell>
        </row>
        <row r="1196">
          <cell r="A1196" t="str">
            <v>B1193</v>
          </cell>
          <cell r="B1196" t="str">
            <v>Hager MCB C25 3pole 6ka</v>
          </cell>
          <cell r="D1196" t="str">
            <v>MSN325</v>
          </cell>
          <cell r="F1196">
            <v>0</v>
          </cell>
          <cell r="G1196">
            <v>0</v>
          </cell>
          <cell r="I1196">
            <v>0</v>
          </cell>
        </row>
        <row r="1197">
          <cell r="A1197" t="str">
            <v>B1194</v>
          </cell>
          <cell r="B1197" t="str">
            <v>Hager MCB C32 3pole 6ka</v>
          </cell>
          <cell r="D1197" t="str">
            <v>MSN332</v>
          </cell>
          <cell r="F1197">
            <v>0</v>
          </cell>
          <cell r="G1197">
            <v>0</v>
          </cell>
          <cell r="I1197">
            <v>0</v>
          </cell>
        </row>
        <row r="1198">
          <cell r="A1198" t="str">
            <v>B1195</v>
          </cell>
          <cell r="B1198" t="str">
            <v>Hager MCB C50 3pole 6ka</v>
          </cell>
          <cell r="D1198" t="str">
            <v>MSN350</v>
          </cell>
          <cell r="F1198">
            <v>0</v>
          </cell>
          <cell r="G1198">
            <v>0</v>
          </cell>
          <cell r="I1198">
            <v>0</v>
          </cell>
        </row>
        <row r="1199">
          <cell r="A1199" t="str">
            <v>B1196</v>
          </cell>
          <cell r="B1199" t="str">
            <v>Hager MCB C25 3pole 10ka</v>
          </cell>
          <cell r="D1199" t="str">
            <v>NT325C</v>
          </cell>
          <cell r="F1199">
            <v>0</v>
          </cell>
          <cell r="G1199">
            <v>0</v>
          </cell>
          <cell r="I1199">
            <v>0</v>
          </cell>
        </row>
        <row r="1200">
          <cell r="A1200" t="str">
            <v>B1197</v>
          </cell>
          <cell r="B1200" t="str">
            <v>Hager MCB C50 3pole 10ka</v>
          </cell>
          <cell r="D1200" t="str">
            <v>NT350C</v>
          </cell>
          <cell r="F1200">
            <v>0</v>
          </cell>
          <cell r="G1200">
            <v>0</v>
          </cell>
          <cell r="I1200">
            <v>0</v>
          </cell>
        </row>
        <row r="1201">
          <cell r="A1201" t="str">
            <v>B1198</v>
          </cell>
          <cell r="B1201" t="str">
            <v>Hager MCB C50 3pole 10ka</v>
          </cell>
          <cell r="D1201" t="str">
            <v>NT363C</v>
          </cell>
          <cell r="F1201">
            <v>0</v>
          </cell>
          <cell r="G1201">
            <v>0</v>
          </cell>
          <cell r="I1201">
            <v>0</v>
          </cell>
        </row>
        <row r="1202">
          <cell r="A1202" t="str">
            <v>B1199</v>
          </cell>
          <cell r="B1202" t="str">
            <v>Victron CT Current Transformer 100A MultiPlusII (5m)</v>
          </cell>
          <cell r="D1202" t="str">
            <v>CTR110000550</v>
          </cell>
          <cell r="F1202">
            <v>63.9</v>
          </cell>
          <cell r="G1202">
            <v>44.02</v>
          </cell>
          <cell r="H1202" t="str">
            <v>1-Victron</v>
          </cell>
          <cell r="I1202">
            <v>0.31111111111111112</v>
          </cell>
        </row>
        <row r="1203">
          <cell r="A1203" t="str">
            <v>B1200</v>
          </cell>
          <cell r="B1203" t="str">
            <v>Victron CT Current Transformer 100A MultiPlusII (20m)</v>
          </cell>
          <cell r="D1203" t="str">
            <v xml:space="preserve">CTR110002050 </v>
          </cell>
          <cell r="F1203">
            <v>113.4</v>
          </cell>
          <cell r="G1203">
            <v>78.12</v>
          </cell>
          <cell r="H1203" t="str">
            <v>1-Victron</v>
          </cell>
          <cell r="I1203">
            <v>0.31111111111111112</v>
          </cell>
        </row>
        <row r="1204">
          <cell r="A1204" t="str">
            <v>B1201</v>
          </cell>
          <cell r="B1204" t="str">
            <v>Voltex Generator Inlet 10A IP66</v>
          </cell>
          <cell r="D1204" t="str">
            <v>C66AI310</v>
          </cell>
          <cell r="F1204">
            <v>0</v>
          </cell>
          <cell r="G1204">
            <v>0</v>
          </cell>
          <cell r="I1204">
            <v>0</v>
          </cell>
        </row>
        <row r="1205">
          <cell r="A1205" t="str">
            <v>B1202</v>
          </cell>
          <cell r="B1205" t="str">
            <v xml:space="preserve">Apec </v>
          </cell>
          <cell r="D1205">
            <v>0</v>
          </cell>
          <cell r="F1205">
            <v>0</v>
          </cell>
          <cell r="G1205">
            <v>0</v>
          </cell>
          <cell r="I1205">
            <v>0</v>
          </cell>
        </row>
        <row r="1206">
          <cell r="A1206" t="str">
            <v>B1203</v>
          </cell>
          <cell r="B1206" t="str">
            <v xml:space="preserve">Apec </v>
          </cell>
          <cell r="D1206">
            <v>0</v>
          </cell>
          <cell r="F1206">
            <v>0</v>
          </cell>
          <cell r="G1206">
            <v>0</v>
          </cell>
          <cell r="I1206">
            <v>0</v>
          </cell>
        </row>
        <row r="1207">
          <cell r="A1207" t="str">
            <v>B1204</v>
          </cell>
          <cell r="B1207" t="str">
            <v xml:space="preserve">Apec </v>
          </cell>
          <cell r="D1207">
            <v>0</v>
          </cell>
          <cell r="F1207">
            <v>0</v>
          </cell>
          <cell r="G1207">
            <v>0</v>
          </cell>
          <cell r="I1207">
            <v>0</v>
          </cell>
        </row>
        <row r="1208">
          <cell r="A1208" t="str">
            <v>B1205</v>
          </cell>
          <cell r="B1208" t="str">
            <v xml:space="preserve"> </v>
          </cell>
          <cell r="D1208">
            <v>0</v>
          </cell>
          <cell r="F1208">
            <v>0</v>
          </cell>
          <cell r="G1208">
            <v>0</v>
          </cell>
          <cell r="I1208">
            <v>0</v>
          </cell>
        </row>
        <row r="1209">
          <cell r="A1209" t="str">
            <v>B1206</v>
          </cell>
          <cell r="B1209" t="str">
            <v>PKG MC4 crimper</v>
          </cell>
          <cell r="D1209" t="str">
            <v>SE110</v>
          </cell>
          <cell r="F1209">
            <v>0</v>
          </cell>
          <cell r="G1209">
            <v>0</v>
          </cell>
          <cell r="I1209">
            <v>0</v>
          </cell>
        </row>
        <row r="1210">
          <cell r="A1210" t="str">
            <v>B1207</v>
          </cell>
          <cell r="B1210" t="str">
            <v>Noark Fuse holder 1 Pole 38mm PV type</v>
          </cell>
          <cell r="D1210">
            <v>101766</v>
          </cell>
          <cell r="F1210">
            <v>0</v>
          </cell>
          <cell r="G1210">
            <v>0</v>
          </cell>
          <cell r="I1210">
            <v>0</v>
          </cell>
        </row>
        <row r="1211">
          <cell r="A1211" t="str">
            <v>B1208</v>
          </cell>
          <cell r="B1211" t="str">
            <v>Noark Fuse holder 2 Pole 38mm PV type</v>
          </cell>
          <cell r="D1211" t="str">
            <v>N85515</v>
          </cell>
          <cell r="F1211">
            <v>0</v>
          </cell>
          <cell r="G1211">
            <v>0</v>
          </cell>
          <cell r="I1211">
            <v>0</v>
          </cell>
        </row>
        <row r="1212">
          <cell r="A1212" t="str">
            <v>B1209</v>
          </cell>
          <cell r="B1212" t="str">
            <v>Victron CT Sensor 100A</v>
          </cell>
          <cell r="D1212">
            <v>0</v>
          </cell>
          <cell r="F1212">
            <v>0</v>
          </cell>
          <cell r="G1212">
            <v>0</v>
          </cell>
          <cell r="I1212">
            <v>0</v>
          </cell>
        </row>
        <row r="1213">
          <cell r="A1213" t="str">
            <v>B1210</v>
          </cell>
          <cell r="B1213" t="str">
            <v>Clenergy 4 panel rack kit, Tin</v>
          </cell>
          <cell r="D1213" t="str">
            <v>K-ER-30KITWRTINB4.6</v>
          </cell>
          <cell r="F1213">
            <v>0</v>
          </cell>
          <cell r="G1213">
            <v>0</v>
          </cell>
          <cell r="I1213">
            <v>0</v>
          </cell>
        </row>
        <row r="1214">
          <cell r="A1214" t="str">
            <v>B1211</v>
          </cell>
          <cell r="B1214" t="str">
            <v>Clenergy 4 panel rack kit, Tile</v>
          </cell>
          <cell r="D1214" t="str">
            <v>K-ER-30KITWRTILEB4.6</v>
          </cell>
          <cell r="F1214">
            <v>0</v>
          </cell>
          <cell r="G1214">
            <v>0</v>
          </cell>
          <cell r="I1214">
            <v>0</v>
          </cell>
        </row>
        <row r="1215">
          <cell r="A1215" t="str">
            <v>B1212</v>
          </cell>
          <cell r="B1215" t="str">
            <v>Trina 500W</v>
          </cell>
          <cell r="D1215">
            <v>23000338</v>
          </cell>
          <cell r="F1215">
            <v>0</v>
          </cell>
          <cell r="G1215">
            <v>0</v>
          </cell>
          <cell r="I1215">
            <v>0</v>
          </cell>
        </row>
        <row r="1216">
          <cell r="A1216" t="str">
            <v>B1213</v>
          </cell>
          <cell r="B1216" t="str">
            <v>Trina 550W</v>
          </cell>
          <cell r="D1216">
            <v>23001579</v>
          </cell>
          <cell r="F1216">
            <v>0</v>
          </cell>
          <cell r="G1216">
            <v>0</v>
          </cell>
          <cell r="I1216">
            <v>0</v>
          </cell>
        </row>
        <row r="1217">
          <cell r="A1217" t="str">
            <v>B1214</v>
          </cell>
          <cell r="B1217" t="str">
            <v xml:space="preserve"> </v>
          </cell>
          <cell r="D1217">
            <v>0</v>
          </cell>
          <cell r="F1217">
            <v>0</v>
          </cell>
          <cell r="G1217">
            <v>0</v>
          </cell>
          <cell r="I1217">
            <v>0</v>
          </cell>
        </row>
        <row r="1218">
          <cell r="A1218" t="str">
            <v>B1215</v>
          </cell>
          <cell r="B1218" t="str">
            <v>Jinko 440W</v>
          </cell>
          <cell r="D1218">
            <v>23001580</v>
          </cell>
          <cell r="F1218">
            <v>0</v>
          </cell>
          <cell r="G1218">
            <v>0</v>
          </cell>
          <cell r="I1218">
            <v>0</v>
          </cell>
        </row>
        <row r="1219">
          <cell r="A1219" t="str">
            <v>B1216</v>
          </cell>
          <cell r="B1219" t="str">
            <v>Jinko 475W</v>
          </cell>
          <cell r="D1219">
            <v>4607</v>
          </cell>
          <cell r="F1219">
            <v>0</v>
          </cell>
          <cell r="G1219">
            <v>0</v>
          </cell>
          <cell r="I1219">
            <v>0</v>
          </cell>
        </row>
        <row r="1220">
          <cell r="A1220" t="str">
            <v>B1217</v>
          </cell>
          <cell r="B1220" t="str">
            <v>Longi 440W</v>
          </cell>
          <cell r="D1220">
            <v>4837</v>
          </cell>
          <cell r="F1220">
            <v>0</v>
          </cell>
          <cell r="G1220">
            <v>0</v>
          </cell>
          <cell r="I1220">
            <v>0</v>
          </cell>
        </row>
        <row r="1221">
          <cell r="A1221" t="str">
            <v>B1218</v>
          </cell>
          <cell r="B1221" t="str">
            <v>Longi 555W</v>
          </cell>
          <cell r="D1221">
            <v>23001575</v>
          </cell>
          <cell r="F1221">
            <v>0</v>
          </cell>
          <cell r="G1221">
            <v>0</v>
          </cell>
          <cell r="I1221">
            <v>0</v>
          </cell>
        </row>
        <row r="1222">
          <cell r="A1222" t="str">
            <v>B1219</v>
          </cell>
          <cell r="B1222" t="str">
            <v>Tindo 410W</v>
          </cell>
          <cell r="D1222">
            <v>0</v>
          </cell>
          <cell r="F1222">
            <v>0</v>
          </cell>
          <cell r="G1222">
            <v>0</v>
          </cell>
          <cell r="I1222">
            <v>0</v>
          </cell>
        </row>
        <row r="1223">
          <cell r="A1223" t="str">
            <v>B1220</v>
          </cell>
          <cell r="B1223" t="str">
            <v xml:space="preserve"> roof flashing</v>
          </cell>
          <cell r="D1223" t="str">
            <v>CSE-PRF-M25-TIN</v>
          </cell>
          <cell r="F1223">
            <v>0</v>
          </cell>
          <cell r="G1223">
            <v>0</v>
          </cell>
          <cell r="I1223">
            <v>0</v>
          </cell>
        </row>
        <row r="1224">
          <cell r="A1224" t="str">
            <v>B1221</v>
          </cell>
          <cell r="B1224" t="str">
            <v xml:space="preserve"> Metal cable ties</v>
          </cell>
          <cell r="D1224">
            <v>0</v>
          </cell>
          <cell r="F1224">
            <v>0</v>
          </cell>
          <cell r="G1224">
            <v>0</v>
          </cell>
          <cell r="I1224">
            <v>0</v>
          </cell>
        </row>
        <row r="1225">
          <cell r="A1225" t="str">
            <v>B1222</v>
          </cell>
          <cell r="B1225" t="str">
            <v xml:space="preserve"> BYD flex 5KWh</v>
          </cell>
          <cell r="D1225">
            <v>0</v>
          </cell>
          <cell r="F1225">
            <v>0</v>
          </cell>
          <cell r="G1225">
            <v>0</v>
          </cell>
          <cell r="I1225">
            <v>0</v>
          </cell>
        </row>
        <row r="1226">
          <cell r="A1226" t="str">
            <v>B1223</v>
          </cell>
          <cell r="B1226" t="str">
            <v xml:space="preserve"> Vaulta ec 5KWh, pack controller</v>
          </cell>
          <cell r="D1226">
            <v>0</v>
          </cell>
          <cell r="F1226">
            <v>0</v>
          </cell>
          <cell r="G1226">
            <v>0</v>
          </cell>
          <cell r="I1226">
            <v>0</v>
          </cell>
        </row>
        <row r="1227">
          <cell r="A1227" t="str">
            <v>B1224</v>
          </cell>
          <cell r="B1227" t="str">
            <v xml:space="preserve"> Vaulta range 3-4 batts</v>
          </cell>
          <cell r="D1227">
            <v>0</v>
          </cell>
          <cell r="F1227">
            <v>0</v>
          </cell>
          <cell r="G1227">
            <v>0</v>
          </cell>
          <cell r="I1227">
            <v>0</v>
          </cell>
        </row>
        <row r="1228">
          <cell r="A1228" t="str">
            <v>B1225</v>
          </cell>
          <cell r="B1228" t="str">
            <v xml:space="preserve"> Vaulta range 3-4 batts</v>
          </cell>
          <cell r="D1228">
            <v>0</v>
          </cell>
          <cell r="F1228">
            <v>0</v>
          </cell>
          <cell r="G1228">
            <v>0</v>
          </cell>
          <cell r="I1228">
            <v>0</v>
          </cell>
        </row>
        <row r="1229">
          <cell r="A1229" t="str">
            <v>B1226</v>
          </cell>
          <cell r="B1229" t="str">
            <v xml:space="preserve"> Vaulta range 3-4 batts</v>
          </cell>
          <cell r="D1229">
            <v>0</v>
          </cell>
          <cell r="F1229">
            <v>0</v>
          </cell>
          <cell r="G1229">
            <v>0</v>
          </cell>
          <cell r="I1229">
            <v>0</v>
          </cell>
        </row>
        <row r="1230">
          <cell r="A1230" t="str">
            <v>B1227</v>
          </cell>
          <cell r="B1230" t="str">
            <v>GenZ Lithium Battery Module 3KWh 24V 2RU</v>
          </cell>
          <cell r="D1230" t="str">
            <v>Genz-3KW-Lith-24</v>
          </cell>
          <cell r="F1230">
            <v>3214.2857142857147</v>
          </cell>
          <cell r="G1230">
            <v>2250</v>
          </cell>
          <cell r="H1230" t="str">
            <v>6-Various</v>
          </cell>
          <cell r="I1230">
            <v>0.3</v>
          </cell>
        </row>
        <row r="1231">
          <cell r="A1231" t="str">
            <v>B1228</v>
          </cell>
          <cell r="B1231" t="str">
            <v>DKSH Solar Fuse Disconnector 1 pole, 1000V</v>
          </cell>
          <cell r="D1231">
            <v>85500</v>
          </cell>
          <cell r="F1231">
            <v>8.3692307692307697</v>
          </cell>
          <cell r="G1231">
            <v>5.44</v>
          </cell>
          <cell r="H1231" t="str">
            <v>3-Tradezone</v>
          </cell>
          <cell r="I1231">
            <v>0.35</v>
          </cell>
        </row>
        <row r="1232">
          <cell r="A1232" t="str">
            <v>B1229</v>
          </cell>
          <cell r="B1232" t="str">
            <v>NHP MCB Enclosure Plastic 6Pole</v>
          </cell>
          <cell r="D1232" t="str">
            <v>DTPC6</v>
          </cell>
          <cell r="F1232">
            <v>37.338461538461537</v>
          </cell>
          <cell r="G1232">
            <v>24.27</v>
          </cell>
          <cell r="H1232" t="str">
            <v>3-Tradezone</v>
          </cell>
          <cell r="I1232">
            <v>0.35</v>
          </cell>
        </row>
        <row r="1233">
          <cell r="A1233" t="str">
            <v>B1230</v>
          </cell>
          <cell r="B1233" t="str">
            <v>DKSH Solar Fuse 8 Amp GPV 10mm x 38mm</v>
          </cell>
          <cell r="D1233" t="str">
            <v>30F8PV</v>
          </cell>
          <cell r="F1233">
            <v>14.246153846153845</v>
          </cell>
          <cell r="G1233">
            <v>9.26</v>
          </cell>
          <cell r="H1233" t="str">
            <v>3-Tradezone</v>
          </cell>
          <cell r="I1233">
            <v>0.35</v>
          </cell>
        </row>
        <row r="1234">
          <cell r="A1234" t="str">
            <v>B1231</v>
          </cell>
          <cell r="B1234" t="str">
            <v>NHP MCB Enclosure Plastic 4Pole</v>
          </cell>
          <cell r="D1234" t="str">
            <v>DTPC4</v>
          </cell>
          <cell r="F1234">
            <v>18.753846153846151</v>
          </cell>
          <cell r="G1234">
            <v>12.19</v>
          </cell>
          <cell r="H1234" t="str">
            <v>3-Tradezone</v>
          </cell>
          <cell r="I1234">
            <v>0.35</v>
          </cell>
        </row>
        <row r="1235">
          <cell r="A1235" t="str">
            <v>B1232</v>
          </cell>
          <cell r="B1235" t="str">
            <v>ABB MCB 6A 1 Pole</v>
          </cell>
          <cell r="D1235" t="str">
            <v>SH201C6</v>
          </cell>
          <cell r="F1235">
            <v>6.2923076923076922</v>
          </cell>
          <cell r="G1235">
            <v>4.09</v>
          </cell>
          <cell r="H1235" t="str">
            <v>3-Tradezone</v>
          </cell>
          <cell r="I1235">
            <v>0.35</v>
          </cell>
        </row>
        <row r="1236">
          <cell r="A1236" t="str">
            <v>B1233</v>
          </cell>
          <cell r="B1236" t="str">
            <v>Arcolectric Rocker Switch 10A 250V  SPST, 20mm I/O</v>
          </cell>
          <cell r="D1236" t="str">
            <v>R13112AAAA</v>
          </cell>
          <cell r="F1236">
            <v>5.9076923076923071</v>
          </cell>
          <cell r="G1236">
            <v>3.84</v>
          </cell>
          <cell r="H1236" t="str">
            <v>6-Various</v>
          </cell>
          <cell r="I1236">
            <v>0.35</v>
          </cell>
        </row>
        <row r="1237">
          <cell r="A1237" t="str">
            <v>B1234</v>
          </cell>
          <cell r="B1237" t="str">
            <v>RSPro Yellow Indicator, 48Vdc, 14mm Hole Size</v>
          </cell>
          <cell r="D1237" t="str">
            <v>208-172</v>
          </cell>
          <cell r="F1237">
            <v>44.123076923076923</v>
          </cell>
          <cell r="G1237">
            <v>28.68</v>
          </cell>
          <cell r="H1237" t="str">
            <v>6-Various</v>
          </cell>
          <cell r="I1237">
            <v>0.35</v>
          </cell>
        </row>
        <row r="1238">
          <cell r="A1238" t="str">
            <v>B1235</v>
          </cell>
          <cell r="B1238" t="str">
            <v>DC Solutions NH1 100A fuse 440 Volts</v>
          </cell>
          <cell r="D1238" t="str">
            <v>FH01/100A</v>
          </cell>
          <cell r="F1238">
            <v>13.8</v>
          </cell>
          <cell r="G1238">
            <v>8.9700000000000006</v>
          </cell>
          <cell r="H1238" t="str">
            <v>3-Tradezone</v>
          </cell>
          <cell r="I1238">
            <v>0.35</v>
          </cell>
        </row>
        <row r="1239">
          <cell r="A1239" t="str">
            <v>B1236</v>
          </cell>
          <cell r="B1239" t="str">
            <v>NETEC Neutral Bar 250A 6 Pole, 225mm</v>
          </cell>
          <cell r="D1239" t="str">
            <v>NST250-06A-F</v>
          </cell>
          <cell r="F1239">
            <v>62.815384615384609</v>
          </cell>
          <cell r="G1239">
            <v>40.83</v>
          </cell>
          <cell r="H1239" t="str">
            <v>6-Various</v>
          </cell>
          <cell r="I1239">
            <v>0.35</v>
          </cell>
        </row>
        <row r="1240">
          <cell r="A1240" t="str">
            <v>B1237</v>
          </cell>
          <cell r="B1240" t="str">
            <v>Projecta Battery Terminal BT59H-10 Type-A, 50-70mm2</v>
          </cell>
          <cell r="D1240" t="str">
            <v>BT59H-10</v>
          </cell>
          <cell r="F1240">
            <v>9.9160839160839167</v>
          </cell>
          <cell r="G1240">
            <v>6.4454545454545462</v>
          </cell>
          <cell r="H1240" t="str">
            <v>6-Various</v>
          </cell>
          <cell r="I1240">
            <v>0.35</v>
          </cell>
        </row>
        <row r="1241">
          <cell r="A1241" t="str">
            <v>B1238</v>
          </cell>
          <cell r="B1241" t="str">
            <v>Powerwave Solar Mounting Rail 4.2m Std</v>
          </cell>
          <cell r="D1241" t="str">
            <v>4.2MRAIL</v>
          </cell>
          <cell r="F1241">
            <v>31.092307692307692</v>
          </cell>
          <cell r="G1241">
            <v>20.21</v>
          </cell>
          <cell r="H1241" t="str">
            <v>3-Tradezone</v>
          </cell>
          <cell r="I1241">
            <v>0.35</v>
          </cell>
        </row>
        <row r="1242">
          <cell r="A1242" t="str">
            <v>B1239</v>
          </cell>
          <cell r="B1242" t="str">
            <v xml:space="preserve">Powerwave Solar Mounting Kit 6 Panel 35mm Tin </v>
          </cell>
          <cell r="D1242" t="str">
            <v>PW6P35&amp;40MMTIN</v>
          </cell>
          <cell r="F1242">
            <v>45.8</v>
          </cell>
          <cell r="G1242">
            <v>29.77</v>
          </cell>
          <cell r="H1242" t="str">
            <v>3-Tradezone</v>
          </cell>
          <cell r="I1242">
            <v>0.35</v>
          </cell>
        </row>
        <row r="1243">
          <cell r="A1243" t="str">
            <v>B1240</v>
          </cell>
          <cell r="B1243" t="str">
            <v>Fronius Primo 5.0-1 SCERT - Selectronics Certified</v>
          </cell>
          <cell r="D1243" t="str">
            <v>SCERT-Primo-5.0-1</v>
          </cell>
          <cell r="F1243">
            <v>2971.4285714285716</v>
          </cell>
          <cell r="G1243">
            <v>2080</v>
          </cell>
          <cell r="H1243" t="str">
            <v>2-Krannich</v>
          </cell>
          <cell r="I1243">
            <v>0.3</v>
          </cell>
        </row>
        <row r="1244">
          <cell r="A1244" t="str">
            <v>B1241</v>
          </cell>
          <cell r="B1244" t="str">
            <v>Fronius Primo 6.0-1 SCERT - Selectronics Certified</v>
          </cell>
          <cell r="D1244" t="str">
            <v>SCERT-Primo-6.0-1</v>
          </cell>
          <cell r="F1244">
            <v>3392.8571428571431</v>
          </cell>
          <cell r="G1244">
            <v>2375</v>
          </cell>
          <cell r="H1244" t="str">
            <v>2-Krannich</v>
          </cell>
          <cell r="I1244">
            <v>0.3</v>
          </cell>
        </row>
        <row r="1245">
          <cell r="A1245" t="str">
            <v>B1242</v>
          </cell>
          <cell r="B1245" t="str">
            <v>Fronius Primo 8.0-1 SCERT - Selectronics Certified</v>
          </cell>
          <cell r="D1245" t="str">
            <v>SCERT-Primo-8.0-1</v>
          </cell>
          <cell r="F1245">
            <v>3964.2857142857147</v>
          </cell>
          <cell r="G1245">
            <v>2775</v>
          </cell>
          <cell r="H1245" t="str">
            <v>2-Krannich</v>
          </cell>
          <cell r="I1245">
            <v>0.3</v>
          </cell>
        </row>
        <row r="1246">
          <cell r="A1246" t="str">
            <v>B1243</v>
          </cell>
          <cell r="B1246" t="str">
            <v>Selectronic Lead CAN RJ45-DB9 LM CS1022 stock code 005289</v>
          </cell>
          <cell r="D1246" t="str">
            <v>LM-CS1022</v>
          </cell>
          <cell r="F1246">
            <v>46.153846153846153</v>
          </cell>
          <cell r="G1246">
            <v>30</v>
          </cell>
          <cell r="H1246" t="str">
            <v>2-Krannich</v>
          </cell>
          <cell r="I1246">
            <v>0.35</v>
          </cell>
        </row>
        <row r="1247">
          <cell r="A1247" t="str">
            <v>B1244</v>
          </cell>
          <cell r="B1247" t="str">
            <v>DC Solutions Fuse 125A NH00 250V DC HRC</v>
          </cell>
          <cell r="D1247" t="str">
            <v>FH00/125A</v>
          </cell>
          <cell r="F1247">
            <v>6.2923076923076922</v>
          </cell>
          <cell r="G1247">
            <v>4.09</v>
          </cell>
          <cell r="H1247" t="str">
            <v>3-Tradezone</v>
          </cell>
          <cell r="I1247">
            <v>0.35</v>
          </cell>
        </row>
        <row r="1248">
          <cell r="A1248" t="str">
            <v>B1245</v>
          </cell>
          <cell r="B1248" t="str">
            <v>Powerhouse PowerHouse Lead-Carbon 12V 100Ah</v>
          </cell>
          <cell r="D1248" t="str">
            <v>BAT-PH+C12/100-AGM</v>
          </cell>
          <cell r="F1248">
            <v>382.35294117647061</v>
          </cell>
          <cell r="G1248">
            <v>260</v>
          </cell>
          <cell r="H1248" t="str">
            <v>14-MHPower</v>
          </cell>
          <cell r="I1248">
            <v>0.32</v>
          </cell>
        </row>
        <row r="1249">
          <cell r="A1249" t="str">
            <v>B1246</v>
          </cell>
          <cell r="B1249" t="str">
            <v>Powerhouse PowerHouse Lead-Carbon 12V 120Ah</v>
          </cell>
          <cell r="D1249" t="str">
            <v>BAT-PH+C12/120-AGM</v>
          </cell>
          <cell r="F1249">
            <v>426.47058823529414</v>
          </cell>
          <cell r="G1249">
            <v>290</v>
          </cell>
          <cell r="H1249" t="str">
            <v>14-MHPower</v>
          </cell>
          <cell r="I1249">
            <v>0.32</v>
          </cell>
        </row>
        <row r="1250">
          <cell r="A1250" t="str">
            <v>B1247</v>
          </cell>
          <cell r="B1250" t="str">
            <v>Powerhouse PowerHouse Lead-Carbon 12V 200Ah</v>
          </cell>
          <cell r="D1250" t="str">
            <v>BAT-PH+C12/200-AGM</v>
          </cell>
          <cell r="F1250">
            <v>735.66176470588232</v>
          </cell>
          <cell r="G1250">
            <v>500.24999999999994</v>
          </cell>
          <cell r="H1250" t="str">
            <v>14-MHPower</v>
          </cell>
          <cell r="I1250">
            <v>0.32</v>
          </cell>
        </row>
        <row r="1251">
          <cell r="A1251" t="str">
            <v>B1248</v>
          </cell>
          <cell r="B1251" t="str">
            <v>Cabacc Lug link sleeve 25mm2</v>
          </cell>
          <cell r="D1251" t="str">
            <v>ALCLK25/25</v>
          </cell>
          <cell r="F1251">
            <v>69.184615384615384</v>
          </cell>
          <cell r="G1251">
            <v>44.97</v>
          </cell>
          <cell r="H1251" t="str">
            <v>3-Tradezone</v>
          </cell>
          <cell r="I1251">
            <v>0.35</v>
          </cell>
        </row>
        <row r="1252">
          <cell r="A1252" t="str">
            <v>B1249</v>
          </cell>
          <cell r="B1252" t="str">
            <v>Wattmaster Lug link sleeve 50mm2</v>
          </cell>
          <cell r="D1252" t="str">
            <v>ALCLK50/25</v>
          </cell>
          <cell r="F1252">
            <v>48.969230769230762</v>
          </cell>
          <cell r="G1252">
            <v>31.83</v>
          </cell>
          <cell r="H1252" t="str">
            <v>3-Tradezone</v>
          </cell>
          <cell r="I1252">
            <v>0.35</v>
          </cell>
        </row>
        <row r="1253">
          <cell r="A1253" t="str">
            <v>B1250</v>
          </cell>
          <cell r="B1253" t="str">
            <v>Konnect Battery Cap M6 Black plastic domed</v>
          </cell>
          <cell r="D1253" t="str">
            <v>Cap-M6</v>
          </cell>
          <cell r="F1253">
            <v>0.2153846153846154</v>
          </cell>
          <cell r="G1253">
            <v>0.14000000000000001</v>
          </cell>
          <cell r="H1253" t="str">
            <v>6-Various</v>
          </cell>
          <cell r="I1253">
            <v>0.35</v>
          </cell>
        </row>
        <row r="1254">
          <cell r="A1254" t="str">
            <v>B1251</v>
          </cell>
          <cell r="B1254" t="str">
            <v>Konnect Battery Cap M8 Black plastic domed</v>
          </cell>
          <cell r="D1254" t="str">
            <v>Cap-M8</v>
          </cell>
          <cell r="F1254">
            <v>0.24615384615384614</v>
          </cell>
          <cell r="G1254">
            <v>0.16</v>
          </cell>
          <cell r="H1254" t="str">
            <v>6-Various</v>
          </cell>
          <cell r="I1254">
            <v>0.35</v>
          </cell>
        </row>
        <row r="1255">
          <cell r="A1255" t="str">
            <v>B1252</v>
          </cell>
          <cell r="B1255" t="str">
            <v>IP Enclosures Enclosure 1000H x 800W x 400D Steel Powdercoated</v>
          </cell>
          <cell r="D1255" t="str">
            <v>IP-1008040</v>
          </cell>
          <cell r="F1255">
            <v>845.28571428571445</v>
          </cell>
          <cell r="G1255">
            <v>591.70000000000005</v>
          </cell>
          <cell r="H1255" t="str">
            <v>6-Various</v>
          </cell>
          <cell r="I1255">
            <v>0.3</v>
          </cell>
        </row>
        <row r="1256">
          <cell r="A1256" t="str">
            <v>B1253</v>
          </cell>
          <cell r="B1256" t="str">
            <v>GenZ Lithium Battery Module 3KWh 48V 2RU</v>
          </cell>
          <cell r="D1256" t="str">
            <v>Genz-3KW-Lith-48</v>
          </cell>
          <cell r="F1256">
            <v>2785.7142857142858</v>
          </cell>
          <cell r="G1256">
            <v>1950</v>
          </cell>
          <cell r="H1256" t="str">
            <v>6-Various</v>
          </cell>
          <cell r="I1256">
            <v>0.3</v>
          </cell>
        </row>
        <row r="1257">
          <cell r="A1257" t="str">
            <v>B1254</v>
          </cell>
          <cell r="B1257" t="str">
            <v>AJ Burrows Ring Binder A5 25mm Black</v>
          </cell>
          <cell r="D1257" t="str">
            <v>Binder-4-25-Bl</v>
          </cell>
          <cell r="F1257">
            <v>8.3776223776223784</v>
          </cell>
          <cell r="G1257">
            <v>5.4454545454545462</v>
          </cell>
          <cell r="H1257" t="str">
            <v>6-Various</v>
          </cell>
          <cell r="I1257">
            <v>0.35</v>
          </cell>
        </row>
        <row r="1258">
          <cell r="A1258" t="str">
            <v>B1255</v>
          </cell>
          <cell r="B1258" t="str">
            <v>Margin Sheet protector A4 Medium Weight</v>
          </cell>
          <cell r="D1258" t="str">
            <v>Sleeve-A4-M</v>
          </cell>
          <cell r="F1258">
            <v>0.15384615384615385</v>
          </cell>
          <cell r="G1258">
            <v>0.1</v>
          </cell>
          <cell r="H1258" t="str">
            <v>6-Various</v>
          </cell>
          <cell r="I1258">
            <v>0.35</v>
          </cell>
        </row>
        <row r="1259">
          <cell r="A1259" t="str">
            <v>B1256</v>
          </cell>
          <cell r="B1259" t="str">
            <v>Margin Sheet protector A5 Medium Weight</v>
          </cell>
          <cell r="D1259" t="str">
            <v>Sleeve-A5-M</v>
          </cell>
          <cell r="F1259">
            <v>0.15384615384615385</v>
          </cell>
          <cell r="G1259">
            <v>0.1</v>
          </cell>
          <cell r="H1259" t="str">
            <v>6-Various</v>
          </cell>
          <cell r="I1259">
            <v>0.35</v>
          </cell>
        </row>
        <row r="1260">
          <cell r="A1260" t="str">
            <v>B1257</v>
          </cell>
          <cell r="B1260" t="str">
            <v>NETEC Neutral Bar 250A 2 Pole, 35mm2 Tunnels, 140mm</v>
          </cell>
          <cell r="D1260" t="str">
            <v>NE250A-M006X</v>
          </cell>
          <cell r="F1260">
            <v>28.531468531468533</v>
          </cell>
          <cell r="G1260">
            <v>18.545454545454547</v>
          </cell>
          <cell r="H1260" t="str">
            <v>6-Various</v>
          </cell>
          <cell r="I1260">
            <v>0.35</v>
          </cell>
        </row>
        <row r="1261">
          <cell r="A1261" t="str">
            <v>B1258</v>
          </cell>
          <cell r="B1261" t="str">
            <v xml:space="preserve">Trina Solar Panel 370W Mono </v>
          </cell>
          <cell r="D1261" t="str">
            <v>TSM-370DD08M</v>
          </cell>
          <cell r="F1261">
            <v>244.85294117647061</v>
          </cell>
          <cell r="G1261">
            <v>166.5</v>
          </cell>
          <cell r="H1261" t="str">
            <v>3-Tradezone</v>
          </cell>
          <cell r="I1261">
            <v>0.32</v>
          </cell>
        </row>
        <row r="1262">
          <cell r="A1262" t="str">
            <v>B1259</v>
          </cell>
          <cell r="B1262" t="str">
            <v>IP Enclosures Enclosure 800H x 800W x 400D Steel Powdercoated</v>
          </cell>
          <cell r="D1262" t="str">
            <v>IP808040</v>
          </cell>
          <cell r="F1262">
            <v>790.01428571428573</v>
          </cell>
          <cell r="G1262">
            <v>553.01</v>
          </cell>
          <cell r="H1262" t="str">
            <v>6-Various</v>
          </cell>
          <cell r="I1262">
            <v>0.3</v>
          </cell>
        </row>
        <row r="1263">
          <cell r="A1263" t="str">
            <v>B1260</v>
          </cell>
          <cell r="B1263" t="str">
            <v>IP Enclosures Enclosure 1000H x 800W x 300D Steel Powdercoated</v>
          </cell>
          <cell r="D1263" t="str">
            <v>IP1008030</v>
          </cell>
          <cell r="F1263">
            <v>710.41176470588243</v>
          </cell>
          <cell r="G1263">
            <v>483.08</v>
          </cell>
          <cell r="H1263" t="str">
            <v>3-Tradezone</v>
          </cell>
          <cell r="I1263">
            <v>0.32</v>
          </cell>
        </row>
        <row r="1264">
          <cell r="A1264" t="str">
            <v>B1261</v>
          </cell>
          <cell r="B1264" t="str">
            <v>Fronius Primo 3.0-1 SCERT - Selectronics Certified</v>
          </cell>
          <cell r="D1264" t="str">
            <v>SCERT-Primo-3.0-1</v>
          </cell>
          <cell r="F1264">
            <v>2392.8571428571431</v>
          </cell>
          <cell r="G1264">
            <v>1675</v>
          </cell>
          <cell r="H1264" t="str">
            <v>2-Krannich</v>
          </cell>
          <cell r="I1264">
            <v>0.3</v>
          </cell>
        </row>
        <row r="1265">
          <cell r="A1265" t="str">
            <v>B1262</v>
          </cell>
          <cell r="B1265" t="str">
            <v>Fronius Primo 4.0-1 SCERT - Selectronics Certified</v>
          </cell>
          <cell r="D1265" t="str">
            <v>SCERT-Primo-4.0-1</v>
          </cell>
          <cell r="F1265">
            <v>2712.8571428571431</v>
          </cell>
          <cell r="G1265">
            <v>1899</v>
          </cell>
          <cell r="H1265" t="str">
            <v>2-Krannich</v>
          </cell>
          <cell r="I1265">
            <v>0.3</v>
          </cell>
        </row>
        <row r="1266">
          <cell r="A1266" t="str">
            <v>B1263</v>
          </cell>
          <cell r="B1266" t="str">
            <v>Victron Shunt 500A/50mV (spare part)</v>
          </cell>
          <cell r="D1266" t="str">
            <v>SHU500050100</v>
          </cell>
          <cell r="F1266">
            <v>0</v>
          </cell>
          <cell r="G1266">
            <v>36.4</v>
          </cell>
          <cell r="H1266" t="str">
            <v>1-Victron</v>
          </cell>
          <cell r="I1266">
            <v>0.31111111111111112</v>
          </cell>
        </row>
        <row r="1267">
          <cell r="A1267" t="str">
            <v>B1264</v>
          </cell>
          <cell r="B1267" t="str">
            <v>Victron Shunt 1000A/50mV</v>
          </cell>
          <cell r="D1267" t="str">
            <v>SHU102050200</v>
          </cell>
          <cell r="F1267">
            <v>0</v>
          </cell>
          <cell r="G1267">
            <v>118.95619047619046</v>
          </cell>
          <cell r="H1267" t="str">
            <v>1-Victron</v>
          </cell>
          <cell r="I1267">
            <v>0.31111111111111112</v>
          </cell>
        </row>
        <row r="1268">
          <cell r="A1268" t="str">
            <v>B1265</v>
          </cell>
          <cell r="B1268" t="str">
            <v>Victron Shunt 2000A/50mV</v>
          </cell>
          <cell r="D1268" t="str">
            <v>SHU202050200</v>
          </cell>
          <cell r="F1268">
            <v>0</v>
          </cell>
          <cell r="G1268">
            <v>187.19999999999996</v>
          </cell>
          <cell r="H1268" t="str">
            <v>1-Victron</v>
          </cell>
          <cell r="I1268">
            <v>0.31111111111111112</v>
          </cell>
        </row>
        <row r="1269">
          <cell r="A1269" t="str">
            <v>B1266</v>
          </cell>
          <cell r="B1269" t="str">
            <v>Victron Shunt 6000A/50mV</v>
          </cell>
          <cell r="D1269" t="str">
            <v>SHU602050200</v>
          </cell>
          <cell r="F1269">
            <v>0</v>
          </cell>
          <cell r="G1269">
            <v>328.24380952380949</v>
          </cell>
          <cell r="H1269" t="str">
            <v>1-Victron</v>
          </cell>
          <cell r="I1269">
            <v>0.31111111111111112</v>
          </cell>
        </row>
        <row r="1270">
          <cell r="A1270" t="str">
            <v>B1267</v>
          </cell>
          <cell r="B1270" t="str">
            <v>B&amp;R Link Bar 35mm2 max, 10 pole 100A, Covered (black)</v>
          </cell>
          <cell r="D1270" t="str">
            <v>LK10B35</v>
          </cell>
          <cell r="F1270">
            <v>19.153846153846153</v>
          </cell>
          <cell r="G1270">
            <v>12.45</v>
          </cell>
          <cell r="H1270" t="str">
            <v>3-Tradezone</v>
          </cell>
          <cell r="I1270">
            <v>0.35</v>
          </cell>
        </row>
        <row r="1271">
          <cell r="A1271" t="str">
            <v>B1268</v>
          </cell>
          <cell r="B1271" t="str">
            <v>B&amp;R Link Bar 35mm2 max, 10 pole 100A, Covered (red)</v>
          </cell>
          <cell r="D1271" t="str">
            <v>LK10R35</v>
          </cell>
          <cell r="F1271">
            <v>19.153846153846153</v>
          </cell>
          <cell r="G1271">
            <v>12.45</v>
          </cell>
          <cell r="H1271" t="str">
            <v>3-Tradezone</v>
          </cell>
          <cell r="I1271">
            <v>0.35</v>
          </cell>
        </row>
        <row r="1272">
          <cell r="A1272" t="str">
            <v>B1269</v>
          </cell>
          <cell r="B1272" t="str">
            <v>Aussie-Solar-Labels Sign "ES" 100mm Dia, "UN2800" Green Reflective</v>
          </cell>
          <cell r="D1272" t="str">
            <v>Sign-ES-100-2800</v>
          </cell>
          <cell r="F1272">
            <v>4.0559440559440558</v>
          </cell>
          <cell r="G1272">
            <v>2.6363636363636362</v>
          </cell>
          <cell r="H1272" t="str">
            <v>6-Various</v>
          </cell>
          <cell r="I1272">
            <v>0.35</v>
          </cell>
        </row>
        <row r="1273">
          <cell r="A1273" t="str">
            <v>B1270</v>
          </cell>
          <cell r="B1273" t="str">
            <v>IP Enclosures Enclosure 800H x 600W x 400D Steel Powdercoated</v>
          </cell>
          <cell r="D1273" t="str">
            <v>IP-806040</v>
          </cell>
          <cell r="F1273">
            <v>527.66176470588243</v>
          </cell>
          <cell r="G1273">
            <v>358.81</v>
          </cell>
          <cell r="H1273" t="str">
            <v>6-Various</v>
          </cell>
          <cell r="I1273">
            <v>0.32</v>
          </cell>
        </row>
        <row r="1274">
          <cell r="A1274" t="str">
            <v>B1271</v>
          </cell>
          <cell r="B1274" t="str">
            <v>Madison RJ45 UTP Cable 1.5 m</v>
          </cell>
          <cell r="D1274" t="str">
            <v>MT6L45451.5BEA</v>
          </cell>
          <cell r="F1274">
            <v>3.9692307692307693</v>
          </cell>
          <cell r="G1274">
            <v>2.58</v>
          </cell>
          <cell r="H1274" t="str">
            <v>3-Tradezone</v>
          </cell>
          <cell r="I1274">
            <v>0.35</v>
          </cell>
        </row>
        <row r="1275">
          <cell r="A1275" t="str">
            <v>B1272</v>
          </cell>
          <cell r="B1275" t="str">
            <v>Fronius Symo 12.5kW Grid 3Ph Inverter</v>
          </cell>
          <cell r="D1275" t="str">
            <v>Symo-12.5-3-M</v>
          </cell>
          <cell r="F1275">
            <v>4284.2857142857147</v>
          </cell>
          <cell r="G1275">
            <v>2999</v>
          </cell>
          <cell r="H1275" t="str">
            <v>2-Krannich</v>
          </cell>
          <cell r="I1275">
            <v>0.3</v>
          </cell>
        </row>
        <row r="1276">
          <cell r="A1276" t="str">
            <v>B1273</v>
          </cell>
          <cell r="B1276" t="str">
            <v>OEZ Fuse disconnector NH2 3 pole</v>
          </cell>
          <cell r="D1276" t="str">
            <v>FH2-3A/F-SWE</v>
          </cell>
          <cell r="F1276">
            <v>0</v>
          </cell>
          <cell r="G1276">
            <v>215.76</v>
          </cell>
          <cell r="H1276" t="str">
            <v>1-Victron</v>
          </cell>
          <cell r="I1276">
            <v>0.31111111111111112</v>
          </cell>
        </row>
        <row r="1277">
          <cell r="A1277" t="str">
            <v>B1274</v>
          </cell>
          <cell r="B1277" t="str">
            <v xml:space="preserve">Fusion AGM 700Ah Solar Battery 2V Module </v>
          </cell>
          <cell r="D1277" t="str">
            <v>CBS2V230AH</v>
          </cell>
          <cell r="F1277">
            <v>400.70588235294122</v>
          </cell>
          <cell r="G1277">
            <v>272.48</v>
          </cell>
          <cell r="H1277" t="str">
            <v>8-Batteries</v>
          </cell>
          <cell r="I1277">
            <v>0</v>
          </cell>
        </row>
        <row r="1278">
          <cell r="A1278" t="str">
            <v>B1275</v>
          </cell>
          <cell r="B1278" t="str">
            <v xml:space="preserve">Fusion AGM 900Ah Solar Battery 2V Module </v>
          </cell>
          <cell r="D1278" t="str">
            <v>CBS2V285AH</v>
          </cell>
          <cell r="F1278">
            <v>402.17647058823536</v>
          </cell>
          <cell r="G1278">
            <v>273.48</v>
          </cell>
          <cell r="H1278" t="str">
            <v>8-Batteries</v>
          </cell>
          <cell r="I1278">
            <v>0</v>
          </cell>
        </row>
        <row r="1279">
          <cell r="A1279" t="str">
            <v>B1276</v>
          </cell>
          <cell r="B1279" t="str">
            <v xml:space="preserve">Fusion AGM 700Ah Solar Battery 2V Module </v>
          </cell>
          <cell r="D1279" t="str">
            <v>CBS2V350AH</v>
          </cell>
          <cell r="F1279">
            <v>403.64705882352945</v>
          </cell>
          <cell r="G1279">
            <v>274.48</v>
          </cell>
          <cell r="H1279" t="str">
            <v>8-Batteries</v>
          </cell>
          <cell r="I1279">
            <v>0</v>
          </cell>
        </row>
        <row r="1280">
          <cell r="A1280" t="str">
            <v>B1277</v>
          </cell>
          <cell r="B1280" t="str">
            <v xml:space="preserve">Fusion AGM 900Ah Solar Battery 2V Module </v>
          </cell>
          <cell r="D1280" t="str">
            <v>CBS2V450AH</v>
          </cell>
          <cell r="F1280">
            <v>405.11764705882359</v>
          </cell>
          <cell r="G1280">
            <v>275.48</v>
          </cell>
          <cell r="H1280" t="str">
            <v>8-Batteries</v>
          </cell>
          <cell r="I1280">
            <v>0</v>
          </cell>
        </row>
        <row r="1281">
          <cell r="A1281" t="str">
            <v>B1278</v>
          </cell>
          <cell r="B1281" t="str">
            <v xml:space="preserve">Fusion AGM 700Ah Solar Battery 2V Module </v>
          </cell>
          <cell r="D1281" t="str">
            <v>CBS2V500AH</v>
          </cell>
          <cell r="F1281">
            <v>406.58823529411774</v>
          </cell>
          <cell r="G1281">
            <v>276.48</v>
          </cell>
          <cell r="H1281" t="str">
            <v>8-Batteries</v>
          </cell>
          <cell r="I1281">
            <v>0</v>
          </cell>
        </row>
        <row r="1282">
          <cell r="A1282" t="str">
            <v>B1279</v>
          </cell>
          <cell r="B1282" t="str">
            <v xml:space="preserve">Fusion AGM 550Ah Solar Battery 2V Module </v>
          </cell>
          <cell r="D1282" t="str">
            <v>CBS2V550AH</v>
          </cell>
          <cell r="F1282">
            <v>408.05882352941182</v>
          </cell>
          <cell r="G1282">
            <v>277.48</v>
          </cell>
          <cell r="H1282" t="str">
            <v>8-Batteries</v>
          </cell>
          <cell r="I1282">
            <v>0</v>
          </cell>
        </row>
        <row r="1283">
          <cell r="A1283" t="str">
            <v>B1280</v>
          </cell>
          <cell r="B1283" t="str">
            <v xml:space="preserve">Fusion AGM 700Ah Solar Battery 2V Module </v>
          </cell>
          <cell r="D1283" t="str">
            <v>CBS2V700AH</v>
          </cell>
          <cell r="F1283">
            <v>409.52941176470597</v>
          </cell>
          <cell r="G1283">
            <v>278.48</v>
          </cell>
          <cell r="H1283" t="str">
            <v>8-Batteries</v>
          </cell>
          <cell r="I1283">
            <v>0</v>
          </cell>
        </row>
        <row r="1284">
          <cell r="A1284" t="str">
            <v>B1281</v>
          </cell>
          <cell r="B1284" t="str">
            <v xml:space="preserve">Fusion AGM 900Ah Solar Battery 2V Module </v>
          </cell>
          <cell r="D1284" t="str">
            <v>CBS2V900AH</v>
          </cell>
          <cell r="F1284">
            <v>559.57352941176475</v>
          </cell>
          <cell r="G1284">
            <v>380.51</v>
          </cell>
          <cell r="H1284" t="str">
            <v>8-Batteries</v>
          </cell>
          <cell r="I1284">
            <v>0</v>
          </cell>
        </row>
        <row r="1285">
          <cell r="A1285" t="str">
            <v>B1282</v>
          </cell>
          <cell r="B1285" t="str">
            <v xml:space="preserve">Fusion AGM 1100Ah Solar Battery 2V Module </v>
          </cell>
          <cell r="D1285" t="str">
            <v>CBS2V1100AH</v>
          </cell>
          <cell r="F1285">
            <v>672.98529411764707</v>
          </cell>
          <cell r="G1285">
            <v>457.63</v>
          </cell>
          <cell r="H1285" t="str">
            <v>8-Batteries</v>
          </cell>
          <cell r="I1285">
            <v>0</v>
          </cell>
        </row>
        <row r="1286">
          <cell r="A1286" t="str">
            <v>B1283</v>
          </cell>
          <cell r="B1286" t="str">
            <v xml:space="preserve">Fusion AGM1350Ah Solar Battery 2V Module </v>
          </cell>
          <cell r="D1286" t="str">
            <v>CBS2V1350AH</v>
          </cell>
          <cell r="F1286">
            <v>736.2941176470589</v>
          </cell>
          <cell r="G1286">
            <v>500.68</v>
          </cell>
          <cell r="H1286" t="str">
            <v>8-Batteries</v>
          </cell>
          <cell r="I1286">
            <v>0</v>
          </cell>
        </row>
        <row r="1287">
          <cell r="A1287" t="str">
            <v>B1284</v>
          </cell>
          <cell r="B1287" t="str">
            <v xml:space="preserve">Fusion AGM 1700Ah Solar Battery 2V Module </v>
          </cell>
          <cell r="D1287" t="str">
            <v>CBS2V1700AH</v>
          </cell>
          <cell r="F1287">
            <v>1060.3714285714286</v>
          </cell>
          <cell r="G1287">
            <v>742.26</v>
          </cell>
          <cell r="H1287" t="str">
            <v>8-Batteries</v>
          </cell>
          <cell r="I1287">
            <v>0</v>
          </cell>
        </row>
        <row r="1288">
          <cell r="A1288" t="str">
            <v>B1285</v>
          </cell>
          <cell r="B1288" t="str">
            <v xml:space="preserve">Fusion AGM 2800Ah Solar Battery 2V Module </v>
          </cell>
          <cell r="D1288" t="str">
            <v>CBS2V2800AH</v>
          </cell>
          <cell r="F1288">
            <v>1480.2857142857144</v>
          </cell>
          <cell r="G1288">
            <v>1036.2</v>
          </cell>
          <cell r="H1288" t="str">
            <v>8-Batteries</v>
          </cell>
          <cell r="I1288">
            <v>0</v>
          </cell>
        </row>
        <row r="1289">
          <cell r="A1289" t="str">
            <v>B1286</v>
          </cell>
          <cell r="B1289" t="str">
            <v xml:space="preserve">Fusion AGM 3500Ah Solar Battery 2V Module </v>
          </cell>
          <cell r="D1289" t="str">
            <v>CBS2V3500AH</v>
          </cell>
          <cell r="F1289">
            <v>1999.8571428571431</v>
          </cell>
          <cell r="G1289">
            <v>1399.9</v>
          </cell>
          <cell r="H1289" t="str">
            <v>8-Batteries</v>
          </cell>
          <cell r="I1289">
            <v>0</v>
          </cell>
        </row>
        <row r="1290">
          <cell r="A1290" t="str">
            <v>B1287</v>
          </cell>
          <cell r="B1290" t="str">
            <v xml:space="preserve">Fusion Gel 200Ah Solar Battery 2V Module </v>
          </cell>
          <cell r="D1290" t="str">
            <v>4OPzV200</v>
          </cell>
          <cell r="F1290">
            <v>260.82352941176475</v>
          </cell>
          <cell r="G1290">
            <v>177.36</v>
          </cell>
          <cell r="H1290" t="str">
            <v>8-Batteries</v>
          </cell>
          <cell r="I1290">
            <v>0</v>
          </cell>
        </row>
        <row r="1291">
          <cell r="A1291" t="str">
            <v>B1288</v>
          </cell>
          <cell r="B1291" t="str">
            <v xml:space="preserve">Fusion Gel 250Ah Solar Battery 2V Module </v>
          </cell>
          <cell r="D1291" t="str">
            <v>5OPzV250</v>
          </cell>
          <cell r="F1291">
            <v>302.63235294117646</v>
          </cell>
          <cell r="G1291">
            <v>205.79</v>
          </cell>
          <cell r="H1291" t="str">
            <v>8-Batteries</v>
          </cell>
          <cell r="I1291">
            <v>0</v>
          </cell>
        </row>
        <row r="1292">
          <cell r="A1292" t="str">
            <v>B1289</v>
          </cell>
          <cell r="B1292" t="str">
            <v xml:space="preserve">Fusion Gel 300Ah Solar Battery 2V Module </v>
          </cell>
          <cell r="D1292" t="str">
            <v>6OPzV300</v>
          </cell>
          <cell r="F1292">
            <v>350.38235294117646</v>
          </cell>
          <cell r="G1292">
            <v>238.26</v>
          </cell>
          <cell r="H1292" t="str">
            <v>8-Batteries</v>
          </cell>
          <cell r="I1292">
            <v>0</v>
          </cell>
        </row>
        <row r="1293">
          <cell r="A1293" t="str">
            <v>B1290</v>
          </cell>
          <cell r="B1293" t="str">
            <v xml:space="preserve">Fusion Gel 350Ah Solar Battery 2V Module </v>
          </cell>
          <cell r="D1293" t="str">
            <v>5OPzV350</v>
          </cell>
          <cell r="F1293">
            <v>386.08823529411774</v>
          </cell>
          <cell r="G1293">
            <v>262.54000000000002</v>
          </cell>
          <cell r="H1293" t="str">
            <v>8-Batteries</v>
          </cell>
          <cell r="I1293">
            <v>0</v>
          </cell>
        </row>
        <row r="1294">
          <cell r="A1294" t="str">
            <v>B1291</v>
          </cell>
          <cell r="B1294" t="str">
            <v xml:space="preserve">Fusion Gel 420Ah Solar Battery 2V Module </v>
          </cell>
          <cell r="D1294" t="str">
            <v>6OPzV420</v>
          </cell>
          <cell r="F1294">
            <v>434.85294117647061</v>
          </cell>
          <cell r="G1294">
            <v>295.7</v>
          </cell>
          <cell r="H1294" t="str">
            <v>8-Batteries</v>
          </cell>
          <cell r="I1294">
            <v>0</v>
          </cell>
        </row>
        <row r="1295">
          <cell r="A1295" t="str">
            <v>B1292</v>
          </cell>
          <cell r="B1295" t="str">
            <v xml:space="preserve">Fusion Gel 490Ah Solar Battery 2V Module </v>
          </cell>
          <cell r="D1295" t="str">
            <v>7OPzV490</v>
          </cell>
          <cell r="F1295">
            <v>496.2205882352942</v>
          </cell>
          <cell r="G1295">
            <v>337.43</v>
          </cell>
          <cell r="H1295" t="str">
            <v>8-Batteries</v>
          </cell>
          <cell r="I1295">
            <v>0</v>
          </cell>
        </row>
        <row r="1296">
          <cell r="A1296" t="str">
            <v>B1293</v>
          </cell>
          <cell r="B1296" t="str">
            <v xml:space="preserve">Fusion Gel 600Ah Solar Battery 2V Module </v>
          </cell>
          <cell r="D1296" t="str">
            <v>6OPzV600</v>
          </cell>
          <cell r="F1296">
            <v>608.07352941176475</v>
          </cell>
          <cell r="G1296">
            <v>413.49</v>
          </cell>
          <cell r="H1296" t="str">
            <v>8-Batteries</v>
          </cell>
          <cell r="I1296">
            <v>0</v>
          </cell>
        </row>
        <row r="1297">
          <cell r="A1297" t="str">
            <v>B1294</v>
          </cell>
          <cell r="B1297" t="str">
            <v xml:space="preserve">Fusion Gel 800Ah Solar Battery 2V Module </v>
          </cell>
          <cell r="D1297" t="str">
            <v>8OPzV800</v>
          </cell>
          <cell r="F1297">
            <v>788.62857142857138</v>
          </cell>
          <cell r="G1297">
            <v>552.04</v>
          </cell>
          <cell r="H1297" t="str">
            <v>8-Batteries</v>
          </cell>
          <cell r="I1297">
            <v>0</v>
          </cell>
        </row>
        <row r="1298">
          <cell r="A1298" t="str">
            <v>B1295</v>
          </cell>
          <cell r="B1298" t="str">
            <v xml:space="preserve">Fusion Gel 1000Ah Solar Battery 2V Module </v>
          </cell>
          <cell r="D1298" t="str">
            <v>10OPzV1000</v>
          </cell>
          <cell r="F1298">
            <v>965.11428571428587</v>
          </cell>
          <cell r="G1298">
            <v>675.58</v>
          </cell>
          <cell r="H1298" t="str">
            <v>8-Batteries</v>
          </cell>
          <cell r="I1298">
            <v>0</v>
          </cell>
        </row>
        <row r="1299">
          <cell r="A1299" t="str">
            <v>B1296</v>
          </cell>
          <cell r="B1299" t="str">
            <v xml:space="preserve">Fusion Gel 1200Ah Solar Battery 2V Module </v>
          </cell>
          <cell r="D1299" t="str">
            <v>12OPzV1200</v>
          </cell>
          <cell r="F1299">
            <v>1129.1285714285714</v>
          </cell>
          <cell r="G1299">
            <v>790.39</v>
          </cell>
          <cell r="H1299" t="str">
            <v>8-Batteries</v>
          </cell>
          <cell r="I1299">
            <v>0</v>
          </cell>
        </row>
        <row r="1300">
          <cell r="A1300" t="str">
            <v>B1297</v>
          </cell>
          <cell r="B1300" t="str">
            <v xml:space="preserve">Fusion Gel 1500Ah Solar Battery 2V Module </v>
          </cell>
          <cell r="D1300" t="str">
            <v>12OPzV1500</v>
          </cell>
          <cell r="F1300">
            <v>1406.5428571428572</v>
          </cell>
          <cell r="G1300">
            <v>984.58</v>
          </cell>
          <cell r="H1300" t="str">
            <v>8-Batteries</v>
          </cell>
          <cell r="I1300">
            <v>0</v>
          </cell>
        </row>
        <row r="1301">
          <cell r="A1301" t="str">
            <v>B1298</v>
          </cell>
          <cell r="B1301" t="str">
            <v xml:space="preserve">Fusion Gel 2000Ah Solar Battery 2V Module </v>
          </cell>
          <cell r="D1301" t="str">
            <v>16OPzV2000</v>
          </cell>
          <cell r="F1301">
            <v>1937.4285714285716</v>
          </cell>
          <cell r="G1301">
            <v>1356.2</v>
          </cell>
          <cell r="H1301" t="str">
            <v>8-Batteries</v>
          </cell>
          <cell r="I1301">
            <v>0</v>
          </cell>
        </row>
        <row r="1302">
          <cell r="A1302" t="str">
            <v>B1299</v>
          </cell>
          <cell r="B1302" t="str">
            <v xml:space="preserve">Fusion Gel 2500Ah Solar Battery 2V Module </v>
          </cell>
          <cell r="D1302" t="str">
            <v>20OPzV2500</v>
          </cell>
          <cell r="F1302">
            <v>2413.5</v>
          </cell>
          <cell r="G1302">
            <v>1689.45</v>
          </cell>
          <cell r="H1302" t="str">
            <v>8-Batteries</v>
          </cell>
          <cell r="I1302">
            <v>0</v>
          </cell>
        </row>
        <row r="1303">
          <cell r="A1303" t="str">
            <v>B1300</v>
          </cell>
          <cell r="B1303" t="str">
            <v xml:space="preserve">Fusion Gel 3000Ah Solar Battery 2V Module </v>
          </cell>
          <cell r="D1303" t="str">
            <v>24OPzV3000</v>
          </cell>
          <cell r="F1303">
            <v>2796.9428571428571</v>
          </cell>
          <cell r="G1303">
            <v>1957.86</v>
          </cell>
          <cell r="H1303" t="str">
            <v>8-Batteries</v>
          </cell>
          <cell r="I1303">
            <v>0</v>
          </cell>
        </row>
        <row r="1304">
          <cell r="A1304" t="str">
            <v>B1301</v>
          </cell>
          <cell r="B1304" t="str">
            <v>Dore Neutral Bar 165A 2 Pole, 145mm (pair)</v>
          </cell>
          <cell r="D1304" t="str">
            <v>165E12</v>
          </cell>
          <cell r="F1304">
            <v>14.969230769230769</v>
          </cell>
          <cell r="G1304">
            <v>9.73</v>
          </cell>
          <cell r="H1304" t="str">
            <v>3-Tradezone</v>
          </cell>
          <cell r="I1304">
            <v>0.35</v>
          </cell>
        </row>
        <row r="1305">
          <cell r="A1305" t="str">
            <v>B1302</v>
          </cell>
          <cell r="B1305" t="str">
            <v>IP Enclosures Vent 75x100mm (IP Enclosures: IP-PSLV10075)</v>
          </cell>
          <cell r="D1305" t="str">
            <v>IPPSLV10075</v>
          </cell>
          <cell r="F1305">
            <v>12.553846153846154</v>
          </cell>
          <cell r="G1305">
            <v>8.16</v>
          </cell>
          <cell r="H1305" t="str">
            <v>3-Tradezone</v>
          </cell>
          <cell r="I1305">
            <v>0.35</v>
          </cell>
        </row>
        <row r="1306">
          <cell r="A1306" t="str">
            <v>B1303</v>
          </cell>
          <cell r="B1306" t="str">
            <v>IP Enclosures Enclosure 1200H x 800W x 400D Steel Powdercoated</v>
          </cell>
          <cell r="D1306" t="str">
            <v>IP1208040</v>
          </cell>
          <cell r="F1306">
            <v>1263.3857142857144</v>
          </cell>
          <cell r="G1306">
            <v>884.37</v>
          </cell>
          <cell r="H1306" t="str">
            <v>6-Various</v>
          </cell>
          <cell r="I1306">
            <v>0.3</v>
          </cell>
        </row>
        <row r="1307">
          <cell r="A1307" t="str">
            <v>B1304</v>
          </cell>
          <cell r="B1307" t="str">
            <v xml:space="preserve"> Screw M5x10 Pan Phillips S/Steel 304-316</v>
          </cell>
          <cell r="D1307">
            <v>0</v>
          </cell>
          <cell r="F1307">
            <v>0</v>
          </cell>
          <cell r="G1307">
            <v>0</v>
          </cell>
          <cell r="I1307">
            <v>0</v>
          </cell>
        </row>
        <row r="1308">
          <cell r="A1308" t="str">
            <v>B1305</v>
          </cell>
          <cell r="B1308" t="str">
            <v>IP Enclosures Enclosure 1200H x 800W x 300D Steel Powdercoated</v>
          </cell>
          <cell r="D1308" t="str">
            <v>IP-1208030</v>
          </cell>
          <cell r="F1308">
            <v>697.20588235294133</v>
          </cell>
          <cell r="G1308">
            <v>474.1</v>
          </cell>
          <cell r="H1308" t="str">
            <v>6-Various</v>
          </cell>
          <cell r="I1308">
            <v>0.32</v>
          </cell>
        </row>
        <row r="1309">
          <cell r="A1309" t="str">
            <v>B1306</v>
          </cell>
          <cell r="B1309" t="str">
            <v>Noark MCCB 100A 500VDC 2 pole</v>
          </cell>
          <cell r="D1309" t="str">
            <v>NRK-N28708</v>
          </cell>
          <cell r="F1309">
            <v>0</v>
          </cell>
          <cell r="G1309">
            <v>0</v>
          </cell>
          <cell r="H1309" t="str">
            <v>11-DKSH</v>
          </cell>
          <cell r="I1309">
            <v>0</v>
          </cell>
        </row>
        <row r="1310">
          <cell r="A1310" t="str">
            <v>B1307</v>
          </cell>
          <cell r="B1310" t="str">
            <v>Noark MCCB 125A 500VDC 2 pole</v>
          </cell>
          <cell r="D1310" t="str">
            <v>NRK-N28709</v>
          </cell>
          <cell r="F1310">
            <v>0</v>
          </cell>
          <cell r="G1310">
            <v>0</v>
          </cell>
          <cell r="H1310" t="str">
            <v>11-DKSH</v>
          </cell>
          <cell r="I1310">
            <v>0</v>
          </cell>
        </row>
        <row r="1311">
          <cell r="A1311" t="str">
            <v>B1308</v>
          </cell>
          <cell r="B1311" t="str">
            <v>Noark MCCB 160A 500VDC 2 pole</v>
          </cell>
          <cell r="D1311" t="str">
            <v>NRK-N28901</v>
          </cell>
          <cell r="F1311">
            <v>0</v>
          </cell>
          <cell r="G1311">
            <v>0</v>
          </cell>
          <cell r="H1311" t="str">
            <v>11-DKSH</v>
          </cell>
          <cell r="I1311">
            <v>0</v>
          </cell>
        </row>
        <row r="1312">
          <cell r="A1312" t="str">
            <v>B1309</v>
          </cell>
          <cell r="B1312" t="str">
            <v>Noark MCCB 180A 500VDC 2 pole</v>
          </cell>
          <cell r="D1312" t="str">
            <v>NRK-N28902</v>
          </cell>
          <cell r="F1312">
            <v>0</v>
          </cell>
          <cell r="G1312">
            <v>0</v>
          </cell>
          <cell r="H1312" t="str">
            <v>11-DKSH</v>
          </cell>
          <cell r="I1312">
            <v>0</v>
          </cell>
        </row>
        <row r="1313">
          <cell r="A1313" t="str">
            <v>B1310</v>
          </cell>
          <cell r="B1313" t="str">
            <v>Noark MCCB 200A 500VDC 2 pole</v>
          </cell>
          <cell r="D1313" t="str">
            <v>NRK-N28903</v>
          </cell>
          <cell r="F1313">
            <v>0</v>
          </cell>
          <cell r="G1313">
            <v>0</v>
          </cell>
          <cell r="H1313" t="str">
            <v>11-DKSH</v>
          </cell>
          <cell r="I1313">
            <v>0</v>
          </cell>
        </row>
        <row r="1314">
          <cell r="A1314" t="str">
            <v>B1311</v>
          </cell>
          <cell r="B1314" t="str">
            <v>Noark MCCB 250A 500VDC 2 pole</v>
          </cell>
          <cell r="D1314" t="str">
            <v>NRK-N28905</v>
          </cell>
          <cell r="F1314">
            <v>0</v>
          </cell>
          <cell r="G1314">
            <v>0</v>
          </cell>
          <cell r="H1314" t="str">
            <v>11-DKSH</v>
          </cell>
          <cell r="I1314">
            <v>0</v>
          </cell>
        </row>
        <row r="1315">
          <cell r="A1315" t="str">
            <v>B1312</v>
          </cell>
          <cell r="B1315" t="str">
            <v xml:space="preserve">Qcell Solar Panel 350W Mono Gmaxx G2 </v>
          </cell>
          <cell r="D1315" t="str">
            <v>Q.MAXX-G2350</v>
          </cell>
          <cell r="F1315">
            <v>261.76470588235298</v>
          </cell>
          <cell r="G1315">
            <v>178</v>
          </cell>
          <cell r="H1315" t="str">
            <v>3-Tradezone</v>
          </cell>
          <cell r="I1315">
            <v>0.32</v>
          </cell>
        </row>
        <row r="1316">
          <cell r="A1316" t="str">
            <v>B1313</v>
          </cell>
          <cell r="B1316" t="str">
            <v>Victron SmartShunt 500A/50mV</v>
          </cell>
          <cell r="D1316" t="str">
            <v>SHU050150050</v>
          </cell>
          <cell r="F1316">
            <v>180</v>
          </cell>
          <cell r="G1316">
            <v>124</v>
          </cell>
          <cell r="H1316" t="str">
            <v>1-Victron</v>
          </cell>
          <cell r="I1316">
            <v>0.31111111111111112</v>
          </cell>
        </row>
        <row r="1317">
          <cell r="A1317" t="str">
            <v>B1314</v>
          </cell>
          <cell r="B1317" t="str">
            <v>Clipsal Conduit Lockring Nut M20, PVC White</v>
          </cell>
          <cell r="D1317" t="str">
            <v>260/20-GY</v>
          </cell>
          <cell r="F1317">
            <v>0</v>
          </cell>
          <cell r="G1317">
            <v>0</v>
          </cell>
          <cell r="H1317" t="str">
            <v>3-Tradezone</v>
          </cell>
          <cell r="I1317">
            <v>0</v>
          </cell>
        </row>
        <row r="1318">
          <cell r="A1318" t="str">
            <v>B1315</v>
          </cell>
          <cell r="B1318" t="str">
            <v xml:space="preserve">Trina Solar Panel 500W Mono </v>
          </cell>
          <cell r="D1318" t="str">
            <v>TSM-DE18M(II)-500W</v>
          </cell>
          <cell r="F1318">
            <v>375.00000000000006</v>
          </cell>
          <cell r="G1318">
            <v>255</v>
          </cell>
          <cell r="H1318" t="str">
            <v>3-Tradezone</v>
          </cell>
          <cell r="I1318">
            <v>0.32</v>
          </cell>
        </row>
        <row r="1319">
          <cell r="A1319" t="str">
            <v>B1316</v>
          </cell>
          <cell r="B1319" t="str">
            <v>Victron VE.Direct Cable 0.9m (one side Right Angle conn)</v>
          </cell>
          <cell r="D1319" t="str">
            <v>ASS030531209</v>
          </cell>
          <cell r="F1319">
            <v>20.7</v>
          </cell>
          <cell r="G1319">
            <v>14.26</v>
          </cell>
          <cell r="H1319" t="str">
            <v>1-Victron</v>
          </cell>
          <cell r="I1319">
            <v>0.31111111111111112</v>
          </cell>
        </row>
        <row r="1320">
          <cell r="A1320" t="str">
            <v>B1317</v>
          </cell>
          <cell r="B1320" t="str">
            <v>Fronius Symo 12.5kW Grid 3Ph Inverter</v>
          </cell>
          <cell r="D1320" t="str">
            <v>Symo-12.5-3-M</v>
          </cell>
          <cell r="F1320">
            <v>4284.2857142857147</v>
          </cell>
          <cell r="G1320">
            <v>2999</v>
          </cell>
          <cell r="H1320" t="str">
            <v>2-Krannich</v>
          </cell>
          <cell r="I1320">
            <v>0.3</v>
          </cell>
        </row>
        <row r="1321">
          <cell r="A1321" t="str">
            <v>B1318</v>
          </cell>
          <cell r="B1321" t="str">
            <v xml:space="preserve">LG Chem LG Chem RESU 10KWh Lithium Battery 10H Prime </v>
          </cell>
          <cell r="D1321" t="str">
            <v>RESU10H-Prime</v>
          </cell>
          <cell r="F1321">
            <v>9642.8571428571431</v>
          </cell>
          <cell r="G1321">
            <v>6750</v>
          </cell>
          <cell r="H1321" t="str">
            <v>2-Krannich</v>
          </cell>
          <cell r="I1321">
            <v>0.3</v>
          </cell>
        </row>
        <row r="1322">
          <cell r="A1322" t="str">
            <v>B1319</v>
          </cell>
          <cell r="B1322" t="str">
            <v>LG Chem LG Chem RESU 16KWh Lithium Battery 16H Prime</v>
          </cell>
          <cell r="D1322" t="str">
            <v>RESU16H-Prime</v>
          </cell>
          <cell r="F1322">
            <v>0</v>
          </cell>
          <cell r="G1322">
            <v>0</v>
          </cell>
          <cell r="I1322">
            <v>0</v>
          </cell>
        </row>
        <row r="1323">
          <cell r="A1323" t="str">
            <v>B1320</v>
          </cell>
          <cell r="B1323" t="str">
            <v>Sonnenschein Solar Sealed 2V Gel Cell, A602/2600, battery links included, AH @ C100 = 2547</v>
          </cell>
          <cell r="D1323" t="str">
            <v>A602/3270 SOLAR</v>
          </cell>
          <cell r="F1323">
            <v>2920.7714285714287</v>
          </cell>
          <cell r="G1323">
            <v>2044.54</v>
          </cell>
          <cell r="H1323" t="str">
            <v>10-RFI</v>
          </cell>
          <cell r="I1323">
            <v>0</v>
          </cell>
        </row>
        <row r="1324">
          <cell r="A1324" t="str">
            <v>B1321</v>
          </cell>
          <cell r="B1324" t="str">
            <v xml:space="preserve">Powerplus Lithium Battery Module, 12V 100AH LiFePO4 N70 </v>
          </cell>
          <cell r="D1324" t="str">
            <v>LiFe1213N</v>
          </cell>
          <cell r="F1324">
            <v>1408.5714285714287</v>
          </cell>
          <cell r="G1324">
            <v>986</v>
          </cell>
          <cell r="H1324" t="str">
            <v>6-Various</v>
          </cell>
          <cell r="I1324">
            <v>0.3</v>
          </cell>
        </row>
        <row r="1325">
          <cell r="A1325" t="str">
            <v>B1322</v>
          </cell>
          <cell r="B1325" t="str">
            <v>Powerplus Lithium Battery Module, 24V 50AH LiFePO4 N70</v>
          </cell>
          <cell r="D1325" t="str">
            <v>LiFe2413N</v>
          </cell>
          <cell r="F1325">
            <v>1408.5714285714287</v>
          </cell>
          <cell r="G1325">
            <v>986</v>
          </cell>
          <cell r="H1325" t="str">
            <v>6-Various</v>
          </cell>
          <cell r="I1325">
            <v>0.3</v>
          </cell>
        </row>
        <row r="1326">
          <cell r="A1326" t="str">
            <v>B1323</v>
          </cell>
          <cell r="B1326" t="str">
            <v>Powerplus Lithium Battery Module, 48V 25AH LiFePO4 N70</v>
          </cell>
          <cell r="D1326" t="str">
            <v>LiFe4813N</v>
          </cell>
          <cell r="F1326">
            <v>1408.5714285714287</v>
          </cell>
          <cell r="G1326">
            <v>986</v>
          </cell>
          <cell r="H1326" t="str">
            <v>6-Various</v>
          </cell>
          <cell r="I1326">
            <v>0.3</v>
          </cell>
        </row>
        <row r="1327">
          <cell r="A1327" t="str">
            <v>B1324</v>
          </cell>
          <cell r="B1327" t="str">
            <v>Fronius Gen24 Primo 5KW</v>
          </cell>
          <cell r="D1327" t="str">
            <v>Primo-Gen24-5</v>
          </cell>
          <cell r="F1327">
            <v>2515.0714285714284</v>
          </cell>
          <cell r="G1327">
            <v>1760.55</v>
          </cell>
          <cell r="H1327" t="str">
            <v>2-Krannich</v>
          </cell>
          <cell r="I1327">
            <v>0.3</v>
          </cell>
        </row>
        <row r="1328">
          <cell r="A1328" t="str">
            <v>B1325</v>
          </cell>
          <cell r="B1328" t="str">
            <v xml:space="preserve">GNB GNB 500Ah Solar Battery 2V Module </v>
          </cell>
          <cell r="D1328" t="str">
            <v>5ESPV-500SOLAR</v>
          </cell>
          <cell r="F1328">
            <v>0</v>
          </cell>
          <cell r="G1328">
            <v>0</v>
          </cell>
          <cell r="H1328" t="str">
            <v>6-Various</v>
          </cell>
          <cell r="I1328">
            <v>0.35</v>
          </cell>
        </row>
        <row r="1329">
          <cell r="A1329" t="str">
            <v>B1326</v>
          </cell>
          <cell r="B1329" t="str">
            <v xml:space="preserve">GNB GNB 600Ah Solar Battery 2V Module </v>
          </cell>
          <cell r="D1329" t="str">
            <v>6ESPV-600SOLAR</v>
          </cell>
          <cell r="F1329">
            <v>0</v>
          </cell>
          <cell r="G1329">
            <v>0</v>
          </cell>
          <cell r="H1329" t="str">
            <v>6-Various</v>
          </cell>
          <cell r="I1329">
            <v>0.35</v>
          </cell>
        </row>
        <row r="1330">
          <cell r="A1330" t="str">
            <v>B1327</v>
          </cell>
          <cell r="B1330" t="str">
            <v xml:space="preserve">GNB GNB 700Ah Solar Battery 2V Module </v>
          </cell>
          <cell r="D1330" t="str">
            <v>7ESPV-700SOLAR</v>
          </cell>
          <cell r="F1330">
            <v>570.58823529411768</v>
          </cell>
          <cell r="G1330">
            <v>388</v>
          </cell>
          <cell r="H1330" t="str">
            <v>6-Various</v>
          </cell>
          <cell r="I1330">
            <v>0.32</v>
          </cell>
        </row>
        <row r="1331">
          <cell r="A1331" t="str">
            <v>B1328</v>
          </cell>
          <cell r="B1331" t="str">
            <v xml:space="preserve">GNB GNB 900Ah Solar Battery 2V Module </v>
          </cell>
          <cell r="D1331" t="str">
            <v>6ESPV-900SOLAR</v>
          </cell>
          <cell r="F1331">
            <v>719.11764705882365</v>
          </cell>
          <cell r="G1331">
            <v>489</v>
          </cell>
          <cell r="H1331" t="str">
            <v>6-Various</v>
          </cell>
          <cell r="I1331">
            <v>0.32</v>
          </cell>
        </row>
        <row r="1332">
          <cell r="A1332" t="str">
            <v>B1329</v>
          </cell>
          <cell r="B1332" t="str">
            <v xml:space="preserve">GNB GNB 1200Ah Solar Battery 2V Module </v>
          </cell>
          <cell r="D1332" t="str">
            <v>8ESPV-1200SOLAR</v>
          </cell>
          <cell r="F1332">
            <v>940.00000000000011</v>
          </cell>
          <cell r="G1332">
            <v>658</v>
          </cell>
          <cell r="H1332" t="str">
            <v>6-Various</v>
          </cell>
          <cell r="I1332">
            <v>0.3</v>
          </cell>
        </row>
        <row r="1333">
          <cell r="A1333" t="str">
            <v>B1330</v>
          </cell>
          <cell r="B1333" t="str">
            <v>Fronius Gen24 Primo 6KW</v>
          </cell>
          <cell r="D1333" t="str">
            <v>Primo-Gen24-6</v>
          </cell>
          <cell r="F1333">
            <v>2788.2714285714287</v>
          </cell>
          <cell r="G1333">
            <v>1951.79</v>
          </cell>
          <cell r="H1333" t="str">
            <v>2-Krannich</v>
          </cell>
          <cell r="I1333">
            <v>0.3</v>
          </cell>
        </row>
        <row r="1334">
          <cell r="A1334" t="str">
            <v>B1331</v>
          </cell>
          <cell r="B1334" t="str">
            <v>Fronius Gen24 Symo 5KW</v>
          </cell>
          <cell r="D1334" t="str">
            <v>Symo-Gen24-5</v>
          </cell>
          <cell r="F1334">
            <v>2706.2714285714287</v>
          </cell>
          <cell r="G1334">
            <v>1894.39</v>
          </cell>
          <cell r="H1334" t="str">
            <v>2-Krannich</v>
          </cell>
          <cell r="I1334">
            <v>0.3</v>
          </cell>
        </row>
        <row r="1335">
          <cell r="A1335" t="str">
            <v>B1332</v>
          </cell>
          <cell r="B1335" t="str">
            <v>Fronius Gen24 Symo 6KW</v>
          </cell>
          <cell r="D1335" t="str">
            <v>Symo-Gen24-6</v>
          </cell>
          <cell r="F1335">
            <v>3118.1714285714284</v>
          </cell>
          <cell r="G1335">
            <v>2182.7199999999998</v>
          </cell>
          <cell r="H1335" t="str">
            <v>2-Krannich</v>
          </cell>
          <cell r="I1335">
            <v>0.3</v>
          </cell>
        </row>
        <row r="1336">
          <cell r="A1336" t="str">
            <v>B1333</v>
          </cell>
          <cell r="B1336" t="str">
            <v>Fronius Gen24 Symo 8KW</v>
          </cell>
          <cell r="D1336" t="str">
            <v>Symo-Gen24-8</v>
          </cell>
          <cell r="F1336">
            <v>3544.2714285714283</v>
          </cell>
          <cell r="G1336">
            <v>2480.9899999999998</v>
          </cell>
          <cell r="H1336" t="str">
            <v>2-Krannich</v>
          </cell>
          <cell r="I1336">
            <v>0.3</v>
          </cell>
        </row>
        <row r="1337">
          <cell r="A1337" t="str">
            <v>B1334</v>
          </cell>
          <cell r="B1337" t="str">
            <v>Fronius Gen24 Symo 10KW</v>
          </cell>
          <cell r="D1337" t="str">
            <v>Symo-Gen24-10</v>
          </cell>
          <cell r="F1337">
            <v>0</v>
          </cell>
          <cell r="G1337">
            <v>0</v>
          </cell>
          <cell r="H1337" t="str">
            <v>2-Krannich</v>
          </cell>
          <cell r="I1337">
            <v>0</v>
          </cell>
        </row>
        <row r="1338">
          <cell r="A1338" t="str">
            <v>B1335</v>
          </cell>
          <cell r="B1338" t="str">
            <v>Raspberry Raspberry Pi board 3B+</v>
          </cell>
          <cell r="D1338" t="str">
            <v>R.Pi-3B+</v>
          </cell>
          <cell r="F1338">
            <v>76.132352941176478</v>
          </cell>
          <cell r="G1338">
            <v>51.77</v>
          </cell>
          <cell r="H1338" t="str">
            <v>6-Various</v>
          </cell>
          <cell r="I1338">
            <v>0.32</v>
          </cell>
        </row>
        <row r="1339">
          <cell r="A1339" t="str">
            <v>B1336</v>
          </cell>
          <cell r="B1339" t="str">
            <v xml:space="preserve"> RJ45 UTP Cable 0.5 m Green</v>
          </cell>
          <cell r="D1339" t="str">
            <v>MT6L45450.5BEA</v>
          </cell>
          <cell r="F1339">
            <v>2.9076923076923076</v>
          </cell>
          <cell r="G1339">
            <v>1.89</v>
          </cell>
          <cell r="H1339" t="str">
            <v>3-Tradezone</v>
          </cell>
          <cell r="I1339">
            <v>0.35</v>
          </cell>
        </row>
        <row r="1340">
          <cell r="A1340" t="str">
            <v>B1337</v>
          </cell>
          <cell r="B1340" t="str">
            <v>Victron SmartSolar MPPT RS 450/100-Tr</v>
          </cell>
          <cell r="D1340" t="str">
            <v>SCC145110410</v>
          </cell>
          <cell r="F1340">
            <v>1899</v>
          </cell>
          <cell r="G1340">
            <v>1308.2</v>
          </cell>
          <cell r="H1340" t="str">
            <v>1-Victron</v>
          </cell>
          <cell r="I1340">
            <v>0.31111111111111112</v>
          </cell>
        </row>
        <row r="1341">
          <cell r="A1341" t="str">
            <v>B1338</v>
          </cell>
          <cell r="B1341" t="str">
            <v>Victron SmartSolar MPPT RS 450/200-Tr</v>
          </cell>
          <cell r="D1341" t="str">
            <v>SCC145120410</v>
          </cell>
          <cell r="F1341">
            <v>3323.7000000000003</v>
          </cell>
          <cell r="G1341">
            <v>2289.66</v>
          </cell>
          <cell r="H1341" t="str">
            <v>1-Victron</v>
          </cell>
          <cell r="I1341">
            <v>0.31111111111111112</v>
          </cell>
        </row>
        <row r="1342">
          <cell r="A1342" t="str">
            <v>B1339</v>
          </cell>
          <cell r="B1342" t="str">
            <v>IP Enclosures Enclosure 800H x 800W x 300D Steel Powdercoated</v>
          </cell>
          <cell r="D1342" t="str">
            <v>IP808030</v>
          </cell>
          <cell r="F1342">
            <v>854.28571428571433</v>
          </cell>
          <cell r="G1342">
            <v>598</v>
          </cell>
          <cell r="H1342" t="str">
            <v>3-Tradezone</v>
          </cell>
          <cell r="I1342">
            <v>0.3</v>
          </cell>
        </row>
        <row r="1343">
          <cell r="A1343" t="str">
            <v>B1340</v>
          </cell>
          <cell r="B1343" t="str">
            <v>IP Enclosures Enclosure 1200H x 1000W x 400D Steel Powdercoated</v>
          </cell>
          <cell r="D1343" t="str">
            <v>IP12010040</v>
          </cell>
          <cell r="F1343">
            <v>1310.5428571428572</v>
          </cell>
          <cell r="G1343">
            <v>917.38</v>
          </cell>
          <cell r="H1343" t="str">
            <v>3-Tradezone</v>
          </cell>
          <cell r="I1343">
            <v>0.3</v>
          </cell>
        </row>
        <row r="1344">
          <cell r="A1344" t="str">
            <v>B1341</v>
          </cell>
          <cell r="B1344" t="str">
            <v>Clipsal Conduit Lockring Nut M32, PVC White</v>
          </cell>
          <cell r="D1344" t="str">
            <v>260/32GY</v>
          </cell>
          <cell r="F1344">
            <v>0.67692307692307685</v>
          </cell>
          <cell r="G1344">
            <v>0.44</v>
          </cell>
          <cell r="H1344" t="str">
            <v>3-Tradezone</v>
          </cell>
          <cell r="I1344">
            <v>0.35</v>
          </cell>
        </row>
        <row r="1345">
          <cell r="A1345" t="str">
            <v>B1342</v>
          </cell>
          <cell r="B1345" t="str">
            <v>IP Enclosures Enclosure 1000H x 1000W x 400D Steel Powdercoated</v>
          </cell>
          <cell r="D1345" t="str">
            <v>IP10010040</v>
          </cell>
          <cell r="F1345">
            <v>1052.2142857142858</v>
          </cell>
          <cell r="G1345">
            <v>736.55</v>
          </cell>
          <cell r="H1345" t="str">
            <v>3-Tradezone</v>
          </cell>
          <cell r="I1345">
            <v>0.3</v>
          </cell>
        </row>
        <row r="1346">
          <cell r="A1346" t="str">
            <v>B1343</v>
          </cell>
          <cell r="B1346" t="str">
            <v xml:space="preserve">Fusion AGM 440Ah Solar AGM Battery 6V Module </v>
          </cell>
          <cell r="D1346" t="str">
            <v>CBS6V440AH</v>
          </cell>
          <cell r="F1346">
            <v>704.41176470588243</v>
          </cell>
          <cell r="G1346">
            <v>479</v>
          </cell>
          <cell r="H1346" t="str">
            <v>6-Various</v>
          </cell>
          <cell r="I1346">
            <v>0.32</v>
          </cell>
        </row>
        <row r="1347">
          <cell r="A1347" t="str">
            <v>B1344</v>
          </cell>
          <cell r="B1347" t="str">
            <v xml:space="preserve">Trina Solar Panel 400W Mono </v>
          </cell>
          <cell r="D1347" t="str">
            <v>TSM-DE09.08-400W</v>
          </cell>
          <cell r="F1347">
            <v>276.47058823529414</v>
          </cell>
          <cell r="G1347">
            <v>188</v>
          </cell>
          <cell r="H1347" t="str">
            <v>3-Tradezone</v>
          </cell>
          <cell r="I1347">
            <v>0.32</v>
          </cell>
        </row>
        <row r="1348">
          <cell r="A1348" t="str">
            <v>B1345</v>
          </cell>
          <cell r="B1348" t="str">
            <v>IP Enclosures Enclosure 1620H x 600W x 800D Steel Powdercoated</v>
          </cell>
          <cell r="D1348" t="str">
            <v xml:space="preserve">IP-MFS1626080-KIT </v>
          </cell>
          <cell r="F1348">
            <v>2073.4285714285716</v>
          </cell>
          <cell r="G1348">
            <v>1451.4</v>
          </cell>
          <cell r="H1348" t="str">
            <v>6-Various</v>
          </cell>
          <cell r="I1348">
            <v>0.3</v>
          </cell>
        </row>
        <row r="1349">
          <cell r="A1349" t="str">
            <v>B1346</v>
          </cell>
          <cell r="B1349" t="str">
            <v>Clenergy Racking Kit, 4 PV Module 30mm for Tin roof</v>
          </cell>
          <cell r="D1349" t="str">
            <v>Rack.Clen.4T30</v>
          </cell>
          <cell r="F1349">
            <v>197.20588235294119</v>
          </cell>
          <cell r="G1349">
            <v>134.1</v>
          </cell>
          <cell r="H1349" t="str">
            <v>6-Various</v>
          </cell>
          <cell r="I1349">
            <v>0.32</v>
          </cell>
        </row>
        <row r="1350">
          <cell r="A1350" t="str">
            <v>B1347</v>
          </cell>
          <cell r="B1350" t="str">
            <v>ecoCool Cable ties, clips &amp; MC4 pack, 4 PV Module</v>
          </cell>
          <cell r="D1350" t="str">
            <v>PV.BOS.01</v>
          </cell>
          <cell r="F1350">
            <v>88.235294117647072</v>
          </cell>
          <cell r="G1350">
            <v>60</v>
          </cell>
          <cell r="H1350" t="str">
            <v>6-Various</v>
          </cell>
          <cell r="I1350">
            <v>0.32</v>
          </cell>
        </row>
        <row r="1351">
          <cell r="A1351" t="str">
            <v>B1348</v>
          </cell>
          <cell r="B1351" t="str">
            <v>HellermanTyton Cable Tie Mount 28x28mm MB3A</v>
          </cell>
          <cell r="D1351" t="str">
            <v>MB3A</v>
          </cell>
          <cell r="F1351">
            <v>0</v>
          </cell>
          <cell r="G1351">
            <v>0</v>
          </cell>
          <cell r="I1351">
            <v>0</v>
          </cell>
        </row>
        <row r="1352">
          <cell r="A1352" t="str">
            <v>B1349</v>
          </cell>
          <cell r="B1352" t="str">
            <v>IP Enclosures Enclosure 800H x 800W x 200D Steel Powdercoated</v>
          </cell>
          <cell r="D1352" t="str">
            <v>IP808020</v>
          </cell>
          <cell r="F1352">
            <v>791.42857142857144</v>
          </cell>
          <cell r="G1352">
            <v>554</v>
          </cell>
          <cell r="H1352" t="str">
            <v>3-Tradezone</v>
          </cell>
          <cell r="I1352">
            <v>0.3</v>
          </cell>
        </row>
        <row r="1353">
          <cell r="A1353" t="str">
            <v>B1350</v>
          </cell>
          <cell r="B1353" t="str">
            <v xml:space="preserve">LG Chem LG Chem RESU 12KWh 48V Lithium Battery </v>
          </cell>
          <cell r="D1353" t="str">
            <v>RESU12</v>
          </cell>
          <cell r="F1353">
            <v>0</v>
          </cell>
          <cell r="G1353">
            <v>0</v>
          </cell>
          <cell r="I1353">
            <v>0</v>
          </cell>
        </row>
        <row r="1354">
          <cell r="A1354" t="str">
            <v>B1351</v>
          </cell>
          <cell r="B1354" t="str">
            <v xml:space="preserve">LG Chem LG Chem RESU 12KWh 48V Lithium Battery </v>
          </cell>
          <cell r="D1354" t="str">
            <v>RESU12</v>
          </cell>
          <cell r="F1354">
            <v>0</v>
          </cell>
          <cell r="G1354">
            <v>0</v>
          </cell>
          <cell r="I1354">
            <v>0</v>
          </cell>
        </row>
        <row r="1355">
          <cell r="A1355" t="str">
            <v>B1352</v>
          </cell>
          <cell r="B1355" t="str">
            <v xml:space="preserve">Trina Solar Panel 415W Mono </v>
          </cell>
          <cell r="D1355" t="str">
            <v>TSM-DE09R.08-415W</v>
          </cell>
          <cell r="F1355">
            <v>0</v>
          </cell>
          <cell r="G1355">
            <v>0</v>
          </cell>
          <cell r="I1355">
            <v>0</v>
          </cell>
        </row>
        <row r="1356">
          <cell r="A1356" t="str">
            <v>B1353</v>
          </cell>
          <cell r="B1356" t="str">
            <v>Fronius Gen24 Primo 3.6KW</v>
          </cell>
          <cell r="D1356" t="str">
            <v>Primo-Gen24-3.6</v>
          </cell>
          <cell r="F1356">
            <v>2260.4142857142856</v>
          </cell>
          <cell r="G1356">
            <v>1582.29</v>
          </cell>
          <cell r="H1356" t="str">
            <v>2-Krannich</v>
          </cell>
          <cell r="I1356">
            <v>0.3</v>
          </cell>
        </row>
        <row r="1357">
          <cell r="A1357" t="str">
            <v>B1354</v>
          </cell>
          <cell r="B1357" t="str">
            <v>Fronius Gen24 Primo 3.0KW</v>
          </cell>
          <cell r="D1357" t="str">
            <v>Primo-Gen24-3.0</v>
          </cell>
          <cell r="F1357">
            <v>0</v>
          </cell>
          <cell r="G1357">
            <v>0</v>
          </cell>
          <cell r="I1357">
            <v>0</v>
          </cell>
        </row>
        <row r="1358">
          <cell r="A1358" t="str">
            <v>B1355</v>
          </cell>
          <cell r="B1358" t="str">
            <v>Fronius Gen24 Primo 4.0KW</v>
          </cell>
          <cell r="D1358" t="str">
            <v>Primo-Gen24-4.0</v>
          </cell>
          <cell r="F1358">
            <v>0</v>
          </cell>
          <cell r="G1358">
            <v>0</v>
          </cell>
          <cell r="I1358">
            <v>0</v>
          </cell>
        </row>
        <row r="1359">
          <cell r="A1359" t="str">
            <v>B1356</v>
          </cell>
          <cell r="B1359" t="str">
            <v>Fronius Gen24 Primo 8.0KW</v>
          </cell>
          <cell r="D1359" t="str">
            <v>Primo-Gen24-8.0</v>
          </cell>
          <cell r="F1359">
            <v>0</v>
          </cell>
          <cell r="G1359">
            <v>0</v>
          </cell>
          <cell r="I1359">
            <v>0</v>
          </cell>
        </row>
        <row r="1360">
          <cell r="A1360" t="str">
            <v>B1357</v>
          </cell>
          <cell r="B1360" t="str">
            <v>Dewalt Dewalt 6.8KVA Pull start Generator Petrol, 23L/</v>
          </cell>
          <cell r="D1360" t="str">
            <v>DXGN6875I</v>
          </cell>
          <cell r="F1360">
            <v>2207.792207792208</v>
          </cell>
          <cell r="G1360">
            <v>1545.4545454545455</v>
          </cell>
          <cell r="H1360" t="str">
            <v>6-Various</v>
          </cell>
          <cell r="I1360">
            <v>0.3</v>
          </cell>
        </row>
        <row r="1361">
          <cell r="A1361" t="str">
            <v>B1358</v>
          </cell>
          <cell r="B1361" t="str">
            <v xml:space="preserve"> </v>
          </cell>
          <cell r="D1361">
            <v>0</v>
          </cell>
          <cell r="F1361">
            <v>0</v>
          </cell>
          <cell r="G1361">
            <v>0</v>
          </cell>
          <cell r="I1361">
            <v>0</v>
          </cell>
        </row>
        <row r="1362">
          <cell r="A1362" t="str">
            <v>B1359</v>
          </cell>
          <cell r="B1362" t="str">
            <v xml:space="preserve"> </v>
          </cell>
          <cell r="D1362">
            <v>0</v>
          </cell>
          <cell r="F1362">
            <v>0</v>
          </cell>
          <cell r="G1362">
            <v>0</v>
          </cell>
          <cell r="I1362">
            <v>0</v>
          </cell>
        </row>
        <row r="1363">
          <cell r="A1363" t="str">
            <v>B1360</v>
          </cell>
          <cell r="B1363" t="str">
            <v xml:space="preserve"> </v>
          </cell>
          <cell r="D1363">
            <v>0</v>
          </cell>
          <cell r="F1363">
            <v>0</v>
          </cell>
          <cell r="G1363">
            <v>0</v>
          </cell>
          <cell r="I1363">
            <v>0</v>
          </cell>
        </row>
        <row r="1364">
          <cell r="A1364" t="str">
            <v>B1361</v>
          </cell>
          <cell r="B1364" t="str">
            <v xml:space="preserve"> </v>
          </cell>
          <cell r="D1364">
            <v>0</v>
          </cell>
          <cell r="F1364">
            <v>0</v>
          </cell>
          <cell r="G1364">
            <v>0</v>
          </cell>
          <cell r="I1364">
            <v>0</v>
          </cell>
        </row>
        <row r="1365">
          <cell r="A1365" t="str">
            <v>B1362</v>
          </cell>
          <cell r="B1365" t="str">
            <v xml:space="preserve"> </v>
          </cell>
          <cell r="D1365">
            <v>0</v>
          </cell>
          <cell r="F1365">
            <v>0</v>
          </cell>
          <cell r="G1365">
            <v>0</v>
          </cell>
          <cell r="I1365">
            <v>0</v>
          </cell>
        </row>
        <row r="1366">
          <cell r="A1366" t="str">
            <v>B1363</v>
          </cell>
          <cell r="B1366" t="str">
            <v xml:space="preserve"> </v>
          </cell>
          <cell r="D1366">
            <v>0</v>
          </cell>
          <cell r="F1366">
            <v>0</v>
          </cell>
          <cell r="G1366">
            <v>0</v>
          </cell>
          <cell r="I1366">
            <v>0</v>
          </cell>
        </row>
        <row r="1367">
          <cell r="A1367" t="str">
            <v>B1364</v>
          </cell>
          <cell r="B1367" t="str">
            <v xml:space="preserve"> </v>
          </cell>
          <cell r="D1367">
            <v>0</v>
          </cell>
          <cell r="F1367">
            <v>0</v>
          </cell>
          <cell r="G1367">
            <v>0</v>
          </cell>
          <cell r="I1367">
            <v>0</v>
          </cell>
        </row>
        <row r="1368">
          <cell r="A1368" t="str">
            <v>B1365</v>
          </cell>
          <cell r="B1368" t="str">
            <v xml:space="preserve"> </v>
          </cell>
          <cell r="D1368">
            <v>0</v>
          </cell>
          <cell r="F1368">
            <v>0</v>
          </cell>
          <cell r="G1368">
            <v>0</v>
          </cell>
          <cell r="I1368">
            <v>0</v>
          </cell>
        </row>
        <row r="1369">
          <cell r="A1369" t="str">
            <v>B1366</v>
          </cell>
          <cell r="B1369" t="str">
            <v xml:space="preserve"> </v>
          </cell>
          <cell r="D1369">
            <v>0</v>
          </cell>
          <cell r="F1369">
            <v>0</v>
          </cell>
          <cell r="G1369">
            <v>0</v>
          </cell>
          <cell r="I1369">
            <v>0</v>
          </cell>
        </row>
        <row r="1370">
          <cell r="A1370" t="str">
            <v>B1367</v>
          </cell>
          <cell r="B1370" t="str">
            <v xml:space="preserve"> </v>
          </cell>
          <cell r="D1370">
            <v>0</v>
          </cell>
          <cell r="F1370">
            <v>0</v>
          </cell>
          <cell r="G1370">
            <v>0</v>
          </cell>
          <cell r="I1370">
            <v>0</v>
          </cell>
        </row>
        <row r="1371">
          <cell r="A1371" t="str">
            <v>B1368</v>
          </cell>
          <cell r="B1371" t="str">
            <v xml:space="preserve"> </v>
          </cell>
          <cell r="D1371">
            <v>0</v>
          </cell>
          <cell r="F1371">
            <v>0</v>
          </cell>
          <cell r="G1371">
            <v>0</v>
          </cell>
          <cell r="I1371">
            <v>0</v>
          </cell>
        </row>
        <row r="1372">
          <cell r="A1372" t="str">
            <v>B1369</v>
          </cell>
          <cell r="B1372" t="str">
            <v xml:space="preserve"> </v>
          </cell>
          <cell r="D1372">
            <v>0</v>
          </cell>
          <cell r="F1372">
            <v>0</v>
          </cell>
          <cell r="G1372">
            <v>0</v>
          </cell>
          <cell r="I1372">
            <v>0</v>
          </cell>
        </row>
        <row r="1373">
          <cell r="A1373" t="str">
            <v>B1370</v>
          </cell>
          <cell r="B1373" t="str">
            <v xml:space="preserve"> </v>
          </cell>
          <cell r="D1373">
            <v>0</v>
          </cell>
          <cell r="F1373">
            <v>0</v>
          </cell>
          <cell r="G1373">
            <v>0</v>
          </cell>
          <cell r="I1373">
            <v>0</v>
          </cell>
        </row>
        <row r="1374">
          <cell r="A1374" t="str">
            <v>B1371</v>
          </cell>
          <cell r="B1374" t="str">
            <v xml:space="preserve"> </v>
          </cell>
          <cell r="D1374">
            <v>0</v>
          </cell>
          <cell r="F1374">
            <v>0</v>
          </cell>
          <cell r="G1374">
            <v>0</v>
          </cell>
          <cell r="I1374">
            <v>0</v>
          </cell>
        </row>
        <row r="1375">
          <cell r="A1375" t="str">
            <v>B1372</v>
          </cell>
          <cell r="B1375" t="str">
            <v xml:space="preserve"> </v>
          </cell>
          <cell r="D1375">
            <v>0</v>
          </cell>
          <cell r="F1375">
            <v>0</v>
          </cell>
          <cell r="G1375">
            <v>0</v>
          </cell>
          <cell r="I1375">
            <v>0</v>
          </cell>
        </row>
        <row r="1376">
          <cell r="A1376" t="str">
            <v>B1373</v>
          </cell>
          <cell r="B1376" t="str">
            <v xml:space="preserve"> </v>
          </cell>
          <cell r="D1376">
            <v>0</v>
          </cell>
          <cell r="F1376">
            <v>0</v>
          </cell>
          <cell r="G1376">
            <v>0</v>
          </cell>
          <cell r="I1376">
            <v>0</v>
          </cell>
        </row>
        <row r="1377">
          <cell r="A1377" t="str">
            <v>B1374</v>
          </cell>
          <cell r="B1377" t="str">
            <v xml:space="preserve"> </v>
          </cell>
          <cell r="D1377">
            <v>0</v>
          </cell>
          <cell r="F1377">
            <v>0</v>
          </cell>
          <cell r="G1377">
            <v>0</v>
          </cell>
          <cell r="I1377">
            <v>0</v>
          </cell>
        </row>
        <row r="1378">
          <cell r="A1378" t="str">
            <v>B1375</v>
          </cell>
          <cell r="B1378" t="str">
            <v xml:space="preserve"> </v>
          </cell>
          <cell r="D1378">
            <v>0</v>
          </cell>
          <cell r="F1378">
            <v>0</v>
          </cell>
          <cell r="G1378">
            <v>0</v>
          </cell>
          <cell r="I1378">
            <v>0</v>
          </cell>
        </row>
        <row r="1379">
          <cell r="A1379" t="str">
            <v>B1376</v>
          </cell>
          <cell r="B1379" t="str">
            <v xml:space="preserve"> </v>
          </cell>
          <cell r="D1379">
            <v>0</v>
          </cell>
          <cell r="F1379">
            <v>0</v>
          </cell>
          <cell r="G1379">
            <v>0</v>
          </cell>
          <cell r="I1379">
            <v>0</v>
          </cell>
        </row>
        <row r="1380">
          <cell r="A1380" t="str">
            <v>B1377</v>
          </cell>
          <cell r="B1380" t="str">
            <v xml:space="preserve"> </v>
          </cell>
          <cell r="D1380">
            <v>0</v>
          </cell>
          <cell r="F1380">
            <v>0</v>
          </cell>
          <cell r="G1380">
            <v>0</v>
          </cell>
          <cell r="I1380">
            <v>0</v>
          </cell>
        </row>
        <row r="1381">
          <cell r="A1381" t="str">
            <v>B1378</v>
          </cell>
          <cell r="B1381" t="str">
            <v xml:space="preserve"> </v>
          </cell>
          <cell r="D1381">
            <v>0</v>
          </cell>
          <cell r="F1381">
            <v>0</v>
          </cell>
          <cell r="G1381">
            <v>0</v>
          </cell>
          <cell r="I1381">
            <v>0</v>
          </cell>
        </row>
        <row r="1382">
          <cell r="A1382" t="str">
            <v>B1379</v>
          </cell>
          <cell r="B1382" t="str">
            <v xml:space="preserve"> </v>
          </cell>
          <cell r="D1382">
            <v>0</v>
          </cell>
          <cell r="F1382">
            <v>0</v>
          </cell>
          <cell r="G1382">
            <v>0</v>
          </cell>
          <cell r="I1382">
            <v>0</v>
          </cell>
        </row>
        <row r="1383">
          <cell r="A1383" t="str">
            <v>B1380</v>
          </cell>
          <cell r="B1383" t="str">
            <v xml:space="preserve"> </v>
          </cell>
          <cell r="D1383">
            <v>0</v>
          </cell>
          <cell r="F1383">
            <v>0</v>
          </cell>
          <cell r="G1383">
            <v>0</v>
          </cell>
          <cell r="I1383">
            <v>0</v>
          </cell>
        </row>
        <row r="1384">
          <cell r="A1384" t="str">
            <v>B1381</v>
          </cell>
          <cell r="B1384" t="str">
            <v xml:space="preserve"> </v>
          </cell>
          <cell r="D1384">
            <v>0</v>
          </cell>
          <cell r="F1384">
            <v>0</v>
          </cell>
          <cell r="G1384">
            <v>0</v>
          </cell>
          <cell r="I1384">
            <v>0</v>
          </cell>
        </row>
        <row r="1385">
          <cell r="A1385" t="str">
            <v>B1382</v>
          </cell>
          <cell r="B1385" t="str">
            <v xml:space="preserve"> </v>
          </cell>
          <cell r="D1385">
            <v>0</v>
          </cell>
          <cell r="F1385">
            <v>0</v>
          </cell>
          <cell r="G1385">
            <v>0</v>
          </cell>
          <cell r="I1385">
            <v>0</v>
          </cell>
        </row>
        <row r="1386">
          <cell r="A1386" t="str">
            <v>B1383</v>
          </cell>
          <cell r="B1386" t="str">
            <v xml:space="preserve"> </v>
          </cell>
          <cell r="D1386">
            <v>0</v>
          </cell>
          <cell r="F1386">
            <v>0</v>
          </cell>
          <cell r="G1386">
            <v>0</v>
          </cell>
          <cell r="I1386">
            <v>0</v>
          </cell>
        </row>
        <row r="1387">
          <cell r="A1387" t="str">
            <v>B1384</v>
          </cell>
          <cell r="B1387" t="str">
            <v xml:space="preserve"> </v>
          </cell>
          <cell r="D1387">
            <v>0</v>
          </cell>
          <cell r="F1387">
            <v>0</v>
          </cell>
          <cell r="G1387">
            <v>0</v>
          </cell>
          <cell r="I1387">
            <v>0</v>
          </cell>
        </row>
        <row r="1388">
          <cell r="A1388" t="str">
            <v>B1385</v>
          </cell>
          <cell r="B1388" t="str">
            <v xml:space="preserve"> </v>
          </cell>
          <cell r="D1388">
            <v>0</v>
          </cell>
          <cell r="F1388">
            <v>0</v>
          </cell>
          <cell r="G1388">
            <v>0</v>
          </cell>
          <cell r="I1388">
            <v>0</v>
          </cell>
        </row>
        <row r="1389">
          <cell r="A1389" t="str">
            <v>B1386</v>
          </cell>
          <cell r="B1389" t="str">
            <v xml:space="preserve"> </v>
          </cell>
          <cell r="D1389">
            <v>0</v>
          </cell>
          <cell r="F1389">
            <v>0</v>
          </cell>
          <cell r="G1389">
            <v>0</v>
          </cell>
          <cell r="I1389">
            <v>0</v>
          </cell>
        </row>
        <row r="1390">
          <cell r="A1390" t="str">
            <v>B1387</v>
          </cell>
          <cell r="B1390" t="str">
            <v xml:space="preserve"> </v>
          </cell>
          <cell r="D1390">
            <v>0</v>
          </cell>
          <cell r="F1390">
            <v>0</v>
          </cell>
          <cell r="G1390">
            <v>0</v>
          </cell>
          <cell r="I1390">
            <v>0</v>
          </cell>
        </row>
        <row r="1391">
          <cell r="A1391" t="str">
            <v>B1388</v>
          </cell>
          <cell r="B1391" t="str">
            <v xml:space="preserve"> </v>
          </cell>
          <cell r="D1391">
            <v>0</v>
          </cell>
          <cell r="F1391">
            <v>0</v>
          </cell>
          <cell r="G1391">
            <v>0</v>
          </cell>
          <cell r="I1391">
            <v>0</v>
          </cell>
        </row>
        <row r="1392">
          <cell r="A1392" t="str">
            <v>B1389</v>
          </cell>
          <cell r="B1392" t="str">
            <v>Victron EasySolar-II 24/3000/70-32 MPPT 250/70 GX</v>
          </cell>
          <cell r="D1392" t="str">
            <v>PMP242307010</v>
          </cell>
          <cell r="F1392">
            <v>2395.8000000000002</v>
          </cell>
          <cell r="G1392">
            <v>1650.44</v>
          </cell>
          <cell r="H1392" t="str">
            <v>1-Victron</v>
          </cell>
          <cell r="I1392">
            <v>0.31111111111111112</v>
          </cell>
        </row>
        <row r="1393">
          <cell r="A1393" t="str">
            <v>B1390</v>
          </cell>
          <cell r="B1393" t="str">
            <v xml:space="preserve"> </v>
          </cell>
          <cell r="D1393">
            <v>0</v>
          </cell>
          <cell r="F1393">
            <v>0</v>
          </cell>
          <cell r="G1393">
            <v>0</v>
          </cell>
          <cell r="I1393">
            <v>0</v>
          </cell>
        </row>
        <row r="1394">
          <cell r="A1394" t="str">
            <v>B1391</v>
          </cell>
          <cell r="B1394" t="str">
            <v xml:space="preserve"> </v>
          </cell>
          <cell r="D1394">
            <v>0</v>
          </cell>
          <cell r="F1394">
            <v>0</v>
          </cell>
          <cell r="G1394">
            <v>0</v>
          </cell>
          <cell r="I1394">
            <v>0</v>
          </cell>
        </row>
        <row r="1395">
          <cell r="A1395" t="str">
            <v>B1392</v>
          </cell>
          <cell r="B1395" t="str">
            <v xml:space="preserve"> </v>
          </cell>
          <cell r="D1395">
            <v>0</v>
          </cell>
          <cell r="F1395">
            <v>0</v>
          </cell>
          <cell r="G1395">
            <v>0</v>
          </cell>
          <cell r="I1395">
            <v>0</v>
          </cell>
        </row>
        <row r="1396">
          <cell r="A1396" t="str">
            <v>B1393</v>
          </cell>
          <cell r="B1396" t="str">
            <v xml:space="preserve"> </v>
          </cell>
          <cell r="D1396">
            <v>0</v>
          </cell>
          <cell r="F1396">
            <v>0</v>
          </cell>
          <cell r="G1396">
            <v>0</v>
          </cell>
          <cell r="I1396">
            <v>0</v>
          </cell>
        </row>
        <row r="1397">
          <cell r="A1397" t="str">
            <v>B1394</v>
          </cell>
          <cell r="B1397" t="str">
            <v xml:space="preserve"> </v>
          </cell>
          <cell r="D1397">
            <v>0</v>
          </cell>
          <cell r="F1397">
            <v>0</v>
          </cell>
          <cell r="G1397">
            <v>0</v>
          </cell>
          <cell r="I1397">
            <v>0</v>
          </cell>
        </row>
        <row r="1398">
          <cell r="A1398" t="str">
            <v>B1395</v>
          </cell>
          <cell r="B1398" t="str">
            <v xml:space="preserve"> </v>
          </cell>
          <cell r="D1398">
            <v>0</v>
          </cell>
          <cell r="F1398">
            <v>0</v>
          </cell>
          <cell r="G1398">
            <v>0</v>
          </cell>
          <cell r="I1398">
            <v>0</v>
          </cell>
        </row>
        <row r="1399">
          <cell r="A1399" t="str">
            <v>B1396</v>
          </cell>
          <cell r="B1399" t="str">
            <v xml:space="preserve"> </v>
          </cell>
          <cell r="D1399">
            <v>0</v>
          </cell>
          <cell r="F1399">
            <v>0</v>
          </cell>
          <cell r="G1399">
            <v>0</v>
          </cell>
          <cell r="I1399">
            <v>0</v>
          </cell>
        </row>
        <row r="1400">
          <cell r="A1400" t="str">
            <v>B1397</v>
          </cell>
          <cell r="B1400" t="str">
            <v xml:space="preserve"> </v>
          </cell>
          <cell r="D1400">
            <v>0</v>
          </cell>
          <cell r="F1400">
            <v>0</v>
          </cell>
          <cell r="G1400">
            <v>0</v>
          </cell>
          <cell r="I1400">
            <v>0</v>
          </cell>
        </row>
        <row r="1401">
          <cell r="A1401" t="str">
            <v>B1398</v>
          </cell>
          <cell r="B1401" t="str">
            <v xml:space="preserve"> </v>
          </cell>
          <cell r="D1401">
            <v>0</v>
          </cell>
          <cell r="F1401">
            <v>0</v>
          </cell>
          <cell r="G1401">
            <v>0</v>
          </cell>
          <cell r="I1401">
            <v>0</v>
          </cell>
        </row>
        <row r="1402">
          <cell r="A1402" t="str">
            <v>B1399</v>
          </cell>
          <cell r="B1402" t="str">
            <v xml:space="preserve"> </v>
          </cell>
          <cell r="D1402">
            <v>0</v>
          </cell>
          <cell r="F1402">
            <v>0</v>
          </cell>
          <cell r="G1402">
            <v>0</v>
          </cell>
          <cell r="I1402">
            <v>0</v>
          </cell>
        </row>
        <row r="1403">
          <cell r="A1403" t="str">
            <v>B1400</v>
          </cell>
          <cell r="B1403" t="str">
            <v xml:space="preserve"> </v>
          </cell>
          <cell r="D1403">
            <v>0</v>
          </cell>
          <cell r="F1403">
            <v>0</v>
          </cell>
          <cell r="G1403">
            <v>0</v>
          </cell>
          <cell r="I1403">
            <v>0</v>
          </cell>
        </row>
        <row r="1404">
          <cell r="A1404" t="str">
            <v>B1401</v>
          </cell>
          <cell r="B1404" t="e">
            <v>#N/A</v>
          </cell>
          <cell r="D1404" t="e">
            <v>#N/A</v>
          </cell>
          <cell r="F1404">
            <v>0</v>
          </cell>
          <cell r="G1404">
            <v>0</v>
          </cell>
          <cell r="I1404">
            <v>0</v>
          </cell>
        </row>
        <row r="1405">
          <cell r="A1405" t="str">
            <v>B1402</v>
          </cell>
          <cell r="B1405" t="e">
            <v>#N/A</v>
          </cell>
          <cell r="D1405" t="e">
            <v>#N/A</v>
          </cell>
          <cell r="F1405">
            <v>0</v>
          </cell>
          <cell r="G1405">
            <v>0</v>
          </cell>
          <cell r="I1405">
            <v>0</v>
          </cell>
        </row>
        <row r="1406">
          <cell r="A1406" t="str">
            <v>B1403</v>
          </cell>
          <cell r="B1406" t="e">
            <v>#N/A</v>
          </cell>
          <cell r="D1406" t="e">
            <v>#N/A</v>
          </cell>
          <cell r="F1406">
            <v>0</v>
          </cell>
          <cell r="G1406">
            <v>0</v>
          </cell>
          <cell r="I1406">
            <v>0</v>
          </cell>
        </row>
        <row r="1407">
          <cell r="A1407" t="str">
            <v>B1404</v>
          </cell>
          <cell r="B1407" t="e">
            <v>#N/A</v>
          </cell>
          <cell r="D1407" t="e">
            <v>#N/A</v>
          </cell>
          <cell r="F1407">
            <v>0</v>
          </cell>
          <cell r="G1407">
            <v>0</v>
          </cell>
          <cell r="I1407">
            <v>0</v>
          </cell>
        </row>
        <row r="1408">
          <cell r="A1408" t="str">
            <v>B1405</v>
          </cell>
          <cell r="B1408" t="e">
            <v>#N/A</v>
          </cell>
          <cell r="D1408" t="e">
            <v>#N/A</v>
          </cell>
          <cell r="F1408">
            <v>0</v>
          </cell>
          <cell r="G1408">
            <v>0</v>
          </cell>
          <cell r="I1408">
            <v>0</v>
          </cell>
        </row>
        <row r="1409">
          <cell r="A1409" t="str">
            <v>B1406</v>
          </cell>
          <cell r="B1409" t="e">
            <v>#N/A</v>
          </cell>
          <cell r="D1409" t="e">
            <v>#N/A</v>
          </cell>
          <cell r="F1409">
            <v>0</v>
          </cell>
          <cell r="G1409">
            <v>0</v>
          </cell>
          <cell r="I1409">
            <v>0</v>
          </cell>
        </row>
        <row r="1410">
          <cell r="A1410" t="str">
            <v>B1407</v>
          </cell>
          <cell r="B1410" t="e">
            <v>#N/A</v>
          </cell>
          <cell r="D1410" t="e">
            <v>#N/A</v>
          </cell>
          <cell r="F1410">
            <v>0</v>
          </cell>
          <cell r="G1410">
            <v>0</v>
          </cell>
          <cell r="I1410">
            <v>0</v>
          </cell>
        </row>
        <row r="1411">
          <cell r="A1411" t="str">
            <v>B1408</v>
          </cell>
          <cell r="B1411" t="e">
            <v>#N/A</v>
          </cell>
          <cell r="D1411" t="e">
            <v>#N/A</v>
          </cell>
          <cell r="F1411">
            <v>0</v>
          </cell>
          <cell r="G1411">
            <v>0</v>
          </cell>
          <cell r="I1411">
            <v>0</v>
          </cell>
        </row>
        <row r="1412">
          <cell r="A1412" t="str">
            <v>B1409</v>
          </cell>
          <cell r="B1412" t="e">
            <v>#N/A</v>
          </cell>
          <cell r="D1412" t="e">
            <v>#N/A</v>
          </cell>
          <cell r="F1412">
            <v>0</v>
          </cell>
          <cell r="G1412">
            <v>0</v>
          </cell>
          <cell r="I1412">
            <v>0</v>
          </cell>
        </row>
        <row r="1413">
          <cell r="A1413" t="str">
            <v>B1410</v>
          </cell>
          <cell r="B1413" t="e">
            <v>#N/A</v>
          </cell>
          <cell r="D1413" t="e">
            <v>#N/A</v>
          </cell>
          <cell r="F1413">
            <v>0</v>
          </cell>
          <cell r="G1413">
            <v>0</v>
          </cell>
          <cell r="I1413">
            <v>0</v>
          </cell>
        </row>
        <row r="1414">
          <cell r="A1414" t="str">
            <v>B1411</v>
          </cell>
          <cell r="B1414" t="e">
            <v>#N/A</v>
          </cell>
          <cell r="D1414" t="e">
            <v>#N/A</v>
          </cell>
          <cell r="F1414">
            <v>0</v>
          </cell>
          <cell r="G1414">
            <v>0</v>
          </cell>
          <cell r="I1414">
            <v>0</v>
          </cell>
        </row>
        <row r="1415">
          <cell r="A1415" t="str">
            <v>B1412</v>
          </cell>
          <cell r="B1415" t="e">
            <v>#N/A</v>
          </cell>
          <cell r="D1415" t="e">
            <v>#N/A</v>
          </cell>
          <cell r="F1415">
            <v>0</v>
          </cell>
          <cell r="G1415">
            <v>0</v>
          </cell>
          <cell r="I1415">
            <v>0</v>
          </cell>
        </row>
        <row r="1416">
          <cell r="A1416" t="str">
            <v>B1413</v>
          </cell>
          <cell r="B1416" t="e">
            <v>#N/A</v>
          </cell>
          <cell r="D1416" t="e">
            <v>#N/A</v>
          </cell>
          <cell r="F1416">
            <v>0</v>
          </cell>
          <cell r="G1416">
            <v>0</v>
          </cell>
          <cell r="I1416">
            <v>0</v>
          </cell>
        </row>
        <row r="1417">
          <cell r="A1417" t="str">
            <v>B1414</v>
          </cell>
          <cell r="B1417" t="e">
            <v>#N/A</v>
          </cell>
          <cell r="D1417" t="e">
            <v>#N/A</v>
          </cell>
          <cell r="F1417">
            <v>0</v>
          </cell>
          <cell r="G1417">
            <v>0</v>
          </cell>
          <cell r="I1417">
            <v>0</v>
          </cell>
        </row>
        <row r="1418">
          <cell r="A1418" t="str">
            <v>B1415</v>
          </cell>
          <cell r="B1418" t="e">
            <v>#N/A</v>
          </cell>
          <cell r="D1418" t="e">
            <v>#N/A</v>
          </cell>
          <cell r="F1418">
            <v>0</v>
          </cell>
          <cell r="G1418">
            <v>0</v>
          </cell>
          <cell r="I1418">
            <v>0</v>
          </cell>
        </row>
        <row r="1419">
          <cell r="A1419" t="str">
            <v>B1416</v>
          </cell>
          <cell r="B1419" t="e">
            <v>#N/A</v>
          </cell>
          <cell r="D1419" t="e">
            <v>#N/A</v>
          </cell>
          <cell r="F1419">
            <v>0</v>
          </cell>
          <cell r="G1419">
            <v>0</v>
          </cell>
          <cell r="I1419">
            <v>0</v>
          </cell>
        </row>
        <row r="1420">
          <cell r="A1420" t="str">
            <v>B1417</v>
          </cell>
          <cell r="B1420" t="e">
            <v>#N/A</v>
          </cell>
          <cell r="D1420" t="e">
            <v>#N/A</v>
          </cell>
          <cell r="F1420">
            <v>0</v>
          </cell>
          <cell r="G1420">
            <v>0</v>
          </cell>
          <cell r="I1420">
            <v>0</v>
          </cell>
        </row>
        <row r="1421">
          <cell r="A1421" t="str">
            <v>B1418</v>
          </cell>
          <cell r="B1421" t="e">
            <v>#N/A</v>
          </cell>
          <cell r="D1421" t="e">
            <v>#N/A</v>
          </cell>
          <cell r="F1421">
            <v>0</v>
          </cell>
          <cell r="G1421">
            <v>0</v>
          </cell>
          <cell r="I1421">
            <v>0</v>
          </cell>
        </row>
        <row r="1422">
          <cell r="A1422" t="str">
            <v>B1419</v>
          </cell>
          <cell r="B1422" t="e">
            <v>#N/A</v>
          </cell>
          <cell r="D1422" t="e">
            <v>#N/A</v>
          </cell>
          <cell r="F1422">
            <v>0</v>
          </cell>
          <cell r="G1422">
            <v>0</v>
          </cell>
          <cell r="I1422">
            <v>0</v>
          </cell>
        </row>
        <row r="1423">
          <cell r="A1423" t="str">
            <v>B1420</v>
          </cell>
          <cell r="B1423" t="e">
            <v>#N/A</v>
          </cell>
          <cell r="D1423" t="e">
            <v>#N/A</v>
          </cell>
          <cell r="F1423">
            <v>0</v>
          </cell>
          <cell r="G1423">
            <v>0</v>
          </cell>
          <cell r="I1423">
            <v>0</v>
          </cell>
        </row>
        <row r="1424">
          <cell r="A1424" t="str">
            <v>B1421</v>
          </cell>
          <cell r="B1424" t="e">
            <v>#N/A</v>
          </cell>
          <cell r="D1424" t="e">
            <v>#N/A</v>
          </cell>
          <cell r="F1424">
            <v>0</v>
          </cell>
          <cell r="G1424">
            <v>0</v>
          </cell>
          <cell r="I1424">
            <v>0</v>
          </cell>
        </row>
        <row r="1425">
          <cell r="A1425" t="str">
            <v>B1422</v>
          </cell>
          <cell r="B1425" t="e">
            <v>#N/A</v>
          </cell>
          <cell r="D1425" t="e">
            <v>#N/A</v>
          </cell>
          <cell r="F1425">
            <v>0</v>
          </cell>
          <cell r="G1425">
            <v>0</v>
          </cell>
          <cell r="I1425">
            <v>0</v>
          </cell>
        </row>
        <row r="1426">
          <cell r="A1426" t="str">
            <v>B1423</v>
          </cell>
          <cell r="B1426" t="e">
            <v>#N/A</v>
          </cell>
          <cell r="D1426" t="e">
            <v>#N/A</v>
          </cell>
          <cell r="F1426">
            <v>0</v>
          </cell>
          <cell r="G1426">
            <v>0</v>
          </cell>
          <cell r="I1426">
            <v>0</v>
          </cell>
        </row>
        <row r="1427">
          <cell r="A1427" t="str">
            <v>B1424</v>
          </cell>
          <cell r="B1427" t="e">
            <v>#N/A</v>
          </cell>
          <cell r="D1427" t="e">
            <v>#N/A</v>
          </cell>
          <cell r="F1427">
            <v>0</v>
          </cell>
          <cell r="G1427">
            <v>0</v>
          </cell>
          <cell r="I1427">
            <v>0</v>
          </cell>
        </row>
        <row r="1428">
          <cell r="A1428" t="str">
            <v>B1425</v>
          </cell>
          <cell r="B1428" t="e">
            <v>#N/A</v>
          </cell>
          <cell r="D1428" t="e">
            <v>#N/A</v>
          </cell>
          <cell r="F1428">
            <v>0</v>
          </cell>
          <cell r="G1428">
            <v>0</v>
          </cell>
          <cell r="I1428">
            <v>0</v>
          </cell>
        </row>
        <row r="1429">
          <cell r="A1429" t="str">
            <v>B1426</v>
          </cell>
          <cell r="B1429" t="e">
            <v>#N/A</v>
          </cell>
          <cell r="D1429" t="e">
            <v>#N/A</v>
          </cell>
          <cell r="F1429">
            <v>0</v>
          </cell>
          <cell r="G1429">
            <v>0</v>
          </cell>
          <cell r="I1429">
            <v>0</v>
          </cell>
        </row>
        <row r="1430">
          <cell r="A1430" t="str">
            <v>B1427</v>
          </cell>
          <cell r="B1430" t="e">
            <v>#N/A</v>
          </cell>
          <cell r="D1430" t="e">
            <v>#N/A</v>
          </cell>
          <cell r="F1430">
            <v>0</v>
          </cell>
          <cell r="G1430">
            <v>0</v>
          </cell>
          <cell r="I1430">
            <v>0</v>
          </cell>
        </row>
        <row r="1431">
          <cell r="A1431" t="str">
            <v>B1428</v>
          </cell>
          <cell r="B1431" t="e">
            <v>#N/A</v>
          </cell>
          <cell r="D1431" t="e">
            <v>#N/A</v>
          </cell>
          <cell r="F1431">
            <v>0</v>
          </cell>
          <cell r="G1431">
            <v>0</v>
          </cell>
          <cell r="I1431">
            <v>0</v>
          </cell>
        </row>
        <row r="1432">
          <cell r="A1432" t="str">
            <v>B1429</v>
          </cell>
          <cell r="B1432" t="e">
            <v>#N/A</v>
          </cell>
          <cell r="D1432" t="e">
            <v>#N/A</v>
          </cell>
          <cell r="F1432">
            <v>0</v>
          </cell>
          <cell r="G1432">
            <v>0</v>
          </cell>
          <cell r="I1432">
            <v>0</v>
          </cell>
        </row>
        <row r="1433">
          <cell r="A1433" t="str">
            <v>B1430</v>
          </cell>
          <cell r="B1433" t="e">
            <v>#N/A</v>
          </cell>
          <cell r="D1433" t="e">
            <v>#N/A</v>
          </cell>
          <cell r="F1433">
            <v>0</v>
          </cell>
          <cell r="G1433">
            <v>0</v>
          </cell>
          <cell r="I1433">
            <v>0</v>
          </cell>
        </row>
        <row r="1434">
          <cell r="A1434" t="str">
            <v>B1431</v>
          </cell>
          <cell r="B1434" t="e">
            <v>#N/A</v>
          </cell>
          <cell r="D1434" t="e">
            <v>#N/A</v>
          </cell>
          <cell r="F1434">
            <v>0</v>
          </cell>
          <cell r="G1434">
            <v>0</v>
          </cell>
          <cell r="I1434">
            <v>0</v>
          </cell>
        </row>
        <row r="1435">
          <cell r="A1435" t="str">
            <v>B1432</v>
          </cell>
          <cell r="B1435" t="e">
            <v>#N/A</v>
          </cell>
          <cell r="D1435" t="e">
            <v>#N/A</v>
          </cell>
          <cell r="F1435">
            <v>0</v>
          </cell>
          <cell r="G1435">
            <v>0</v>
          </cell>
          <cell r="I1435">
            <v>0</v>
          </cell>
        </row>
        <row r="1436">
          <cell r="A1436" t="str">
            <v>B1433</v>
          </cell>
          <cell r="B1436" t="e">
            <v>#N/A</v>
          </cell>
          <cell r="D1436" t="e">
            <v>#N/A</v>
          </cell>
          <cell r="F1436">
            <v>0</v>
          </cell>
          <cell r="G1436">
            <v>0</v>
          </cell>
          <cell r="I1436">
            <v>0</v>
          </cell>
        </row>
        <row r="1437">
          <cell r="A1437" t="str">
            <v>B1434</v>
          </cell>
          <cell r="B1437" t="e">
            <v>#N/A</v>
          </cell>
          <cell r="D1437" t="e">
            <v>#N/A</v>
          </cell>
          <cell r="F1437">
            <v>0</v>
          </cell>
          <cell r="G1437">
            <v>0</v>
          </cell>
          <cell r="I1437">
            <v>0</v>
          </cell>
        </row>
        <row r="1438">
          <cell r="A1438" t="str">
            <v>B1435</v>
          </cell>
          <cell r="B1438" t="e">
            <v>#N/A</v>
          </cell>
          <cell r="D1438" t="e">
            <v>#N/A</v>
          </cell>
          <cell r="F1438">
            <v>0</v>
          </cell>
          <cell r="G1438">
            <v>0</v>
          </cell>
          <cell r="I1438">
            <v>0</v>
          </cell>
        </row>
        <row r="1439">
          <cell r="A1439" t="str">
            <v>B1436</v>
          </cell>
          <cell r="B1439" t="e">
            <v>#N/A</v>
          </cell>
          <cell r="D1439" t="e">
            <v>#N/A</v>
          </cell>
          <cell r="F1439">
            <v>0</v>
          </cell>
          <cell r="G1439">
            <v>0</v>
          </cell>
          <cell r="I1439">
            <v>0</v>
          </cell>
        </row>
        <row r="1440">
          <cell r="A1440" t="str">
            <v>B1437</v>
          </cell>
          <cell r="B1440" t="e">
            <v>#N/A</v>
          </cell>
          <cell r="D1440" t="e">
            <v>#N/A</v>
          </cell>
          <cell r="F1440">
            <v>0</v>
          </cell>
          <cell r="G1440">
            <v>0</v>
          </cell>
          <cell r="I1440">
            <v>0</v>
          </cell>
        </row>
        <row r="1441">
          <cell r="A1441" t="str">
            <v>B1438</v>
          </cell>
          <cell r="B1441" t="e">
            <v>#N/A</v>
          </cell>
          <cell r="D1441" t="e">
            <v>#N/A</v>
          </cell>
          <cell r="F1441">
            <v>0</v>
          </cell>
          <cell r="G1441">
            <v>0</v>
          </cell>
          <cell r="I1441">
            <v>0</v>
          </cell>
        </row>
        <row r="1442">
          <cell r="A1442" t="str">
            <v>B1439</v>
          </cell>
          <cell r="B1442" t="e">
            <v>#N/A</v>
          </cell>
          <cell r="D1442" t="e">
            <v>#N/A</v>
          </cell>
          <cell r="F1442">
            <v>0</v>
          </cell>
          <cell r="G1442">
            <v>0</v>
          </cell>
          <cell r="I1442">
            <v>0</v>
          </cell>
        </row>
        <row r="1443">
          <cell r="A1443" t="str">
            <v>B1440</v>
          </cell>
          <cell r="B1443" t="e">
            <v>#N/A</v>
          </cell>
          <cell r="D1443" t="e">
            <v>#N/A</v>
          </cell>
          <cell r="F1443">
            <v>0</v>
          </cell>
          <cell r="G1443">
            <v>0</v>
          </cell>
          <cell r="I1443">
            <v>0</v>
          </cell>
        </row>
        <row r="1444">
          <cell r="A1444" t="str">
            <v>B1441</v>
          </cell>
          <cell r="B1444" t="e">
            <v>#N/A</v>
          </cell>
          <cell r="D1444" t="e">
            <v>#N/A</v>
          </cell>
          <cell r="F1444">
            <v>0</v>
          </cell>
          <cell r="G1444">
            <v>0</v>
          </cell>
          <cell r="I1444">
            <v>0</v>
          </cell>
        </row>
        <row r="1445">
          <cell r="A1445" t="str">
            <v>B1442</v>
          </cell>
          <cell r="B1445" t="e">
            <v>#N/A</v>
          </cell>
          <cell r="D1445" t="e">
            <v>#N/A</v>
          </cell>
          <cell r="F1445">
            <v>0</v>
          </cell>
          <cell r="G1445">
            <v>0</v>
          </cell>
          <cell r="I1445">
            <v>0</v>
          </cell>
        </row>
        <row r="1446">
          <cell r="A1446" t="str">
            <v>B1443</v>
          </cell>
          <cell r="B1446" t="e">
            <v>#N/A</v>
          </cell>
          <cell r="D1446" t="e">
            <v>#N/A</v>
          </cell>
          <cell r="F1446">
            <v>0</v>
          </cell>
          <cell r="G1446">
            <v>0</v>
          </cell>
          <cell r="I1446">
            <v>0</v>
          </cell>
        </row>
        <row r="1447">
          <cell r="A1447" t="str">
            <v>B1444</v>
          </cell>
          <cell r="B1447" t="e">
            <v>#N/A</v>
          </cell>
          <cell r="D1447" t="e">
            <v>#N/A</v>
          </cell>
          <cell r="F1447">
            <v>0</v>
          </cell>
          <cell r="G1447">
            <v>0</v>
          </cell>
          <cell r="I1447">
            <v>0</v>
          </cell>
        </row>
        <row r="1448">
          <cell r="A1448" t="str">
            <v>B1445</v>
          </cell>
          <cell r="B1448" t="e">
            <v>#N/A</v>
          </cell>
          <cell r="D1448" t="e">
            <v>#N/A</v>
          </cell>
          <cell r="F1448">
            <v>0</v>
          </cell>
          <cell r="G1448">
            <v>0</v>
          </cell>
          <cell r="I1448">
            <v>0</v>
          </cell>
        </row>
        <row r="1449">
          <cell r="A1449" t="str">
            <v>B1446</v>
          </cell>
          <cell r="B1449" t="e">
            <v>#N/A</v>
          </cell>
          <cell r="D1449" t="e">
            <v>#N/A</v>
          </cell>
          <cell r="F1449">
            <v>0</v>
          </cell>
          <cell r="G1449">
            <v>0</v>
          </cell>
          <cell r="H1449" t="str">
            <v>6-Various</v>
          </cell>
          <cell r="I1449">
            <v>0</v>
          </cell>
        </row>
        <row r="1450">
          <cell r="A1450" t="str">
            <v>B1447</v>
          </cell>
          <cell r="B1450" t="e">
            <v>#N/A</v>
          </cell>
          <cell r="D1450" t="e">
            <v>#N/A</v>
          </cell>
          <cell r="F1450">
            <v>0</v>
          </cell>
          <cell r="G1450">
            <v>0</v>
          </cell>
          <cell r="H1450" t="str">
            <v>6-Various</v>
          </cell>
          <cell r="I1450">
            <v>0</v>
          </cell>
        </row>
        <row r="1451">
          <cell r="A1451" t="str">
            <v>B1448</v>
          </cell>
          <cell r="B1451" t="e">
            <v>#N/A</v>
          </cell>
          <cell r="D1451" t="e">
            <v>#N/A</v>
          </cell>
          <cell r="F1451">
            <v>0</v>
          </cell>
          <cell r="G1451">
            <v>0</v>
          </cell>
          <cell r="H1451" t="str">
            <v>2-Krannich</v>
          </cell>
          <cell r="I1451">
            <v>0</v>
          </cell>
        </row>
        <row r="1452">
          <cell r="A1452" t="str">
            <v>B1449</v>
          </cell>
          <cell r="B1452" t="e">
            <v>#N/A</v>
          </cell>
          <cell r="D1452" t="e">
            <v>#N/A</v>
          </cell>
          <cell r="F1452">
            <v>0</v>
          </cell>
          <cell r="G1452">
            <v>0</v>
          </cell>
          <cell r="I1452">
            <v>0</v>
          </cell>
        </row>
        <row r="1453">
          <cell r="A1453" t="str">
            <v>B1450</v>
          </cell>
          <cell r="B1453" t="e">
            <v>#N/A</v>
          </cell>
          <cell r="D1453" t="e">
            <v>#N/A</v>
          </cell>
          <cell r="F1453">
            <v>0</v>
          </cell>
          <cell r="G1453">
            <v>0</v>
          </cell>
          <cell r="H1453" t="str">
            <v>3-Tradezone</v>
          </cell>
          <cell r="I1453">
            <v>0</v>
          </cell>
        </row>
        <row r="1454">
          <cell r="A1454" t="str">
            <v>B1451</v>
          </cell>
          <cell r="B1454" t="e">
            <v>#N/A</v>
          </cell>
          <cell r="D1454" t="e">
            <v>#N/A</v>
          </cell>
          <cell r="F1454">
            <v>0</v>
          </cell>
          <cell r="G1454">
            <v>0</v>
          </cell>
          <cell r="I1454">
            <v>0</v>
          </cell>
        </row>
        <row r="1455">
          <cell r="A1455" t="str">
            <v>B1452</v>
          </cell>
          <cell r="B1455" t="e">
            <v>#N/A</v>
          </cell>
          <cell r="D1455" t="e">
            <v>#N/A</v>
          </cell>
          <cell r="F1455">
            <v>0</v>
          </cell>
          <cell r="G1455">
            <v>0</v>
          </cell>
          <cell r="I1455">
            <v>0</v>
          </cell>
        </row>
        <row r="1456">
          <cell r="A1456" t="str">
            <v>B1453</v>
          </cell>
          <cell r="B1456" t="e">
            <v>#N/A</v>
          </cell>
          <cell r="D1456" t="e">
            <v>#N/A</v>
          </cell>
          <cell r="F1456">
            <v>0</v>
          </cell>
          <cell r="G1456">
            <v>0</v>
          </cell>
          <cell r="I1456">
            <v>0</v>
          </cell>
        </row>
        <row r="1457">
          <cell r="A1457" t="str">
            <v>B1454</v>
          </cell>
          <cell r="B1457" t="e">
            <v>#N/A</v>
          </cell>
          <cell r="D1457" t="e">
            <v>#N/A</v>
          </cell>
          <cell r="F1457">
            <v>0</v>
          </cell>
          <cell r="G1457">
            <v>0</v>
          </cell>
          <cell r="I1457">
            <v>0</v>
          </cell>
        </row>
        <row r="1458">
          <cell r="A1458" t="str">
            <v>B1455</v>
          </cell>
          <cell r="B1458" t="e">
            <v>#N/A</v>
          </cell>
          <cell r="D1458" t="e">
            <v>#N/A</v>
          </cell>
          <cell r="F1458">
            <v>0</v>
          </cell>
          <cell r="G1458">
            <v>0</v>
          </cell>
          <cell r="I1458">
            <v>0</v>
          </cell>
        </row>
        <row r="1459">
          <cell r="A1459" t="str">
            <v>B1456</v>
          </cell>
          <cell r="B1459" t="e">
            <v>#N/A</v>
          </cell>
          <cell r="D1459" t="e">
            <v>#N/A</v>
          </cell>
          <cell r="F1459">
            <v>0</v>
          </cell>
          <cell r="G1459">
            <v>0</v>
          </cell>
          <cell r="I1459">
            <v>0</v>
          </cell>
        </row>
        <row r="1460">
          <cell r="A1460" t="str">
            <v>B1457</v>
          </cell>
          <cell r="B1460" t="e">
            <v>#N/A</v>
          </cell>
          <cell r="D1460" t="e">
            <v>#N/A</v>
          </cell>
          <cell r="F1460">
            <v>0</v>
          </cell>
          <cell r="G1460">
            <v>0</v>
          </cell>
          <cell r="I1460">
            <v>0</v>
          </cell>
        </row>
        <row r="1461">
          <cell r="A1461" t="str">
            <v>B1458</v>
          </cell>
          <cell r="B1461" t="e">
            <v>#N/A</v>
          </cell>
          <cell r="D1461" t="e">
            <v>#N/A</v>
          </cell>
          <cell r="F1461">
            <v>0</v>
          </cell>
          <cell r="G1461">
            <v>0</v>
          </cell>
          <cell r="I1461">
            <v>0</v>
          </cell>
        </row>
        <row r="1462">
          <cell r="A1462" t="str">
            <v>B1459</v>
          </cell>
          <cell r="B1462" t="e">
            <v>#N/A</v>
          </cell>
          <cell r="D1462" t="e">
            <v>#N/A</v>
          </cell>
          <cell r="F1462">
            <v>0</v>
          </cell>
          <cell r="G1462">
            <v>0</v>
          </cell>
          <cell r="I1462">
            <v>0</v>
          </cell>
        </row>
        <row r="1463">
          <cell r="A1463" t="str">
            <v>B1460</v>
          </cell>
          <cell r="B1463" t="e">
            <v>#N/A</v>
          </cell>
          <cell r="D1463" t="e">
            <v>#N/A</v>
          </cell>
          <cell r="F1463">
            <v>0</v>
          </cell>
          <cell r="G1463">
            <v>0</v>
          </cell>
          <cell r="I1463">
            <v>0</v>
          </cell>
        </row>
        <row r="1464">
          <cell r="A1464" t="str">
            <v>B1461</v>
          </cell>
          <cell r="B1464" t="e">
            <v>#N/A</v>
          </cell>
          <cell r="D1464" t="e">
            <v>#N/A</v>
          </cell>
          <cell r="F1464">
            <v>0</v>
          </cell>
          <cell r="G1464">
            <v>0</v>
          </cell>
          <cell r="I1464">
            <v>0</v>
          </cell>
        </row>
        <row r="1465">
          <cell r="A1465" t="str">
            <v>B1462</v>
          </cell>
          <cell r="B1465" t="e">
            <v>#N/A</v>
          </cell>
          <cell r="D1465" t="e">
            <v>#N/A</v>
          </cell>
          <cell r="F1465">
            <v>0</v>
          </cell>
          <cell r="G1465">
            <v>0</v>
          </cell>
          <cell r="I1465">
            <v>0</v>
          </cell>
        </row>
        <row r="1466">
          <cell r="A1466" t="str">
            <v>B1463</v>
          </cell>
          <cell r="B1466" t="e">
            <v>#N/A</v>
          </cell>
          <cell r="D1466" t="e">
            <v>#N/A</v>
          </cell>
          <cell r="F1466">
            <v>0</v>
          </cell>
          <cell r="G1466">
            <v>0</v>
          </cell>
          <cell r="I1466">
            <v>0</v>
          </cell>
        </row>
        <row r="1467">
          <cell r="A1467" t="str">
            <v>B1464</v>
          </cell>
          <cell r="B1467" t="e">
            <v>#N/A</v>
          </cell>
          <cell r="D1467" t="e">
            <v>#N/A</v>
          </cell>
          <cell r="F1467">
            <v>0</v>
          </cell>
          <cell r="G1467">
            <v>0</v>
          </cell>
          <cell r="I1467">
            <v>0</v>
          </cell>
        </row>
        <row r="1468">
          <cell r="A1468" t="str">
            <v>B1465</v>
          </cell>
          <cell r="B1468" t="e">
            <v>#N/A</v>
          </cell>
          <cell r="D1468" t="e">
            <v>#N/A</v>
          </cell>
          <cell r="F1468">
            <v>0</v>
          </cell>
          <cell r="G1468">
            <v>0</v>
          </cell>
          <cell r="I1468">
            <v>0</v>
          </cell>
        </row>
        <row r="1469">
          <cell r="A1469" t="str">
            <v>B1466</v>
          </cell>
          <cell r="B1469" t="e">
            <v>#N/A</v>
          </cell>
          <cell r="D1469" t="e">
            <v>#N/A</v>
          </cell>
          <cell r="F1469">
            <v>0</v>
          </cell>
          <cell r="G1469">
            <v>0</v>
          </cell>
          <cell r="I1469">
            <v>0</v>
          </cell>
        </row>
        <row r="1470">
          <cell r="A1470" t="str">
            <v>B1467</v>
          </cell>
          <cell r="B1470" t="e">
            <v>#N/A</v>
          </cell>
          <cell r="D1470" t="e">
            <v>#N/A</v>
          </cell>
          <cell r="F1470">
            <v>0</v>
          </cell>
          <cell r="G1470">
            <v>0</v>
          </cell>
          <cell r="I1470">
            <v>0</v>
          </cell>
        </row>
        <row r="1471">
          <cell r="A1471" t="str">
            <v>B1468</v>
          </cell>
          <cell r="B1471" t="e">
            <v>#N/A</v>
          </cell>
          <cell r="D1471" t="e">
            <v>#N/A</v>
          </cell>
          <cell r="F1471">
            <v>0</v>
          </cell>
          <cell r="G1471">
            <v>0</v>
          </cell>
          <cell r="I1471">
            <v>0</v>
          </cell>
        </row>
        <row r="1472">
          <cell r="A1472" t="str">
            <v>B1469</v>
          </cell>
          <cell r="B1472" t="e">
            <v>#N/A</v>
          </cell>
          <cell r="D1472" t="e">
            <v>#N/A</v>
          </cell>
          <cell r="F1472">
            <v>0</v>
          </cell>
          <cell r="G1472">
            <v>0</v>
          </cell>
          <cell r="I1472">
            <v>0</v>
          </cell>
        </row>
        <row r="1473">
          <cell r="A1473" t="str">
            <v>B1470</v>
          </cell>
          <cell r="B1473" t="e">
            <v>#N/A</v>
          </cell>
          <cell r="D1473" t="e">
            <v>#N/A</v>
          </cell>
          <cell r="F1473">
            <v>0</v>
          </cell>
          <cell r="G1473">
            <v>0</v>
          </cell>
          <cell r="I1473">
            <v>0</v>
          </cell>
        </row>
        <row r="1474">
          <cell r="A1474" t="str">
            <v>B1471</v>
          </cell>
          <cell r="B1474" t="e">
            <v>#N/A</v>
          </cell>
          <cell r="D1474" t="e">
            <v>#N/A</v>
          </cell>
          <cell r="F1474">
            <v>0</v>
          </cell>
          <cell r="G1474">
            <v>0</v>
          </cell>
          <cell r="I1474">
            <v>0</v>
          </cell>
        </row>
        <row r="1475">
          <cell r="A1475" t="str">
            <v>B1472</v>
          </cell>
          <cell r="B1475" t="e">
            <v>#N/A</v>
          </cell>
          <cell r="D1475" t="e">
            <v>#N/A</v>
          </cell>
          <cell r="F1475">
            <v>0</v>
          </cell>
          <cell r="G1475">
            <v>0</v>
          </cell>
          <cell r="I1475">
            <v>0</v>
          </cell>
        </row>
        <row r="1476">
          <cell r="A1476" t="str">
            <v>B1473</v>
          </cell>
          <cell r="B1476" t="e">
            <v>#N/A</v>
          </cell>
          <cell r="D1476" t="e">
            <v>#N/A</v>
          </cell>
          <cell r="F1476">
            <v>0</v>
          </cell>
          <cell r="G1476">
            <v>0</v>
          </cell>
          <cell r="I1476">
            <v>0</v>
          </cell>
        </row>
        <row r="1477">
          <cell r="A1477" t="str">
            <v>B1474</v>
          </cell>
          <cell r="B1477" t="e">
            <v>#N/A</v>
          </cell>
          <cell r="D1477" t="e">
            <v>#N/A</v>
          </cell>
          <cell r="F1477">
            <v>0</v>
          </cell>
          <cell r="G1477">
            <v>0</v>
          </cell>
          <cell r="I1477">
            <v>0</v>
          </cell>
        </row>
        <row r="1478">
          <cell r="A1478" t="str">
            <v>B1475</v>
          </cell>
          <cell r="B1478" t="e">
            <v>#N/A</v>
          </cell>
          <cell r="D1478" t="e">
            <v>#N/A</v>
          </cell>
          <cell r="F1478">
            <v>0</v>
          </cell>
          <cell r="G1478">
            <v>0</v>
          </cell>
          <cell r="I1478">
            <v>0</v>
          </cell>
        </row>
        <row r="1479">
          <cell r="A1479" t="str">
            <v>B1476</v>
          </cell>
          <cell r="B1479" t="e">
            <v>#N/A</v>
          </cell>
          <cell r="D1479" t="e">
            <v>#N/A</v>
          </cell>
          <cell r="F1479">
            <v>0</v>
          </cell>
          <cell r="G1479">
            <v>0</v>
          </cell>
          <cell r="I1479">
            <v>0</v>
          </cell>
        </row>
        <row r="1480">
          <cell r="A1480" t="str">
            <v>B1477</v>
          </cell>
          <cell r="B1480" t="e">
            <v>#N/A</v>
          </cell>
          <cell r="D1480" t="e">
            <v>#N/A</v>
          </cell>
          <cell r="F1480">
            <v>0</v>
          </cell>
          <cell r="G1480">
            <v>0</v>
          </cell>
          <cell r="I1480">
            <v>0</v>
          </cell>
        </row>
        <row r="1481">
          <cell r="A1481" t="str">
            <v>B1478</v>
          </cell>
          <cell r="B1481" t="e">
            <v>#N/A</v>
          </cell>
          <cell r="D1481" t="e">
            <v>#N/A</v>
          </cell>
          <cell r="F1481">
            <v>0</v>
          </cell>
          <cell r="G1481">
            <v>0</v>
          </cell>
          <cell r="I1481">
            <v>0</v>
          </cell>
        </row>
        <row r="1482">
          <cell r="A1482" t="str">
            <v>B1479</v>
          </cell>
          <cell r="B1482" t="e">
            <v>#N/A</v>
          </cell>
          <cell r="D1482" t="e">
            <v>#N/A</v>
          </cell>
          <cell r="F1482">
            <v>0</v>
          </cell>
          <cell r="G1482">
            <v>0</v>
          </cell>
          <cell r="I1482">
            <v>0</v>
          </cell>
        </row>
        <row r="1483">
          <cell r="A1483" t="str">
            <v>B1480</v>
          </cell>
          <cell r="B1483" t="e">
            <v>#N/A</v>
          </cell>
          <cell r="D1483" t="e">
            <v>#N/A</v>
          </cell>
          <cell r="F1483">
            <v>0</v>
          </cell>
          <cell r="G1483">
            <v>0</v>
          </cell>
          <cell r="I1483">
            <v>0</v>
          </cell>
        </row>
        <row r="1484">
          <cell r="A1484" t="str">
            <v>B1481</v>
          </cell>
          <cell r="B1484" t="e">
            <v>#N/A</v>
          </cell>
          <cell r="D1484" t="e">
            <v>#N/A</v>
          </cell>
          <cell r="F1484">
            <v>0</v>
          </cell>
          <cell r="G1484">
            <v>0</v>
          </cell>
          <cell r="I1484">
            <v>0</v>
          </cell>
        </row>
        <row r="1485">
          <cell r="A1485" t="str">
            <v>B1482</v>
          </cell>
          <cell r="B1485" t="e">
            <v>#N/A</v>
          </cell>
          <cell r="D1485" t="e">
            <v>#N/A</v>
          </cell>
          <cell r="F1485">
            <v>0</v>
          </cell>
          <cell r="G1485">
            <v>0</v>
          </cell>
          <cell r="I1485">
            <v>0</v>
          </cell>
        </row>
        <row r="1486">
          <cell r="A1486" t="str">
            <v>B1483</v>
          </cell>
          <cell r="B1486" t="e">
            <v>#N/A</v>
          </cell>
          <cell r="D1486" t="e">
            <v>#N/A</v>
          </cell>
          <cell r="F1486">
            <v>0</v>
          </cell>
          <cell r="G1486">
            <v>0</v>
          </cell>
          <cell r="I1486">
            <v>0</v>
          </cell>
        </row>
        <row r="1487">
          <cell r="A1487" t="str">
            <v>B1484</v>
          </cell>
          <cell r="B1487" t="e">
            <v>#N/A</v>
          </cell>
          <cell r="D1487" t="e">
            <v>#N/A</v>
          </cell>
          <cell r="F1487">
            <v>0</v>
          </cell>
          <cell r="G1487">
            <v>0</v>
          </cell>
          <cell r="I1487">
            <v>0</v>
          </cell>
        </row>
        <row r="1488">
          <cell r="A1488" t="str">
            <v>B1485</v>
          </cell>
          <cell r="B1488" t="e">
            <v>#N/A</v>
          </cell>
          <cell r="D1488" t="e">
            <v>#N/A</v>
          </cell>
          <cell r="F1488">
            <v>0</v>
          </cell>
          <cell r="G1488">
            <v>0</v>
          </cell>
          <cell r="I1488">
            <v>0</v>
          </cell>
        </row>
        <row r="1489">
          <cell r="A1489" t="str">
            <v>B1486</v>
          </cell>
          <cell r="B1489" t="e">
            <v>#N/A</v>
          </cell>
          <cell r="D1489" t="e">
            <v>#N/A</v>
          </cell>
          <cell r="F1489">
            <v>0</v>
          </cell>
          <cell r="G1489">
            <v>0</v>
          </cell>
          <cell r="I1489">
            <v>0</v>
          </cell>
        </row>
        <row r="1490">
          <cell r="A1490" t="str">
            <v>B1487</v>
          </cell>
          <cell r="B1490" t="e">
            <v>#N/A</v>
          </cell>
          <cell r="D1490" t="e">
            <v>#N/A</v>
          </cell>
          <cell r="F1490">
            <v>0</v>
          </cell>
          <cell r="G1490">
            <v>0</v>
          </cell>
          <cell r="I1490">
            <v>0</v>
          </cell>
        </row>
        <row r="1491">
          <cell r="A1491" t="str">
            <v>B1488</v>
          </cell>
          <cell r="B1491" t="e">
            <v>#N/A</v>
          </cell>
          <cell r="D1491" t="e">
            <v>#N/A</v>
          </cell>
          <cell r="F1491">
            <v>0</v>
          </cell>
          <cell r="G1491">
            <v>0</v>
          </cell>
          <cell r="I1491">
            <v>0</v>
          </cell>
        </row>
        <row r="1492">
          <cell r="A1492" t="str">
            <v>B1489</v>
          </cell>
          <cell r="B1492" t="e">
            <v>#N/A</v>
          </cell>
          <cell r="D1492" t="e">
            <v>#N/A</v>
          </cell>
          <cell r="F1492">
            <v>0</v>
          </cell>
          <cell r="G1492">
            <v>0</v>
          </cell>
          <cell r="I1492">
            <v>0</v>
          </cell>
        </row>
        <row r="1493">
          <cell r="A1493" t="str">
            <v>B1490</v>
          </cell>
          <cell r="B1493" t="e">
            <v>#N/A</v>
          </cell>
          <cell r="D1493" t="e">
            <v>#N/A</v>
          </cell>
          <cell r="F1493">
            <v>0</v>
          </cell>
          <cell r="G1493">
            <v>0</v>
          </cell>
          <cell r="I1493">
            <v>0</v>
          </cell>
        </row>
        <row r="1494">
          <cell r="A1494" t="str">
            <v>B1491</v>
          </cell>
          <cell r="B1494" t="e">
            <v>#N/A</v>
          </cell>
          <cell r="D1494" t="e">
            <v>#N/A</v>
          </cell>
          <cell r="F1494">
            <v>0</v>
          </cell>
          <cell r="G1494">
            <v>0</v>
          </cell>
          <cell r="I1494">
            <v>0</v>
          </cell>
        </row>
        <row r="1495">
          <cell r="A1495" t="str">
            <v>B1492</v>
          </cell>
          <cell r="B1495" t="e">
            <v>#N/A</v>
          </cell>
          <cell r="D1495" t="e">
            <v>#N/A</v>
          </cell>
          <cell r="F1495">
            <v>0</v>
          </cell>
          <cell r="G1495">
            <v>0</v>
          </cell>
          <cell r="I1495">
            <v>0</v>
          </cell>
        </row>
        <row r="1496">
          <cell r="A1496" t="str">
            <v>B1493</v>
          </cell>
          <cell r="B1496" t="e">
            <v>#N/A</v>
          </cell>
          <cell r="D1496" t="e">
            <v>#N/A</v>
          </cell>
          <cell r="F1496">
            <v>0</v>
          </cell>
          <cell r="G1496">
            <v>0</v>
          </cell>
          <cell r="I1496">
            <v>0</v>
          </cell>
        </row>
        <row r="1497">
          <cell r="A1497" t="str">
            <v>B1494</v>
          </cell>
          <cell r="B1497" t="e">
            <v>#N/A</v>
          </cell>
          <cell r="D1497" t="e">
            <v>#N/A</v>
          </cell>
          <cell r="F1497">
            <v>0</v>
          </cell>
          <cell r="G1497">
            <v>0</v>
          </cell>
          <cell r="I1497">
            <v>0</v>
          </cell>
        </row>
        <row r="1498">
          <cell r="A1498" t="str">
            <v>B1495</v>
          </cell>
          <cell r="B1498" t="e">
            <v>#N/A</v>
          </cell>
          <cell r="D1498" t="e">
            <v>#N/A</v>
          </cell>
          <cell r="F1498">
            <v>0</v>
          </cell>
          <cell r="G1498">
            <v>0</v>
          </cell>
          <cell r="I1498">
            <v>0</v>
          </cell>
        </row>
        <row r="1499">
          <cell r="A1499" t="str">
            <v>B1496</v>
          </cell>
          <cell r="B1499" t="e">
            <v>#N/A</v>
          </cell>
          <cell r="D1499" t="e">
            <v>#N/A</v>
          </cell>
          <cell r="F1499">
            <v>0</v>
          </cell>
          <cell r="G1499">
            <v>0</v>
          </cell>
          <cell r="I1499">
            <v>0</v>
          </cell>
        </row>
        <row r="1500">
          <cell r="A1500" t="str">
            <v>B1497</v>
          </cell>
          <cell r="B1500" t="e">
            <v>#N/A</v>
          </cell>
          <cell r="D1500" t="e">
            <v>#N/A</v>
          </cell>
          <cell r="F1500">
            <v>0</v>
          </cell>
          <cell r="G1500">
            <v>0</v>
          </cell>
          <cell r="I1500">
            <v>0</v>
          </cell>
        </row>
        <row r="1501">
          <cell r="A1501" t="str">
            <v>B1498</v>
          </cell>
          <cell r="B1501" t="e">
            <v>#N/A</v>
          </cell>
          <cell r="D1501" t="e">
            <v>#N/A</v>
          </cell>
          <cell r="F1501">
            <v>0</v>
          </cell>
          <cell r="G1501">
            <v>0</v>
          </cell>
          <cell r="I1501">
            <v>0</v>
          </cell>
        </row>
        <row r="1502">
          <cell r="A1502" t="str">
            <v>B1499</v>
          </cell>
          <cell r="B1502" t="e">
            <v>#N/A</v>
          </cell>
          <cell r="D1502" t="e">
            <v>#N/A</v>
          </cell>
          <cell r="F1502">
            <v>0</v>
          </cell>
          <cell r="G1502">
            <v>0</v>
          </cell>
          <cell r="I1502">
            <v>0</v>
          </cell>
        </row>
        <row r="1503">
          <cell r="A1503" t="str">
            <v>B1500</v>
          </cell>
          <cell r="B1503" t="e">
            <v>#N/A</v>
          </cell>
          <cell r="D1503" t="e">
            <v>#N/A</v>
          </cell>
          <cell r="F1503">
            <v>0</v>
          </cell>
          <cell r="G1503">
            <v>0</v>
          </cell>
          <cell r="I1503">
            <v>0</v>
          </cell>
        </row>
        <row r="1504">
          <cell r="A1504" t="str">
            <v>B1501</v>
          </cell>
          <cell r="B1504" t="e">
            <v>#N/A</v>
          </cell>
          <cell r="D1504" t="e">
            <v>#N/A</v>
          </cell>
          <cell r="F1504">
            <v>0</v>
          </cell>
          <cell r="G1504">
            <v>0</v>
          </cell>
          <cell r="I1504">
            <v>0</v>
          </cell>
        </row>
        <row r="1505">
          <cell r="A1505" t="str">
            <v>B1502</v>
          </cell>
          <cell r="B1505" t="e">
            <v>#N/A</v>
          </cell>
          <cell r="D1505" t="e">
            <v>#N/A</v>
          </cell>
          <cell r="F1505">
            <v>0</v>
          </cell>
          <cell r="G1505">
            <v>0</v>
          </cell>
          <cell r="I1505">
            <v>0</v>
          </cell>
        </row>
        <row r="1506">
          <cell r="A1506" t="str">
            <v>B1503</v>
          </cell>
          <cell r="B1506" t="e">
            <v>#N/A</v>
          </cell>
          <cell r="D1506" t="e">
            <v>#N/A</v>
          </cell>
          <cell r="F1506">
            <v>0</v>
          </cell>
          <cell r="G1506">
            <v>0</v>
          </cell>
          <cell r="I1506">
            <v>0</v>
          </cell>
        </row>
        <row r="1507">
          <cell r="A1507" t="str">
            <v>B1504</v>
          </cell>
          <cell r="B1507" t="e">
            <v>#N/A</v>
          </cell>
          <cell r="D1507" t="e">
            <v>#N/A</v>
          </cell>
          <cell r="F1507">
            <v>0</v>
          </cell>
          <cell r="G1507">
            <v>0</v>
          </cell>
          <cell r="I1507">
            <v>0</v>
          </cell>
        </row>
        <row r="1508">
          <cell r="A1508" t="str">
            <v>B1505</v>
          </cell>
          <cell r="B1508" t="e">
            <v>#N/A</v>
          </cell>
          <cell r="D1508" t="e">
            <v>#N/A</v>
          </cell>
          <cell r="F1508">
            <v>0</v>
          </cell>
          <cell r="G1508">
            <v>0</v>
          </cell>
          <cell r="I1508">
            <v>0</v>
          </cell>
        </row>
        <row r="1509">
          <cell r="A1509" t="str">
            <v>B1506</v>
          </cell>
          <cell r="B1509" t="e">
            <v>#N/A</v>
          </cell>
          <cell r="D1509" t="e">
            <v>#N/A</v>
          </cell>
          <cell r="F1509">
            <v>0</v>
          </cell>
          <cell r="G1509">
            <v>0</v>
          </cell>
          <cell r="I1509">
            <v>0</v>
          </cell>
        </row>
        <row r="1510">
          <cell r="A1510" t="str">
            <v>B1507</v>
          </cell>
          <cell r="B1510" t="e">
            <v>#N/A</v>
          </cell>
          <cell r="D1510" t="e">
            <v>#N/A</v>
          </cell>
          <cell r="F1510">
            <v>0</v>
          </cell>
          <cell r="G1510">
            <v>0</v>
          </cell>
          <cell r="I1510">
            <v>0</v>
          </cell>
        </row>
        <row r="1511">
          <cell r="A1511" t="str">
            <v>B1508</v>
          </cell>
          <cell r="B1511" t="e">
            <v>#N/A</v>
          </cell>
          <cell r="D1511" t="e">
            <v>#N/A</v>
          </cell>
          <cell r="F1511">
            <v>0</v>
          </cell>
          <cell r="G1511">
            <v>0</v>
          </cell>
          <cell r="I1511">
            <v>0</v>
          </cell>
        </row>
        <row r="1512">
          <cell r="A1512" t="str">
            <v>B1509</v>
          </cell>
          <cell r="B1512" t="e">
            <v>#N/A</v>
          </cell>
          <cell r="D1512" t="e">
            <v>#N/A</v>
          </cell>
          <cell r="F1512">
            <v>0</v>
          </cell>
          <cell r="G1512">
            <v>0</v>
          </cell>
          <cell r="I1512">
            <v>0</v>
          </cell>
        </row>
        <row r="1513">
          <cell r="A1513" t="str">
            <v>B1510</v>
          </cell>
          <cell r="B1513" t="e">
            <v>#N/A</v>
          </cell>
          <cell r="D1513" t="e">
            <v>#N/A</v>
          </cell>
          <cell r="F1513">
            <v>0</v>
          </cell>
          <cell r="G1513">
            <v>0</v>
          </cell>
          <cell r="I1513">
            <v>0</v>
          </cell>
        </row>
        <row r="1514">
          <cell r="A1514" t="str">
            <v>B1511</v>
          </cell>
          <cell r="B1514" t="e">
            <v>#N/A</v>
          </cell>
          <cell r="D1514" t="e">
            <v>#N/A</v>
          </cell>
          <cell r="F1514">
            <v>0</v>
          </cell>
          <cell r="G1514">
            <v>0</v>
          </cell>
          <cell r="I1514">
            <v>0</v>
          </cell>
        </row>
        <row r="1515">
          <cell r="A1515" t="str">
            <v>B1512</v>
          </cell>
          <cell r="B1515" t="e">
            <v>#N/A</v>
          </cell>
          <cell r="D1515" t="e">
            <v>#N/A</v>
          </cell>
          <cell r="F1515">
            <v>0</v>
          </cell>
          <cell r="G1515">
            <v>0</v>
          </cell>
          <cell r="I1515">
            <v>0</v>
          </cell>
        </row>
        <row r="1516">
          <cell r="A1516" t="str">
            <v>B1513</v>
          </cell>
          <cell r="B1516" t="e">
            <v>#N/A</v>
          </cell>
          <cell r="D1516" t="e">
            <v>#N/A</v>
          </cell>
          <cell r="F1516">
            <v>0</v>
          </cell>
          <cell r="G1516">
            <v>0</v>
          </cell>
          <cell r="I1516">
            <v>0</v>
          </cell>
        </row>
        <row r="1517">
          <cell r="A1517" t="str">
            <v>B1514</v>
          </cell>
          <cell r="B1517" t="e">
            <v>#N/A</v>
          </cell>
          <cell r="D1517" t="e">
            <v>#N/A</v>
          </cell>
          <cell r="F1517">
            <v>0</v>
          </cell>
          <cell r="G1517">
            <v>0</v>
          </cell>
          <cell r="I1517">
            <v>0</v>
          </cell>
        </row>
        <row r="1518">
          <cell r="A1518" t="str">
            <v>B1515</v>
          </cell>
          <cell r="B1518" t="e">
            <v>#N/A</v>
          </cell>
          <cell r="D1518" t="e">
            <v>#N/A</v>
          </cell>
          <cell r="F1518">
            <v>0</v>
          </cell>
          <cell r="G1518">
            <v>0</v>
          </cell>
          <cell r="I1518">
            <v>0</v>
          </cell>
        </row>
        <row r="1519">
          <cell r="A1519" t="str">
            <v>B1516</v>
          </cell>
          <cell r="B1519" t="e">
            <v>#N/A</v>
          </cell>
          <cell r="D1519" t="e">
            <v>#N/A</v>
          </cell>
          <cell r="F1519">
            <v>0</v>
          </cell>
          <cell r="G1519">
            <v>0</v>
          </cell>
          <cell r="I1519">
            <v>0</v>
          </cell>
        </row>
        <row r="1520">
          <cell r="A1520" t="str">
            <v>B1517</v>
          </cell>
          <cell r="B1520" t="e">
            <v>#N/A</v>
          </cell>
          <cell r="D1520" t="e">
            <v>#N/A</v>
          </cell>
          <cell r="F1520">
            <v>0</v>
          </cell>
          <cell r="G1520">
            <v>0</v>
          </cell>
          <cell r="I1520">
            <v>0</v>
          </cell>
        </row>
        <row r="1521">
          <cell r="A1521" t="str">
            <v>B1518</v>
          </cell>
          <cell r="B1521" t="e">
            <v>#N/A</v>
          </cell>
          <cell r="D1521" t="e">
            <v>#N/A</v>
          </cell>
          <cell r="F1521">
            <v>0</v>
          </cell>
          <cell r="G1521">
            <v>0</v>
          </cell>
          <cell r="I1521">
            <v>0</v>
          </cell>
        </row>
        <row r="1522">
          <cell r="A1522" t="str">
            <v>B1519</v>
          </cell>
          <cell r="B1522" t="e">
            <v>#N/A</v>
          </cell>
          <cell r="D1522" t="e">
            <v>#N/A</v>
          </cell>
          <cell r="F1522">
            <v>0</v>
          </cell>
          <cell r="G1522">
            <v>0</v>
          </cell>
          <cell r="I1522">
            <v>0</v>
          </cell>
        </row>
        <row r="1523">
          <cell r="A1523" t="str">
            <v>B1520</v>
          </cell>
          <cell r="B1523" t="e">
            <v>#N/A</v>
          </cell>
          <cell r="D1523" t="e">
            <v>#N/A</v>
          </cell>
          <cell r="F1523">
            <v>0</v>
          </cell>
          <cell r="G1523">
            <v>0</v>
          </cell>
          <cell r="I1523">
            <v>0</v>
          </cell>
        </row>
        <row r="1524">
          <cell r="A1524" t="str">
            <v>B1521</v>
          </cell>
          <cell r="B1524" t="e">
            <v>#N/A</v>
          </cell>
          <cell r="D1524" t="e">
            <v>#N/A</v>
          </cell>
          <cell r="F1524">
            <v>0</v>
          </cell>
          <cell r="G1524">
            <v>0</v>
          </cell>
          <cell r="I1524">
            <v>0</v>
          </cell>
        </row>
        <row r="1525">
          <cell r="A1525" t="str">
            <v>B1522</v>
          </cell>
          <cell r="B1525" t="e">
            <v>#N/A</v>
          </cell>
          <cell r="D1525" t="e">
            <v>#N/A</v>
          </cell>
          <cell r="F1525">
            <v>0</v>
          </cell>
          <cell r="G1525">
            <v>0</v>
          </cell>
          <cell r="I1525">
            <v>0</v>
          </cell>
        </row>
        <row r="1526">
          <cell r="A1526" t="str">
            <v>B1523</v>
          </cell>
          <cell r="B1526" t="e">
            <v>#N/A</v>
          </cell>
          <cell r="D1526" t="e">
            <v>#N/A</v>
          </cell>
          <cell r="F1526">
            <v>0</v>
          </cell>
          <cell r="G1526">
            <v>0</v>
          </cell>
          <cell r="I1526">
            <v>0</v>
          </cell>
        </row>
        <row r="1527">
          <cell r="A1527" t="str">
            <v>B1524</v>
          </cell>
          <cell r="B1527" t="e">
            <v>#N/A</v>
          </cell>
          <cell r="D1527" t="e">
            <v>#N/A</v>
          </cell>
          <cell r="F1527">
            <v>0</v>
          </cell>
          <cell r="G1527">
            <v>0</v>
          </cell>
          <cell r="I1527">
            <v>0</v>
          </cell>
        </row>
        <row r="1528">
          <cell r="A1528" t="str">
            <v>B1525</v>
          </cell>
          <cell r="B1528" t="e">
            <v>#N/A</v>
          </cell>
          <cell r="D1528" t="e">
            <v>#N/A</v>
          </cell>
          <cell r="F1528">
            <v>0</v>
          </cell>
          <cell r="G1528">
            <v>0</v>
          </cell>
          <cell r="I1528">
            <v>0</v>
          </cell>
        </row>
        <row r="1529">
          <cell r="A1529" t="str">
            <v>B1526</v>
          </cell>
          <cell r="B1529" t="e">
            <v>#N/A</v>
          </cell>
          <cell r="D1529" t="e">
            <v>#N/A</v>
          </cell>
          <cell r="F1529">
            <v>0</v>
          </cell>
          <cell r="G1529">
            <v>0</v>
          </cell>
          <cell r="I1529">
            <v>0</v>
          </cell>
        </row>
        <row r="1530">
          <cell r="A1530" t="str">
            <v>B1527</v>
          </cell>
          <cell r="B1530" t="e">
            <v>#N/A</v>
          </cell>
          <cell r="D1530" t="e">
            <v>#N/A</v>
          </cell>
          <cell r="F1530">
            <v>0</v>
          </cell>
          <cell r="G1530">
            <v>0</v>
          </cell>
          <cell r="I1530">
            <v>0</v>
          </cell>
        </row>
        <row r="1531">
          <cell r="A1531" t="str">
            <v>B1528</v>
          </cell>
          <cell r="B1531" t="e">
            <v>#N/A</v>
          </cell>
          <cell r="D1531" t="e">
            <v>#N/A</v>
          </cell>
          <cell r="F1531">
            <v>0</v>
          </cell>
          <cell r="G1531">
            <v>0</v>
          </cell>
          <cell r="I1531">
            <v>0</v>
          </cell>
        </row>
        <row r="1532">
          <cell r="A1532" t="str">
            <v>B1529</v>
          </cell>
          <cell r="B1532" t="e">
            <v>#N/A</v>
          </cell>
          <cell r="D1532" t="e">
            <v>#N/A</v>
          </cell>
          <cell r="F1532">
            <v>0</v>
          </cell>
          <cell r="G1532">
            <v>0</v>
          </cell>
          <cell r="I1532">
            <v>0</v>
          </cell>
        </row>
        <row r="1533">
          <cell r="A1533" t="str">
            <v>B1530</v>
          </cell>
          <cell r="B1533" t="e">
            <v>#N/A</v>
          </cell>
          <cell r="D1533" t="e">
            <v>#N/A</v>
          </cell>
          <cell r="F1533">
            <v>0</v>
          </cell>
          <cell r="G1533">
            <v>0</v>
          </cell>
          <cell r="I1533">
            <v>0</v>
          </cell>
        </row>
        <row r="1534">
          <cell r="A1534" t="str">
            <v>B1531</v>
          </cell>
          <cell r="B1534" t="e">
            <v>#N/A</v>
          </cell>
          <cell r="D1534" t="e">
            <v>#N/A</v>
          </cell>
          <cell r="F1534">
            <v>0</v>
          </cell>
          <cell r="G1534">
            <v>0</v>
          </cell>
          <cell r="I1534">
            <v>0</v>
          </cell>
        </row>
        <row r="1535">
          <cell r="A1535" t="str">
            <v>B1532</v>
          </cell>
          <cell r="B1535" t="e">
            <v>#N/A</v>
          </cell>
          <cell r="D1535" t="e">
            <v>#N/A</v>
          </cell>
          <cell r="F1535">
            <v>0</v>
          </cell>
          <cell r="G1535">
            <v>0</v>
          </cell>
          <cell r="I1535">
            <v>0</v>
          </cell>
        </row>
        <row r="1536">
          <cell r="A1536" t="str">
            <v>B1533</v>
          </cell>
          <cell r="B1536" t="e">
            <v>#N/A</v>
          </cell>
          <cell r="D1536" t="e">
            <v>#N/A</v>
          </cell>
          <cell r="F1536">
            <v>0</v>
          </cell>
          <cell r="G1536">
            <v>0</v>
          </cell>
          <cell r="I1536">
            <v>0</v>
          </cell>
        </row>
        <row r="1537">
          <cell r="A1537" t="str">
            <v>B1534</v>
          </cell>
          <cell r="B1537" t="e">
            <v>#N/A</v>
          </cell>
          <cell r="D1537" t="e">
            <v>#N/A</v>
          </cell>
          <cell r="F1537">
            <v>0</v>
          </cell>
          <cell r="G1537">
            <v>0</v>
          </cell>
          <cell r="I1537">
            <v>0</v>
          </cell>
        </row>
        <row r="1538">
          <cell r="A1538" t="str">
            <v>B1535</v>
          </cell>
          <cell r="B1538" t="e">
            <v>#N/A</v>
          </cell>
          <cell r="D1538" t="e">
            <v>#N/A</v>
          </cell>
          <cell r="F1538">
            <v>0</v>
          </cell>
          <cell r="G1538">
            <v>0</v>
          </cell>
          <cell r="I1538">
            <v>0</v>
          </cell>
        </row>
        <row r="1539">
          <cell r="A1539" t="str">
            <v>B1536</v>
          </cell>
          <cell r="B1539" t="e">
            <v>#N/A</v>
          </cell>
          <cell r="D1539" t="e">
            <v>#N/A</v>
          </cell>
          <cell r="F1539">
            <v>0</v>
          </cell>
          <cell r="G1539">
            <v>0</v>
          </cell>
          <cell r="I1539">
            <v>0</v>
          </cell>
        </row>
        <row r="1540">
          <cell r="A1540" t="str">
            <v>B1537</v>
          </cell>
          <cell r="B1540" t="e">
            <v>#N/A</v>
          </cell>
          <cell r="D1540" t="e">
            <v>#N/A</v>
          </cell>
          <cell r="F1540">
            <v>0</v>
          </cell>
          <cell r="G1540">
            <v>0</v>
          </cell>
          <cell r="I1540">
            <v>0</v>
          </cell>
        </row>
        <row r="1541">
          <cell r="A1541" t="str">
            <v>B1538</v>
          </cell>
          <cell r="B1541" t="e">
            <v>#N/A</v>
          </cell>
          <cell r="D1541" t="e">
            <v>#N/A</v>
          </cell>
          <cell r="F1541">
            <v>0</v>
          </cell>
          <cell r="G1541">
            <v>0</v>
          </cell>
          <cell r="I1541">
            <v>0</v>
          </cell>
        </row>
        <row r="1542">
          <cell r="A1542" t="str">
            <v>B1539</v>
          </cell>
          <cell r="B1542" t="e">
            <v>#N/A</v>
          </cell>
          <cell r="D1542" t="e">
            <v>#N/A</v>
          </cell>
          <cell r="F1542">
            <v>0</v>
          </cell>
          <cell r="G1542">
            <v>0</v>
          </cell>
          <cell r="I1542">
            <v>0</v>
          </cell>
        </row>
        <row r="1543">
          <cell r="A1543" t="str">
            <v>B1540</v>
          </cell>
          <cell r="B1543" t="e">
            <v>#N/A</v>
          </cell>
          <cell r="D1543" t="e">
            <v>#N/A</v>
          </cell>
          <cell r="F1543">
            <v>0</v>
          </cell>
          <cell r="G1543">
            <v>0</v>
          </cell>
          <cell r="I1543">
            <v>0</v>
          </cell>
        </row>
        <row r="1544">
          <cell r="A1544" t="str">
            <v>B1541</v>
          </cell>
          <cell r="B1544" t="e">
            <v>#N/A</v>
          </cell>
          <cell r="D1544" t="e">
            <v>#N/A</v>
          </cell>
          <cell r="F1544">
            <v>0</v>
          </cell>
          <cell r="G1544">
            <v>0</v>
          </cell>
          <cell r="I1544">
            <v>0</v>
          </cell>
        </row>
        <row r="1545">
          <cell r="A1545" t="str">
            <v>B1542</v>
          </cell>
          <cell r="B1545" t="e">
            <v>#N/A</v>
          </cell>
          <cell r="D1545" t="e">
            <v>#N/A</v>
          </cell>
          <cell r="F1545">
            <v>0</v>
          </cell>
          <cell r="G1545">
            <v>0</v>
          </cell>
          <cell r="I1545">
            <v>0</v>
          </cell>
        </row>
        <row r="1546">
          <cell r="A1546" t="str">
            <v>B1543</v>
          </cell>
          <cell r="B1546" t="e">
            <v>#N/A</v>
          </cell>
          <cell r="D1546" t="e">
            <v>#N/A</v>
          </cell>
          <cell r="F1546">
            <v>0</v>
          </cell>
          <cell r="G1546">
            <v>0</v>
          </cell>
          <cell r="I1546">
            <v>0</v>
          </cell>
        </row>
        <row r="1547">
          <cell r="A1547" t="str">
            <v>B1544</v>
          </cell>
          <cell r="B1547" t="e">
            <v>#N/A</v>
          </cell>
          <cell r="D1547" t="e">
            <v>#N/A</v>
          </cell>
          <cell r="F1547">
            <v>0</v>
          </cell>
          <cell r="G1547">
            <v>0</v>
          </cell>
          <cell r="I1547">
            <v>0</v>
          </cell>
        </row>
        <row r="1548">
          <cell r="A1548" t="str">
            <v>B1545</v>
          </cell>
          <cell r="B1548" t="e">
            <v>#N/A</v>
          </cell>
          <cell r="D1548" t="e">
            <v>#N/A</v>
          </cell>
          <cell r="F1548">
            <v>0</v>
          </cell>
          <cell r="G1548">
            <v>0</v>
          </cell>
          <cell r="I1548">
            <v>0</v>
          </cell>
        </row>
        <row r="1549">
          <cell r="A1549" t="str">
            <v>B1546</v>
          </cell>
          <cell r="B1549" t="e">
            <v>#N/A</v>
          </cell>
          <cell r="D1549" t="e">
            <v>#N/A</v>
          </cell>
          <cell r="F1549">
            <v>0</v>
          </cell>
          <cell r="G1549">
            <v>0</v>
          </cell>
          <cell r="I1549">
            <v>0</v>
          </cell>
        </row>
        <row r="1550">
          <cell r="A1550" t="str">
            <v>B1547</v>
          </cell>
          <cell r="B1550" t="e">
            <v>#N/A</v>
          </cell>
          <cell r="D1550" t="e">
            <v>#N/A</v>
          </cell>
          <cell r="F1550">
            <v>0</v>
          </cell>
          <cell r="G1550">
            <v>0</v>
          </cell>
          <cell r="I1550">
            <v>0</v>
          </cell>
        </row>
        <row r="1551">
          <cell r="A1551" t="str">
            <v>B1548</v>
          </cell>
          <cell r="B1551" t="e">
            <v>#N/A</v>
          </cell>
          <cell r="D1551" t="e">
            <v>#N/A</v>
          </cell>
          <cell r="F1551">
            <v>0</v>
          </cell>
          <cell r="G1551">
            <v>0</v>
          </cell>
          <cell r="I1551">
            <v>0</v>
          </cell>
        </row>
        <row r="1552">
          <cell r="A1552" t="str">
            <v>B1549</v>
          </cell>
          <cell r="B1552" t="e">
            <v>#N/A</v>
          </cell>
          <cell r="D1552" t="e">
            <v>#N/A</v>
          </cell>
          <cell r="F1552">
            <v>0</v>
          </cell>
          <cell r="G1552">
            <v>0</v>
          </cell>
          <cell r="I1552">
            <v>0</v>
          </cell>
        </row>
        <row r="1553">
          <cell r="A1553" t="str">
            <v>B1550</v>
          </cell>
          <cell r="B1553" t="e">
            <v>#N/A</v>
          </cell>
          <cell r="D1553" t="e">
            <v>#N/A</v>
          </cell>
          <cell r="F1553">
            <v>0</v>
          </cell>
          <cell r="G1553">
            <v>0</v>
          </cell>
          <cell r="I1553">
            <v>0</v>
          </cell>
        </row>
        <row r="1554">
          <cell r="A1554" t="str">
            <v>B1551</v>
          </cell>
          <cell r="B1554" t="e">
            <v>#N/A</v>
          </cell>
          <cell r="D1554" t="e">
            <v>#N/A</v>
          </cell>
          <cell r="F1554">
            <v>0</v>
          </cell>
          <cell r="G1554">
            <v>0</v>
          </cell>
          <cell r="I1554">
            <v>0</v>
          </cell>
        </row>
        <row r="1555">
          <cell r="A1555" t="str">
            <v>B1552</v>
          </cell>
          <cell r="B1555" t="e">
            <v>#N/A</v>
          </cell>
          <cell r="D1555" t="e">
            <v>#N/A</v>
          </cell>
          <cell r="F1555">
            <v>0</v>
          </cell>
          <cell r="G1555">
            <v>0</v>
          </cell>
          <cell r="I1555">
            <v>0</v>
          </cell>
        </row>
        <row r="1556">
          <cell r="A1556" t="str">
            <v>B1553</v>
          </cell>
          <cell r="B1556" t="e">
            <v>#N/A</v>
          </cell>
          <cell r="D1556" t="e">
            <v>#N/A</v>
          </cell>
          <cell r="F1556">
            <v>0</v>
          </cell>
          <cell r="G1556">
            <v>0</v>
          </cell>
          <cell r="I1556">
            <v>0</v>
          </cell>
        </row>
        <row r="1557">
          <cell r="A1557" t="str">
            <v>B1554</v>
          </cell>
          <cell r="B1557" t="e">
            <v>#N/A</v>
          </cell>
          <cell r="D1557" t="e">
            <v>#N/A</v>
          </cell>
          <cell r="F1557">
            <v>0</v>
          </cell>
          <cell r="G1557">
            <v>0</v>
          </cell>
          <cell r="I1557">
            <v>0</v>
          </cell>
        </row>
        <row r="1558">
          <cell r="A1558" t="str">
            <v>B1555</v>
          </cell>
          <cell r="B1558" t="e">
            <v>#N/A</v>
          </cell>
          <cell r="D1558" t="e">
            <v>#N/A</v>
          </cell>
          <cell r="F1558">
            <v>0</v>
          </cell>
          <cell r="G1558">
            <v>0</v>
          </cell>
          <cell r="I1558">
            <v>0</v>
          </cell>
        </row>
        <row r="1559">
          <cell r="A1559" t="str">
            <v>B1556</v>
          </cell>
          <cell r="B1559" t="e">
            <v>#N/A</v>
          </cell>
          <cell r="D1559" t="e">
            <v>#N/A</v>
          </cell>
          <cell r="F1559">
            <v>0</v>
          </cell>
          <cell r="G1559">
            <v>0</v>
          </cell>
          <cell r="I1559">
            <v>0</v>
          </cell>
        </row>
        <row r="1560">
          <cell r="A1560" t="str">
            <v>B1557</v>
          </cell>
          <cell r="B1560" t="e">
            <v>#N/A</v>
          </cell>
          <cell r="D1560" t="e">
            <v>#N/A</v>
          </cell>
          <cell r="F1560">
            <v>0</v>
          </cell>
          <cell r="G1560">
            <v>0</v>
          </cell>
          <cell r="I1560">
            <v>0</v>
          </cell>
        </row>
        <row r="1561">
          <cell r="A1561" t="str">
            <v>B1558</v>
          </cell>
          <cell r="B1561" t="e">
            <v>#N/A</v>
          </cell>
          <cell r="D1561" t="e">
            <v>#N/A</v>
          </cell>
          <cell r="F1561">
            <v>0</v>
          </cell>
          <cell r="G1561">
            <v>0</v>
          </cell>
          <cell r="I1561">
            <v>0</v>
          </cell>
        </row>
        <row r="1562">
          <cell r="A1562" t="str">
            <v>B1559</v>
          </cell>
          <cell r="B1562" t="e">
            <v>#N/A</v>
          </cell>
          <cell r="D1562" t="e">
            <v>#N/A</v>
          </cell>
          <cell r="F1562">
            <v>0</v>
          </cell>
          <cell r="G1562">
            <v>0</v>
          </cell>
          <cell r="I1562">
            <v>0</v>
          </cell>
        </row>
        <row r="1563">
          <cell r="A1563" t="str">
            <v>B1560</v>
          </cell>
          <cell r="B1563" t="e">
            <v>#N/A</v>
          </cell>
          <cell r="D1563" t="e">
            <v>#N/A</v>
          </cell>
          <cell r="F1563">
            <v>0</v>
          </cell>
          <cell r="G1563">
            <v>0</v>
          </cell>
          <cell r="I1563">
            <v>0</v>
          </cell>
        </row>
        <row r="1564">
          <cell r="A1564" t="str">
            <v>B1561</v>
          </cell>
          <cell r="B1564" t="e">
            <v>#N/A</v>
          </cell>
          <cell r="D1564" t="e">
            <v>#N/A</v>
          </cell>
          <cell r="F1564">
            <v>0</v>
          </cell>
          <cell r="G1564">
            <v>0</v>
          </cell>
          <cell r="I1564">
            <v>0</v>
          </cell>
        </row>
        <row r="1565">
          <cell r="A1565" t="str">
            <v>B1562</v>
          </cell>
          <cell r="B1565" t="e">
            <v>#N/A</v>
          </cell>
          <cell r="D1565" t="e">
            <v>#N/A</v>
          </cell>
          <cell r="F1565">
            <v>0</v>
          </cell>
          <cell r="G1565">
            <v>0</v>
          </cell>
          <cell r="I1565">
            <v>0</v>
          </cell>
        </row>
        <row r="1566">
          <cell r="A1566" t="str">
            <v>B1563</v>
          </cell>
          <cell r="B1566" t="e">
            <v>#N/A</v>
          </cell>
          <cell r="D1566" t="e">
            <v>#N/A</v>
          </cell>
          <cell r="F1566">
            <v>0</v>
          </cell>
          <cell r="G1566">
            <v>0</v>
          </cell>
          <cell r="I1566">
            <v>0</v>
          </cell>
        </row>
        <row r="1567">
          <cell r="A1567" t="str">
            <v>B1564</v>
          </cell>
          <cell r="B1567" t="e">
            <v>#N/A</v>
          </cell>
          <cell r="D1567" t="e">
            <v>#N/A</v>
          </cell>
          <cell r="F1567">
            <v>0</v>
          </cell>
          <cell r="G1567">
            <v>0</v>
          </cell>
          <cell r="I1567">
            <v>0</v>
          </cell>
        </row>
        <row r="1568">
          <cell r="A1568" t="str">
            <v>B1565</v>
          </cell>
          <cell r="B1568" t="e">
            <v>#N/A</v>
          </cell>
          <cell r="D1568" t="e">
            <v>#N/A</v>
          </cell>
          <cell r="F1568">
            <v>0</v>
          </cell>
          <cell r="G1568">
            <v>0</v>
          </cell>
          <cell r="I1568">
            <v>0</v>
          </cell>
        </row>
        <row r="1569">
          <cell r="A1569" t="str">
            <v>B1566</v>
          </cell>
          <cell r="B1569" t="e">
            <v>#N/A</v>
          </cell>
          <cell r="D1569" t="e">
            <v>#N/A</v>
          </cell>
          <cell r="F1569">
            <v>0</v>
          </cell>
          <cell r="G1569">
            <v>0</v>
          </cell>
          <cell r="I1569">
            <v>0</v>
          </cell>
        </row>
        <row r="1570">
          <cell r="A1570" t="str">
            <v>B1567</v>
          </cell>
          <cell r="B1570" t="e">
            <v>#N/A</v>
          </cell>
          <cell r="D1570" t="e">
            <v>#N/A</v>
          </cell>
          <cell r="F1570">
            <v>0</v>
          </cell>
          <cell r="G1570">
            <v>0</v>
          </cell>
          <cell r="I1570">
            <v>0</v>
          </cell>
        </row>
        <row r="1571">
          <cell r="A1571" t="str">
            <v>B1568</v>
          </cell>
          <cell r="B1571" t="e">
            <v>#N/A</v>
          </cell>
          <cell r="D1571" t="e">
            <v>#N/A</v>
          </cell>
          <cell r="F1571">
            <v>0</v>
          </cell>
          <cell r="G1571">
            <v>0</v>
          </cell>
          <cell r="I1571">
            <v>0</v>
          </cell>
        </row>
        <row r="1572">
          <cell r="A1572" t="str">
            <v>B1569</v>
          </cell>
          <cell r="B1572" t="e">
            <v>#N/A</v>
          </cell>
          <cell r="D1572" t="e">
            <v>#N/A</v>
          </cell>
          <cell r="F1572">
            <v>0</v>
          </cell>
          <cell r="G1572">
            <v>0</v>
          </cell>
          <cell r="I1572">
            <v>0</v>
          </cell>
        </row>
        <row r="1573">
          <cell r="A1573" t="str">
            <v>B1570</v>
          </cell>
          <cell r="B1573" t="e">
            <v>#N/A</v>
          </cell>
          <cell r="D1573" t="e">
            <v>#N/A</v>
          </cell>
          <cell r="F1573">
            <v>0</v>
          </cell>
          <cell r="G1573">
            <v>0</v>
          </cell>
          <cell r="I1573">
            <v>0</v>
          </cell>
        </row>
        <row r="1574">
          <cell r="A1574" t="str">
            <v>B1571</v>
          </cell>
          <cell r="B1574" t="e">
            <v>#N/A</v>
          </cell>
          <cell r="D1574" t="e">
            <v>#N/A</v>
          </cell>
          <cell r="F1574">
            <v>0</v>
          </cell>
          <cell r="G1574">
            <v>0</v>
          </cell>
          <cell r="I1574">
            <v>0</v>
          </cell>
        </row>
        <row r="1575">
          <cell r="A1575" t="str">
            <v>B1572</v>
          </cell>
          <cell r="B1575" t="e">
            <v>#N/A</v>
          </cell>
          <cell r="D1575" t="e">
            <v>#N/A</v>
          </cell>
          <cell r="F1575">
            <v>0</v>
          </cell>
          <cell r="G1575">
            <v>0</v>
          </cell>
          <cell r="I1575">
            <v>0</v>
          </cell>
        </row>
        <row r="1576">
          <cell r="A1576" t="str">
            <v>B1573</v>
          </cell>
          <cell r="B1576" t="e">
            <v>#N/A</v>
          </cell>
          <cell r="D1576" t="e">
            <v>#N/A</v>
          </cell>
          <cell r="F1576">
            <v>0</v>
          </cell>
          <cell r="G1576">
            <v>0</v>
          </cell>
          <cell r="I1576">
            <v>0</v>
          </cell>
        </row>
        <row r="1577">
          <cell r="A1577" t="str">
            <v>B1574</v>
          </cell>
          <cell r="B1577" t="e">
            <v>#N/A</v>
          </cell>
          <cell r="D1577" t="e">
            <v>#N/A</v>
          </cell>
          <cell r="F1577">
            <v>0</v>
          </cell>
          <cell r="G1577">
            <v>0</v>
          </cell>
          <cell r="I1577">
            <v>0</v>
          </cell>
        </row>
        <row r="1578">
          <cell r="A1578" t="str">
            <v>B1575</v>
          </cell>
          <cell r="B1578" t="e">
            <v>#N/A</v>
          </cell>
          <cell r="D1578" t="e">
            <v>#N/A</v>
          </cell>
          <cell r="F1578">
            <v>0</v>
          </cell>
          <cell r="G1578">
            <v>0</v>
          </cell>
          <cell r="I1578">
            <v>0</v>
          </cell>
        </row>
        <row r="1579">
          <cell r="A1579" t="str">
            <v>B1576</v>
          </cell>
          <cell r="B1579" t="e">
            <v>#N/A</v>
          </cell>
          <cell r="D1579" t="e">
            <v>#N/A</v>
          </cell>
          <cell r="F1579">
            <v>0</v>
          </cell>
          <cell r="G1579">
            <v>0</v>
          </cell>
          <cell r="I1579">
            <v>0</v>
          </cell>
        </row>
        <row r="1580">
          <cell r="A1580" t="str">
            <v>B1577</v>
          </cell>
          <cell r="B1580" t="e">
            <v>#N/A</v>
          </cell>
          <cell r="D1580" t="e">
            <v>#N/A</v>
          </cell>
          <cell r="F1580">
            <v>0</v>
          </cell>
          <cell r="G1580">
            <v>0</v>
          </cell>
          <cell r="I1580">
            <v>0</v>
          </cell>
        </row>
        <row r="1581">
          <cell r="A1581" t="str">
            <v>B1578</v>
          </cell>
          <cell r="B1581" t="e">
            <v>#N/A</v>
          </cell>
          <cell r="D1581" t="e">
            <v>#N/A</v>
          </cell>
          <cell r="F1581">
            <v>0</v>
          </cell>
          <cell r="G1581">
            <v>0</v>
          </cell>
          <cell r="I1581">
            <v>0</v>
          </cell>
        </row>
        <row r="1582">
          <cell r="A1582" t="str">
            <v>B1579</v>
          </cell>
          <cell r="B1582" t="e">
            <v>#N/A</v>
          </cell>
          <cell r="D1582" t="e">
            <v>#N/A</v>
          </cell>
          <cell r="F1582">
            <v>0</v>
          </cell>
          <cell r="G1582">
            <v>0</v>
          </cell>
          <cell r="I1582">
            <v>0</v>
          </cell>
        </row>
        <row r="1583">
          <cell r="A1583" t="str">
            <v>B1580</v>
          </cell>
          <cell r="B1583" t="e">
            <v>#N/A</v>
          </cell>
          <cell r="D1583" t="e">
            <v>#N/A</v>
          </cell>
          <cell r="F1583">
            <v>0</v>
          </cell>
          <cell r="G1583">
            <v>0</v>
          </cell>
          <cell r="I1583">
            <v>0</v>
          </cell>
        </row>
        <row r="1584">
          <cell r="A1584" t="str">
            <v>B1581</v>
          </cell>
          <cell r="B1584" t="e">
            <v>#N/A</v>
          </cell>
          <cell r="D1584" t="e">
            <v>#N/A</v>
          </cell>
          <cell r="F1584">
            <v>0</v>
          </cell>
          <cell r="G1584">
            <v>0</v>
          </cell>
          <cell r="I1584">
            <v>0</v>
          </cell>
        </row>
        <row r="1585">
          <cell r="A1585" t="str">
            <v>B1582</v>
          </cell>
          <cell r="B1585" t="e">
            <v>#N/A</v>
          </cell>
          <cell r="D1585" t="e">
            <v>#N/A</v>
          </cell>
          <cell r="F1585">
            <v>0</v>
          </cell>
          <cell r="G1585">
            <v>0</v>
          </cell>
          <cell r="I1585">
            <v>0</v>
          </cell>
        </row>
        <row r="1586">
          <cell r="A1586" t="str">
            <v>B1583</v>
          </cell>
          <cell r="B1586" t="e">
            <v>#N/A</v>
          </cell>
          <cell r="D1586" t="e">
            <v>#N/A</v>
          </cell>
          <cell r="F1586">
            <v>0</v>
          </cell>
          <cell r="G1586">
            <v>0</v>
          </cell>
          <cell r="I1586">
            <v>0</v>
          </cell>
        </row>
        <row r="1587">
          <cell r="A1587" t="str">
            <v>B1584</v>
          </cell>
          <cell r="B1587" t="e">
            <v>#N/A</v>
          </cell>
          <cell r="D1587" t="e">
            <v>#N/A</v>
          </cell>
          <cell r="F1587">
            <v>0</v>
          </cell>
          <cell r="G1587">
            <v>0</v>
          </cell>
          <cell r="I1587">
            <v>0</v>
          </cell>
        </row>
        <row r="1588">
          <cell r="A1588" t="str">
            <v>B1585</v>
          </cell>
          <cell r="B1588" t="e">
            <v>#N/A</v>
          </cell>
          <cell r="D1588" t="e">
            <v>#N/A</v>
          </cell>
          <cell r="F1588">
            <v>0</v>
          </cell>
          <cell r="G1588">
            <v>0</v>
          </cell>
          <cell r="I1588">
            <v>0</v>
          </cell>
        </row>
        <row r="1589">
          <cell r="A1589" t="str">
            <v>B1586</v>
          </cell>
          <cell r="B1589" t="e">
            <v>#N/A</v>
          </cell>
          <cell r="D1589" t="e">
            <v>#N/A</v>
          </cell>
          <cell r="F1589">
            <v>0</v>
          </cell>
          <cell r="G1589">
            <v>0</v>
          </cell>
          <cell r="I1589">
            <v>0</v>
          </cell>
        </row>
        <row r="1590">
          <cell r="A1590" t="str">
            <v>B1587</v>
          </cell>
          <cell r="B1590" t="e">
            <v>#N/A</v>
          </cell>
          <cell r="D1590" t="e">
            <v>#N/A</v>
          </cell>
          <cell r="F1590">
            <v>0</v>
          </cell>
          <cell r="G1590">
            <v>0</v>
          </cell>
          <cell r="I1590">
            <v>0</v>
          </cell>
        </row>
        <row r="1591">
          <cell r="A1591" t="str">
            <v>B1588</v>
          </cell>
          <cell r="B1591" t="e">
            <v>#N/A</v>
          </cell>
          <cell r="D1591" t="e">
            <v>#N/A</v>
          </cell>
          <cell r="F1591">
            <v>0</v>
          </cell>
          <cell r="G1591">
            <v>0</v>
          </cell>
          <cell r="I1591">
            <v>0</v>
          </cell>
        </row>
        <row r="1592">
          <cell r="A1592" t="str">
            <v>B1589</v>
          </cell>
          <cell r="B1592" t="e">
            <v>#N/A</v>
          </cell>
          <cell r="D1592" t="e">
            <v>#N/A</v>
          </cell>
          <cell r="F1592">
            <v>0</v>
          </cell>
          <cell r="G1592">
            <v>0</v>
          </cell>
          <cell r="I1592">
            <v>0</v>
          </cell>
        </row>
        <row r="1593">
          <cell r="A1593" t="str">
            <v>B1590</v>
          </cell>
          <cell r="B1593" t="e">
            <v>#N/A</v>
          </cell>
          <cell r="D1593" t="e">
            <v>#N/A</v>
          </cell>
          <cell r="F1593">
            <v>0</v>
          </cell>
          <cell r="G1593">
            <v>0</v>
          </cell>
          <cell r="I1593">
            <v>0</v>
          </cell>
        </row>
        <row r="1594">
          <cell r="A1594" t="str">
            <v>B1591</v>
          </cell>
          <cell r="B1594" t="e">
            <v>#N/A</v>
          </cell>
          <cell r="D1594" t="e">
            <v>#N/A</v>
          </cell>
          <cell r="F1594">
            <v>0</v>
          </cell>
          <cell r="G1594">
            <v>0</v>
          </cell>
          <cell r="I1594">
            <v>0</v>
          </cell>
        </row>
        <row r="1595">
          <cell r="A1595" t="str">
            <v>B1592</v>
          </cell>
          <cell r="B1595" t="e">
            <v>#N/A</v>
          </cell>
          <cell r="D1595" t="e">
            <v>#N/A</v>
          </cell>
          <cell r="F1595">
            <v>0</v>
          </cell>
          <cell r="G1595">
            <v>0</v>
          </cell>
          <cell r="I1595">
            <v>0</v>
          </cell>
        </row>
        <row r="1596">
          <cell r="A1596" t="str">
            <v>B1593</v>
          </cell>
          <cell r="B1596" t="e">
            <v>#N/A</v>
          </cell>
          <cell r="D1596" t="e">
            <v>#N/A</v>
          </cell>
          <cell r="F1596">
            <v>0</v>
          </cell>
          <cell r="G1596">
            <v>0</v>
          </cell>
          <cell r="I1596">
            <v>0</v>
          </cell>
        </row>
        <row r="1597">
          <cell r="A1597" t="str">
            <v>B1594</v>
          </cell>
          <cell r="B1597" t="e">
            <v>#N/A</v>
          </cell>
          <cell r="D1597" t="e">
            <v>#N/A</v>
          </cell>
          <cell r="F1597">
            <v>0</v>
          </cell>
          <cell r="G1597">
            <v>0</v>
          </cell>
          <cell r="I1597">
            <v>0</v>
          </cell>
        </row>
        <row r="1598">
          <cell r="A1598" t="str">
            <v>B1595</v>
          </cell>
          <cell r="B1598" t="e">
            <v>#N/A</v>
          </cell>
          <cell r="D1598" t="e">
            <v>#N/A</v>
          </cell>
          <cell r="F1598">
            <v>0</v>
          </cell>
          <cell r="G1598">
            <v>0</v>
          </cell>
          <cell r="I1598">
            <v>0</v>
          </cell>
        </row>
        <row r="1599">
          <cell r="A1599" t="str">
            <v>B1596</v>
          </cell>
          <cell r="B1599" t="e">
            <v>#N/A</v>
          </cell>
          <cell r="D1599" t="e">
            <v>#N/A</v>
          </cell>
          <cell r="F1599">
            <v>0</v>
          </cell>
          <cell r="G1599">
            <v>0</v>
          </cell>
          <cell r="I1599">
            <v>0</v>
          </cell>
        </row>
        <row r="1600">
          <cell r="A1600" t="str">
            <v>B1597</v>
          </cell>
          <cell r="B1600" t="e">
            <v>#N/A</v>
          </cell>
          <cell r="D1600" t="e">
            <v>#N/A</v>
          </cell>
          <cell r="F1600">
            <v>0</v>
          </cell>
          <cell r="G1600">
            <v>0</v>
          </cell>
          <cell r="I1600">
            <v>0</v>
          </cell>
        </row>
        <row r="1601">
          <cell r="A1601" t="str">
            <v>B1598</v>
          </cell>
          <cell r="B1601" t="e">
            <v>#N/A</v>
          </cell>
          <cell r="D1601" t="e">
            <v>#N/A</v>
          </cell>
          <cell r="F1601">
            <v>0</v>
          </cell>
          <cell r="G1601">
            <v>0</v>
          </cell>
          <cell r="I1601">
            <v>0</v>
          </cell>
        </row>
        <row r="1602">
          <cell r="A1602" t="str">
            <v>B1599</v>
          </cell>
          <cell r="B1602" t="e">
            <v>#N/A</v>
          </cell>
          <cell r="D1602" t="e">
            <v>#N/A</v>
          </cell>
          <cell r="F1602">
            <v>0</v>
          </cell>
          <cell r="G1602">
            <v>0</v>
          </cell>
          <cell r="I1602">
            <v>0</v>
          </cell>
        </row>
        <row r="1603">
          <cell r="A1603" t="str">
            <v>B1600</v>
          </cell>
          <cell r="B1603" t="e">
            <v>#N/A</v>
          </cell>
          <cell r="D1603" t="e">
            <v>#N/A</v>
          </cell>
          <cell r="F1603">
            <v>0</v>
          </cell>
          <cell r="G1603">
            <v>0</v>
          </cell>
          <cell r="I1603">
            <v>0</v>
          </cell>
        </row>
        <row r="1604">
          <cell r="A1604" t="str">
            <v>B1601</v>
          </cell>
          <cell r="B1604" t="e">
            <v>#N/A</v>
          </cell>
          <cell r="D1604" t="e">
            <v>#N/A</v>
          </cell>
          <cell r="F1604">
            <v>0</v>
          </cell>
          <cell r="G1604">
            <v>0</v>
          </cell>
          <cell r="I1604">
            <v>0</v>
          </cell>
        </row>
        <row r="1605">
          <cell r="A1605" t="str">
            <v>B1602</v>
          </cell>
          <cell r="B1605" t="e">
            <v>#N/A</v>
          </cell>
          <cell r="D1605" t="e">
            <v>#N/A</v>
          </cell>
          <cell r="F1605">
            <v>0</v>
          </cell>
          <cell r="G1605">
            <v>0</v>
          </cell>
          <cell r="I1605">
            <v>0</v>
          </cell>
        </row>
        <row r="1606">
          <cell r="A1606" t="str">
            <v>B1603</v>
          </cell>
          <cell r="B1606" t="e">
            <v>#N/A</v>
          </cell>
          <cell r="D1606" t="e">
            <v>#N/A</v>
          </cell>
          <cell r="F1606">
            <v>0</v>
          </cell>
          <cell r="G1606">
            <v>0</v>
          </cell>
          <cell r="I1606">
            <v>0</v>
          </cell>
        </row>
        <row r="1607">
          <cell r="A1607" t="str">
            <v>B1604</v>
          </cell>
          <cell r="B1607" t="e">
            <v>#N/A</v>
          </cell>
          <cell r="D1607" t="e">
            <v>#N/A</v>
          </cell>
          <cell r="F1607">
            <v>0</v>
          </cell>
          <cell r="G1607">
            <v>0</v>
          </cell>
          <cell r="I1607">
            <v>0</v>
          </cell>
        </row>
        <row r="1608">
          <cell r="A1608" t="str">
            <v>B1605</v>
          </cell>
          <cell r="B1608" t="e">
            <v>#N/A</v>
          </cell>
          <cell r="D1608" t="e">
            <v>#N/A</v>
          </cell>
          <cell r="F1608">
            <v>0</v>
          </cell>
          <cell r="G1608">
            <v>0</v>
          </cell>
          <cell r="I1608">
            <v>0</v>
          </cell>
        </row>
        <row r="1609">
          <cell r="A1609" t="str">
            <v>B1606</v>
          </cell>
          <cell r="B1609" t="e">
            <v>#N/A</v>
          </cell>
          <cell r="D1609" t="e">
            <v>#N/A</v>
          </cell>
          <cell r="F1609">
            <v>0</v>
          </cell>
          <cell r="G1609">
            <v>0</v>
          </cell>
          <cell r="I1609">
            <v>0</v>
          </cell>
        </row>
        <row r="1610">
          <cell r="A1610" t="str">
            <v>B1607</v>
          </cell>
          <cell r="B1610" t="e">
            <v>#N/A</v>
          </cell>
          <cell r="D1610" t="e">
            <v>#N/A</v>
          </cell>
          <cell r="F1610">
            <v>0</v>
          </cell>
          <cell r="G1610">
            <v>0</v>
          </cell>
          <cell r="I1610">
            <v>0</v>
          </cell>
        </row>
        <row r="1611">
          <cell r="A1611" t="str">
            <v>B1608</v>
          </cell>
          <cell r="B1611" t="e">
            <v>#N/A</v>
          </cell>
          <cell r="D1611" t="e">
            <v>#N/A</v>
          </cell>
          <cell r="F1611">
            <v>0</v>
          </cell>
          <cell r="G1611">
            <v>0</v>
          </cell>
          <cell r="I1611">
            <v>0</v>
          </cell>
        </row>
        <row r="1612">
          <cell r="A1612" t="str">
            <v>B1609</v>
          </cell>
          <cell r="B1612" t="e">
            <v>#N/A</v>
          </cell>
          <cell r="D1612" t="e">
            <v>#N/A</v>
          </cell>
          <cell r="F1612">
            <v>0</v>
          </cell>
          <cell r="G1612">
            <v>0</v>
          </cell>
          <cell r="I1612">
            <v>0</v>
          </cell>
        </row>
        <row r="1613">
          <cell r="A1613" t="str">
            <v>B1610</v>
          </cell>
          <cell r="B1613" t="e">
            <v>#N/A</v>
          </cell>
          <cell r="D1613" t="e">
            <v>#N/A</v>
          </cell>
          <cell r="F1613">
            <v>0</v>
          </cell>
          <cell r="G1613">
            <v>0</v>
          </cell>
          <cell r="I1613">
            <v>0</v>
          </cell>
        </row>
        <row r="1614">
          <cell r="A1614" t="str">
            <v>B1611</v>
          </cell>
          <cell r="B1614" t="e">
            <v>#N/A</v>
          </cell>
          <cell r="D1614" t="e">
            <v>#N/A</v>
          </cell>
          <cell r="F1614">
            <v>0</v>
          </cell>
          <cell r="G1614">
            <v>0</v>
          </cell>
          <cell r="I1614">
            <v>0</v>
          </cell>
        </row>
        <row r="1615">
          <cell r="A1615" t="str">
            <v>B1612</v>
          </cell>
          <cell r="B1615" t="e">
            <v>#N/A</v>
          </cell>
          <cell r="D1615" t="e">
            <v>#N/A</v>
          </cell>
          <cell r="F1615">
            <v>0</v>
          </cell>
          <cell r="G1615">
            <v>0</v>
          </cell>
          <cell r="I1615">
            <v>0</v>
          </cell>
        </row>
        <row r="1616">
          <cell r="A1616" t="str">
            <v>B1613</v>
          </cell>
          <cell r="B1616" t="e">
            <v>#N/A</v>
          </cell>
          <cell r="D1616" t="e">
            <v>#N/A</v>
          </cell>
          <cell r="F1616">
            <v>0</v>
          </cell>
          <cell r="G1616">
            <v>0</v>
          </cell>
          <cell r="I1616">
            <v>0</v>
          </cell>
        </row>
        <row r="1617">
          <cell r="A1617" t="str">
            <v>B1614</v>
          </cell>
          <cell r="B1617" t="e">
            <v>#N/A</v>
          </cell>
          <cell r="D1617" t="e">
            <v>#N/A</v>
          </cell>
          <cell r="F1617">
            <v>0</v>
          </cell>
          <cell r="G1617">
            <v>0</v>
          </cell>
          <cell r="I1617">
            <v>0</v>
          </cell>
        </row>
        <row r="1618">
          <cell r="A1618" t="str">
            <v>B1615</v>
          </cell>
          <cell r="B1618" t="e">
            <v>#N/A</v>
          </cell>
          <cell r="D1618" t="e">
            <v>#N/A</v>
          </cell>
          <cell r="F1618">
            <v>0</v>
          </cell>
          <cell r="G1618">
            <v>0</v>
          </cell>
          <cell r="I1618">
            <v>0</v>
          </cell>
        </row>
        <row r="1619">
          <cell r="A1619" t="str">
            <v>B1616</v>
          </cell>
          <cell r="B1619" t="e">
            <v>#N/A</v>
          </cell>
          <cell r="D1619" t="e">
            <v>#N/A</v>
          </cell>
          <cell r="F1619">
            <v>0</v>
          </cell>
          <cell r="G1619">
            <v>0</v>
          </cell>
          <cell r="I1619">
            <v>0</v>
          </cell>
        </row>
        <row r="1620">
          <cell r="A1620" t="str">
            <v>B1617</v>
          </cell>
          <cell r="B1620" t="e">
            <v>#N/A</v>
          </cell>
          <cell r="D1620" t="e">
            <v>#N/A</v>
          </cell>
          <cell r="F1620">
            <v>0</v>
          </cell>
          <cell r="G1620">
            <v>0</v>
          </cell>
          <cell r="I1620">
            <v>0</v>
          </cell>
        </row>
        <row r="1621">
          <cell r="A1621" t="str">
            <v>B1618</v>
          </cell>
          <cell r="B1621" t="e">
            <v>#N/A</v>
          </cell>
          <cell r="D1621" t="e">
            <v>#N/A</v>
          </cell>
          <cell r="F1621">
            <v>0</v>
          </cell>
          <cell r="G1621">
            <v>0</v>
          </cell>
          <cell r="I1621">
            <v>0</v>
          </cell>
        </row>
        <row r="1622">
          <cell r="A1622" t="str">
            <v>B1619</v>
          </cell>
          <cell r="B1622" t="e">
            <v>#N/A</v>
          </cell>
          <cell r="D1622" t="e">
            <v>#N/A</v>
          </cell>
          <cell r="F1622">
            <v>0</v>
          </cell>
          <cell r="G1622">
            <v>0</v>
          </cell>
          <cell r="I1622">
            <v>0</v>
          </cell>
        </row>
        <row r="1623">
          <cell r="A1623" t="str">
            <v>B1620</v>
          </cell>
          <cell r="B1623" t="e">
            <v>#N/A</v>
          </cell>
          <cell r="D1623" t="e">
            <v>#N/A</v>
          </cell>
          <cell r="F1623">
            <v>0</v>
          </cell>
          <cell r="G1623">
            <v>0</v>
          </cell>
          <cell r="I1623">
            <v>0</v>
          </cell>
        </row>
        <row r="1624">
          <cell r="A1624" t="str">
            <v>B1621</v>
          </cell>
          <cell r="B1624" t="e">
            <v>#N/A</v>
          </cell>
          <cell r="D1624" t="e">
            <v>#N/A</v>
          </cell>
          <cell r="F1624">
            <v>0</v>
          </cell>
          <cell r="G1624">
            <v>0</v>
          </cell>
          <cell r="I1624">
            <v>0</v>
          </cell>
        </row>
        <row r="1625">
          <cell r="A1625" t="str">
            <v>B1622</v>
          </cell>
          <cell r="B1625" t="e">
            <v>#N/A</v>
          </cell>
          <cell r="D1625" t="e">
            <v>#N/A</v>
          </cell>
          <cell r="F1625">
            <v>0</v>
          </cell>
          <cell r="G1625">
            <v>0</v>
          </cell>
          <cell r="I1625">
            <v>0</v>
          </cell>
        </row>
        <row r="1626">
          <cell r="A1626" t="str">
            <v>B1623</v>
          </cell>
          <cell r="B1626" t="e">
            <v>#N/A</v>
          </cell>
          <cell r="D1626" t="e">
            <v>#N/A</v>
          </cell>
          <cell r="F1626">
            <v>0</v>
          </cell>
          <cell r="G1626">
            <v>0</v>
          </cell>
          <cell r="I1626">
            <v>0</v>
          </cell>
        </row>
        <row r="1627">
          <cell r="A1627" t="str">
            <v>B1624</v>
          </cell>
          <cell r="B1627" t="e">
            <v>#N/A</v>
          </cell>
          <cell r="D1627" t="e">
            <v>#N/A</v>
          </cell>
          <cell r="F1627">
            <v>0</v>
          </cell>
          <cell r="G1627">
            <v>0</v>
          </cell>
          <cell r="I1627">
            <v>0</v>
          </cell>
        </row>
        <row r="1628">
          <cell r="A1628" t="str">
            <v>B1625</v>
          </cell>
          <cell r="B1628" t="e">
            <v>#N/A</v>
          </cell>
          <cell r="D1628" t="e">
            <v>#N/A</v>
          </cell>
          <cell r="F1628">
            <v>0</v>
          </cell>
          <cell r="G1628">
            <v>0</v>
          </cell>
          <cell r="I1628">
            <v>0</v>
          </cell>
        </row>
        <row r="1629">
          <cell r="A1629" t="str">
            <v>B1626</v>
          </cell>
          <cell r="B1629" t="e">
            <v>#N/A</v>
          </cell>
          <cell r="D1629" t="e">
            <v>#N/A</v>
          </cell>
          <cell r="F1629">
            <v>0</v>
          </cell>
          <cell r="G1629">
            <v>0</v>
          </cell>
          <cell r="I1629">
            <v>0</v>
          </cell>
        </row>
        <row r="1630">
          <cell r="A1630" t="str">
            <v>B1627</v>
          </cell>
          <cell r="B1630" t="e">
            <v>#N/A</v>
          </cell>
          <cell r="D1630" t="e">
            <v>#N/A</v>
          </cell>
          <cell r="F1630">
            <v>0</v>
          </cell>
          <cell r="G1630">
            <v>0</v>
          </cell>
          <cell r="I1630">
            <v>0</v>
          </cell>
        </row>
        <row r="1631">
          <cell r="A1631" t="str">
            <v>B1628</v>
          </cell>
          <cell r="B1631" t="e">
            <v>#N/A</v>
          </cell>
          <cell r="D1631" t="e">
            <v>#N/A</v>
          </cell>
          <cell r="F1631">
            <v>0</v>
          </cell>
          <cell r="G1631">
            <v>0</v>
          </cell>
          <cell r="I1631">
            <v>0</v>
          </cell>
        </row>
        <row r="1632">
          <cell r="A1632" t="str">
            <v>B1629</v>
          </cell>
          <cell r="B1632" t="e">
            <v>#N/A</v>
          </cell>
          <cell r="D1632" t="e">
            <v>#N/A</v>
          </cell>
          <cell r="F1632">
            <v>0</v>
          </cell>
          <cell r="G1632">
            <v>0</v>
          </cell>
          <cell r="I1632">
            <v>0</v>
          </cell>
        </row>
        <row r="1633">
          <cell r="A1633" t="str">
            <v>B1630</v>
          </cell>
          <cell r="B1633" t="e">
            <v>#N/A</v>
          </cell>
          <cell r="D1633" t="e">
            <v>#N/A</v>
          </cell>
          <cell r="F1633">
            <v>0</v>
          </cell>
          <cell r="G1633">
            <v>0</v>
          </cell>
          <cell r="I1633">
            <v>0</v>
          </cell>
        </row>
        <row r="1634">
          <cell r="A1634" t="str">
            <v>B1631</v>
          </cell>
          <cell r="B1634" t="e">
            <v>#N/A</v>
          </cell>
          <cell r="D1634" t="e">
            <v>#N/A</v>
          </cell>
          <cell r="F1634">
            <v>0</v>
          </cell>
          <cell r="G1634">
            <v>0</v>
          </cell>
          <cell r="I1634">
            <v>0</v>
          </cell>
        </row>
        <row r="1635">
          <cell r="A1635" t="str">
            <v>B1632</v>
          </cell>
          <cell r="B1635" t="e">
            <v>#N/A</v>
          </cell>
          <cell r="D1635" t="e">
            <v>#N/A</v>
          </cell>
          <cell r="F1635">
            <v>0</v>
          </cell>
          <cell r="G1635">
            <v>0</v>
          </cell>
          <cell r="I1635">
            <v>0</v>
          </cell>
        </row>
        <row r="1636">
          <cell r="A1636" t="str">
            <v>B1633</v>
          </cell>
          <cell r="B1636" t="e">
            <v>#N/A</v>
          </cell>
          <cell r="D1636" t="e">
            <v>#N/A</v>
          </cell>
          <cell r="F1636">
            <v>0</v>
          </cell>
          <cell r="G1636">
            <v>0</v>
          </cell>
          <cell r="I1636">
            <v>0</v>
          </cell>
        </row>
        <row r="1637">
          <cell r="A1637" t="str">
            <v>B1634</v>
          </cell>
          <cell r="B1637" t="e">
            <v>#N/A</v>
          </cell>
          <cell r="D1637" t="e">
            <v>#N/A</v>
          </cell>
          <cell r="F1637">
            <v>0</v>
          </cell>
          <cell r="G1637">
            <v>0</v>
          </cell>
          <cell r="I1637">
            <v>0</v>
          </cell>
        </row>
        <row r="1638">
          <cell r="A1638" t="str">
            <v>B1635</v>
          </cell>
          <cell r="B1638" t="e">
            <v>#N/A</v>
          </cell>
          <cell r="D1638" t="e">
            <v>#N/A</v>
          </cell>
          <cell r="F1638">
            <v>0</v>
          </cell>
          <cell r="G1638">
            <v>0</v>
          </cell>
          <cell r="I1638">
            <v>0</v>
          </cell>
        </row>
        <row r="1639">
          <cell r="A1639" t="str">
            <v>B1636</v>
          </cell>
          <cell r="B1639" t="e">
            <v>#N/A</v>
          </cell>
          <cell r="D1639" t="e">
            <v>#N/A</v>
          </cell>
          <cell r="F1639">
            <v>0</v>
          </cell>
          <cell r="G1639">
            <v>0</v>
          </cell>
          <cell r="I1639">
            <v>0</v>
          </cell>
        </row>
        <row r="1640">
          <cell r="A1640" t="str">
            <v>B1637</v>
          </cell>
          <cell r="B1640" t="e">
            <v>#N/A</v>
          </cell>
          <cell r="D1640" t="e">
            <v>#N/A</v>
          </cell>
          <cell r="F1640">
            <v>0</v>
          </cell>
          <cell r="G1640">
            <v>0</v>
          </cell>
          <cell r="I1640">
            <v>0</v>
          </cell>
        </row>
        <row r="1641">
          <cell r="A1641" t="str">
            <v>B1638</v>
          </cell>
          <cell r="B1641" t="e">
            <v>#N/A</v>
          </cell>
          <cell r="D1641" t="e">
            <v>#N/A</v>
          </cell>
          <cell r="F1641">
            <v>0</v>
          </cell>
          <cell r="G1641">
            <v>0</v>
          </cell>
          <cell r="I1641">
            <v>0</v>
          </cell>
        </row>
        <row r="1642">
          <cell r="A1642" t="str">
            <v>B1639</v>
          </cell>
          <cell r="B1642" t="e">
            <v>#N/A</v>
          </cell>
          <cell r="D1642" t="e">
            <v>#N/A</v>
          </cell>
          <cell r="F1642">
            <v>0</v>
          </cell>
          <cell r="G1642">
            <v>0</v>
          </cell>
          <cell r="I1642">
            <v>0</v>
          </cell>
        </row>
        <row r="1643">
          <cell r="A1643" t="str">
            <v>B1640</v>
          </cell>
          <cell r="B1643" t="e">
            <v>#N/A</v>
          </cell>
          <cell r="D1643" t="e">
            <v>#N/A</v>
          </cell>
          <cell r="F1643">
            <v>0</v>
          </cell>
          <cell r="G1643">
            <v>0</v>
          </cell>
          <cell r="I1643">
            <v>0</v>
          </cell>
        </row>
        <row r="1644">
          <cell r="A1644" t="str">
            <v>B1641</v>
          </cell>
          <cell r="B1644" t="e">
            <v>#N/A</v>
          </cell>
          <cell r="D1644" t="e">
            <v>#N/A</v>
          </cell>
          <cell r="F1644">
            <v>0</v>
          </cell>
          <cell r="G1644">
            <v>0</v>
          </cell>
          <cell r="I1644">
            <v>0</v>
          </cell>
        </row>
        <row r="1645">
          <cell r="A1645" t="str">
            <v>B1642</v>
          </cell>
          <cell r="B1645" t="e">
            <v>#N/A</v>
          </cell>
          <cell r="D1645" t="e">
            <v>#N/A</v>
          </cell>
          <cell r="F1645">
            <v>0</v>
          </cell>
          <cell r="G1645">
            <v>0</v>
          </cell>
          <cell r="I1645">
            <v>0</v>
          </cell>
        </row>
        <row r="1646">
          <cell r="A1646" t="str">
            <v>B1643</v>
          </cell>
          <cell r="B1646" t="e">
            <v>#N/A</v>
          </cell>
          <cell r="D1646" t="e">
            <v>#N/A</v>
          </cell>
          <cell r="F1646">
            <v>0</v>
          </cell>
          <cell r="G1646">
            <v>0</v>
          </cell>
          <cell r="I1646">
            <v>0</v>
          </cell>
        </row>
        <row r="1647">
          <cell r="A1647" t="str">
            <v>B1644</v>
          </cell>
          <cell r="B1647" t="e">
            <v>#N/A</v>
          </cell>
          <cell r="D1647" t="e">
            <v>#N/A</v>
          </cell>
          <cell r="F1647">
            <v>0</v>
          </cell>
          <cell r="G1647">
            <v>0</v>
          </cell>
          <cell r="I1647">
            <v>0</v>
          </cell>
        </row>
        <row r="1648">
          <cell r="A1648" t="str">
            <v>B1645</v>
          </cell>
          <cell r="B1648" t="e">
            <v>#N/A</v>
          </cell>
          <cell r="D1648" t="e">
            <v>#N/A</v>
          </cell>
          <cell r="F1648">
            <v>0</v>
          </cell>
          <cell r="G1648">
            <v>0</v>
          </cell>
          <cell r="I1648">
            <v>0</v>
          </cell>
        </row>
        <row r="1649">
          <cell r="A1649" t="str">
            <v>B1646</v>
          </cell>
          <cell r="B1649" t="e">
            <v>#N/A</v>
          </cell>
          <cell r="D1649" t="e">
            <v>#N/A</v>
          </cell>
          <cell r="F1649">
            <v>0</v>
          </cell>
          <cell r="G1649">
            <v>0</v>
          </cell>
          <cell r="I1649">
            <v>0</v>
          </cell>
        </row>
        <row r="1650">
          <cell r="A1650" t="str">
            <v>B1647</v>
          </cell>
          <cell r="B1650" t="e">
            <v>#N/A</v>
          </cell>
          <cell r="D1650" t="e">
            <v>#N/A</v>
          </cell>
          <cell r="F1650">
            <v>0</v>
          </cell>
          <cell r="G1650">
            <v>0</v>
          </cell>
          <cell r="I1650">
            <v>0</v>
          </cell>
        </row>
        <row r="1651">
          <cell r="A1651" t="str">
            <v>B1648</v>
          </cell>
          <cell r="B1651" t="e">
            <v>#N/A</v>
          </cell>
          <cell r="D1651" t="e">
            <v>#N/A</v>
          </cell>
          <cell r="F1651">
            <v>0</v>
          </cell>
          <cell r="G1651">
            <v>0</v>
          </cell>
          <cell r="I1651">
            <v>0</v>
          </cell>
        </row>
        <row r="1652">
          <cell r="A1652" t="str">
            <v>B1649</v>
          </cell>
          <cell r="B1652" t="e">
            <v>#N/A</v>
          </cell>
          <cell r="D1652" t="e">
            <v>#N/A</v>
          </cell>
          <cell r="F1652">
            <v>0</v>
          </cell>
          <cell r="G1652">
            <v>0</v>
          </cell>
          <cell r="I1652">
            <v>0</v>
          </cell>
        </row>
        <row r="1653">
          <cell r="A1653" t="str">
            <v>B1650</v>
          </cell>
          <cell r="B1653" t="e">
            <v>#N/A</v>
          </cell>
          <cell r="D1653" t="e">
            <v>#N/A</v>
          </cell>
          <cell r="F1653">
            <v>0</v>
          </cell>
          <cell r="G1653">
            <v>0</v>
          </cell>
          <cell r="I1653">
            <v>0</v>
          </cell>
        </row>
        <row r="1654">
          <cell r="A1654" t="str">
            <v>B1651</v>
          </cell>
          <cell r="B1654" t="e">
            <v>#N/A</v>
          </cell>
          <cell r="D1654" t="e">
            <v>#N/A</v>
          </cell>
          <cell r="F1654">
            <v>0</v>
          </cell>
          <cell r="G1654">
            <v>0</v>
          </cell>
          <cell r="I1654">
            <v>0</v>
          </cell>
        </row>
        <row r="1655">
          <cell r="A1655" t="str">
            <v>B1652</v>
          </cell>
          <cell r="B1655" t="e">
            <v>#N/A</v>
          </cell>
          <cell r="D1655" t="e">
            <v>#N/A</v>
          </cell>
          <cell r="F1655">
            <v>0</v>
          </cell>
          <cell r="G1655">
            <v>0</v>
          </cell>
          <cell r="I1655">
            <v>0</v>
          </cell>
        </row>
        <row r="1656">
          <cell r="A1656" t="str">
            <v>B1653</v>
          </cell>
          <cell r="B1656" t="e">
            <v>#N/A</v>
          </cell>
          <cell r="D1656" t="e">
            <v>#N/A</v>
          </cell>
          <cell r="F1656">
            <v>0</v>
          </cell>
          <cell r="G1656">
            <v>0</v>
          </cell>
          <cell r="I1656">
            <v>0</v>
          </cell>
        </row>
        <row r="1657">
          <cell r="A1657" t="str">
            <v>B1654</v>
          </cell>
          <cell r="B1657" t="e">
            <v>#N/A</v>
          </cell>
          <cell r="D1657" t="e">
            <v>#N/A</v>
          </cell>
          <cell r="F1657">
            <v>0</v>
          </cell>
          <cell r="G1657">
            <v>0</v>
          </cell>
          <cell r="I1657">
            <v>0</v>
          </cell>
        </row>
        <row r="1658">
          <cell r="A1658" t="str">
            <v>B1655</v>
          </cell>
          <cell r="B1658" t="e">
            <v>#N/A</v>
          </cell>
          <cell r="D1658" t="e">
            <v>#N/A</v>
          </cell>
          <cell r="F1658">
            <v>0</v>
          </cell>
          <cell r="G1658">
            <v>0</v>
          </cell>
          <cell r="I1658">
            <v>0</v>
          </cell>
        </row>
        <row r="1659">
          <cell r="A1659" t="str">
            <v>B1656</v>
          </cell>
          <cell r="B1659" t="e">
            <v>#N/A</v>
          </cell>
          <cell r="D1659" t="e">
            <v>#N/A</v>
          </cell>
          <cell r="F1659">
            <v>0</v>
          </cell>
          <cell r="G1659">
            <v>0</v>
          </cell>
          <cell r="I1659">
            <v>0</v>
          </cell>
        </row>
        <row r="1660">
          <cell r="A1660" t="str">
            <v>B1657</v>
          </cell>
          <cell r="B1660" t="e">
            <v>#N/A</v>
          </cell>
          <cell r="D1660" t="e">
            <v>#N/A</v>
          </cell>
          <cell r="F1660">
            <v>0</v>
          </cell>
          <cell r="G1660">
            <v>0</v>
          </cell>
          <cell r="I1660">
            <v>0</v>
          </cell>
        </row>
        <row r="1661">
          <cell r="A1661" t="str">
            <v>B1658</v>
          </cell>
          <cell r="B1661" t="e">
            <v>#N/A</v>
          </cell>
          <cell r="D1661" t="e">
            <v>#N/A</v>
          </cell>
          <cell r="F1661">
            <v>0</v>
          </cell>
          <cell r="G1661">
            <v>0</v>
          </cell>
          <cell r="I1661">
            <v>0</v>
          </cell>
        </row>
        <row r="1662">
          <cell r="A1662" t="str">
            <v>B1659</v>
          </cell>
          <cell r="B1662" t="e">
            <v>#N/A</v>
          </cell>
          <cell r="D1662" t="e">
            <v>#N/A</v>
          </cell>
          <cell r="F1662">
            <v>0</v>
          </cell>
          <cell r="G1662">
            <v>0</v>
          </cell>
          <cell r="I1662">
            <v>0</v>
          </cell>
        </row>
        <row r="1663">
          <cell r="A1663" t="str">
            <v>B1660</v>
          </cell>
          <cell r="B1663" t="e">
            <v>#N/A</v>
          </cell>
          <cell r="D1663" t="e">
            <v>#N/A</v>
          </cell>
          <cell r="F1663">
            <v>0</v>
          </cell>
          <cell r="G1663">
            <v>0</v>
          </cell>
          <cell r="I1663">
            <v>0</v>
          </cell>
        </row>
        <row r="1664">
          <cell r="A1664" t="str">
            <v>B1661</v>
          </cell>
          <cell r="B1664" t="e">
            <v>#N/A</v>
          </cell>
          <cell r="D1664" t="e">
            <v>#N/A</v>
          </cell>
          <cell r="F1664">
            <v>0</v>
          </cell>
          <cell r="G1664">
            <v>0</v>
          </cell>
          <cell r="I1664">
            <v>0</v>
          </cell>
        </row>
        <row r="1665">
          <cell r="A1665" t="str">
            <v>B1662</v>
          </cell>
          <cell r="B1665" t="e">
            <v>#N/A</v>
          </cell>
          <cell r="D1665" t="e">
            <v>#N/A</v>
          </cell>
          <cell r="F1665">
            <v>0</v>
          </cell>
          <cell r="G1665">
            <v>0</v>
          </cell>
          <cell r="I1665">
            <v>0</v>
          </cell>
        </row>
        <row r="1666">
          <cell r="A1666" t="str">
            <v>B1663</v>
          </cell>
          <cell r="B1666" t="e">
            <v>#N/A</v>
          </cell>
          <cell r="D1666" t="e">
            <v>#N/A</v>
          </cell>
          <cell r="F1666">
            <v>0</v>
          </cell>
          <cell r="G1666">
            <v>0</v>
          </cell>
          <cell r="I1666">
            <v>0</v>
          </cell>
        </row>
        <row r="1667">
          <cell r="A1667" t="str">
            <v>B1664</v>
          </cell>
          <cell r="B1667" t="e">
            <v>#N/A</v>
          </cell>
          <cell r="D1667" t="e">
            <v>#N/A</v>
          </cell>
          <cell r="F1667">
            <v>0</v>
          </cell>
          <cell r="G1667">
            <v>0</v>
          </cell>
          <cell r="I1667">
            <v>0</v>
          </cell>
        </row>
        <row r="1668">
          <cell r="A1668" t="str">
            <v>B1665</v>
          </cell>
          <cell r="B1668" t="e">
            <v>#N/A</v>
          </cell>
          <cell r="D1668" t="e">
            <v>#N/A</v>
          </cell>
          <cell r="F1668">
            <v>0</v>
          </cell>
          <cell r="G1668">
            <v>0</v>
          </cell>
          <cell r="I1668">
            <v>0</v>
          </cell>
        </row>
        <row r="1669">
          <cell r="A1669" t="str">
            <v>B1666</v>
          </cell>
          <cell r="B1669" t="e">
            <v>#N/A</v>
          </cell>
          <cell r="D1669" t="e">
            <v>#N/A</v>
          </cell>
          <cell r="F1669">
            <v>0</v>
          </cell>
          <cell r="G1669">
            <v>0</v>
          </cell>
          <cell r="I1669">
            <v>0</v>
          </cell>
        </row>
        <row r="1670">
          <cell r="A1670" t="str">
            <v>B1667</v>
          </cell>
          <cell r="B1670" t="e">
            <v>#N/A</v>
          </cell>
          <cell r="D1670" t="e">
            <v>#N/A</v>
          </cell>
          <cell r="F1670">
            <v>0</v>
          </cell>
          <cell r="G1670">
            <v>0</v>
          </cell>
          <cell r="I1670">
            <v>0</v>
          </cell>
        </row>
        <row r="1671">
          <cell r="A1671" t="str">
            <v>B1668</v>
          </cell>
          <cell r="B1671" t="e">
            <v>#N/A</v>
          </cell>
          <cell r="D1671" t="e">
            <v>#N/A</v>
          </cell>
          <cell r="F1671">
            <v>0</v>
          </cell>
          <cell r="G1671">
            <v>0</v>
          </cell>
          <cell r="I1671">
            <v>0</v>
          </cell>
        </row>
        <row r="1672">
          <cell r="A1672" t="str">
            <v>B1669</v>
          </cell>
          <cell r="B1672" t="e">
            <v>#N/A</v>
          </cell>
          <cell r="D1672" t="e">
            <v>#N/A</v>
          </cell>
          <cell r="F1672">
            <v>0</v>
          </cell>
          <cell r="G1672">
            <v>0</v>
          </cell>
          <cell r="I1672">
            <v>0</v>
          </cell>
        </row>
        <row r="1673">
          <cell r="A1673" t="str">
            <v>B1670</v>
          </cell>
          <cell r="B1673" t="e">
            <v>#N/A</v>
          </cell>
          <cell r="D1673" t="e">
            <v>#N/A</v>
          </cell>
          <cell r="F1673">
            <v>0</v>
          </cell>
          <cell r="G1673">
            <v>0</v>
          </cell>
          <cell r="I1673">
            <v>0</v>
          </cell>
        </row>
        <row r="1674">
          <cell r="A1674" t="str">
            <v>B1671</v>
          </cell>
          <cell r="B1674" t="e">
            <v>#N/A</v>
          </cell>
          <cell r="D1674" t="e">
            <v>#N/A</v>
          </cell>
          <cell r="F1674">
            <v>0</v>
          </cell>
          <cell r="G1674">
            <v>0</v>
          </cell>
          <cell r="I1674">
            <v>0</v>
          </cell>
        </row>
        <row r="1675">
          <cell r="A1675" t="str">
            <v>B1672</v>
          </cell>
          <cell r="B1675" t="e">
            <v>#N/A</v>
          </cell>
          <cell r="D1675" t="e">
            <v>#N/A</v>
          </cell>
          <cell r="F1675">
            <v>0</v>
          </cell>
          <cell r="G1675">
            <v>0</v>
          </cell>
          <cell r="I1675">
            <v>0</v>
          </cell>
        </row>
        <row r="1676">
          <cell r="A1676" t="str">
            <v>B1673</v>
          </cell>
          <cell r="B1676" t="e">
            <v>#N/A</v>
          </cell>
          <cell r="D1676" t="e">
            <v>#N/A</v>
          </cell>
          <cell r="F1676">
            <v>0</v>
          </cell>
          <cell r="G1676">
            <v>0</v>
          </cell>
          <cell r="I1676">
            <v>0</v>
          </cell>
        </row>
        <row r="1677">
          <cell r="A1677" t="str">
            <v>B1674</v>
          </cell>
          <cell r="B1677" t="e">
            <v>#N/A</v>
          </cell>
          <cell r="D1677" t="e">
            <v>#N/A</v>
          </cell>
          <cell r="F1677">
            <v>0</v>
          </cell>
          <cell r="G1677">
            <v>0</v>
          </cell>
          <cell r="I1677">
            <v>0</v>
          </cell>
        </row>
        <row r="1678">
          <cell r="A1678" t="str">
            <v>B1675</v>
          </cell>
          <cell r="B1678" t="e">
            <v>#N/A</v>
          </cell>
          <cell r="D1678" t="e">
            <v>#N/A</v>
          </cell>
          <cell r="F1678">
            <v>0</v>
          </cell>
          <cell r="G1678">
            <v>0</v>
          </cell>
          <cell r="I1678">
            <v>0</v>
          </cell>
        </row>
        <row r="1679">
          <cell r="A1679" t="str">
            <v>B1676</v>
          </cell>
          <cell r="B1679" t="e">
            <v>#N/A</v>
          </cell>
          <cell r="D1679" t="e">
            <v>#N/A</v>
          </cell>
          <cell r="F1679">
            <v>0</v>
          </cell>
          <cell r="G1679">
            <v>0</v>
          </cell>
          <cell r="I1679">
            <v>0</v>
          </cell>
        </row>
        <row r="1680">
          <cell r="A1680" t="str">
            <v>B1677</v>
          </cell>
          <cell r="B1680" t="e">
            <v>#N/A</v>
          </cell>
          <cell r="D1680" t="e">
            <v>#N/A</v>
          </cell>
          <cell r="F1680">
            <v>0</v>
          </cell>
          <cell r="G1680">
            <v>0</v>
          </cell>
          <cell r="I1680">
            <v>0</v>
          </cell>
        </row>
        <row r="1681">
          <cell r="A1681" t="str">
            <v>B1678</v>
          </cell>
          <cell r="B1681" t="e">
            <v>#N/A</v>
          </cell>
          <cell r="D1681" t="e">
            <v>#N/A</v>
          </cell>
          <cell r="F1681">
            <v>0</v>
          </cell>
          <cell r="G1681">
            <v>0</v>
          </cell>
          <cell r="I1681">
            <v>0</v>
          </cell>
        </row>
        <row r="1682">
          <cell r="A1682" t="str">
            <v>B1679</v>
          </cell>
          <cell r="B1682" t="e">
            <v>#N/A</v>
          </cell>
          <cell r="D1682" t="e">
            <v>#N/A</v>
          </cell>
          <cell r="F1682">
            <v>0</v>
          </cell>
          <cell r="G1682">
            <v>0</v>
          </cell>
          <cell r="I1682">
            <v>0</v>
          </cell>
        </row>
        <row r="1683">
          <cell r="A1683" t="str">
            <v>B1680</v>
          </cell>
          <cell r="B1683" t="e">
            <v>#N/A</v>
          </cell>
          <cell r="D1683" t="e">
            <v>#N/A</v>
          </cell>
          <cell r="F1683">
            <v>0</v>
          </cell>
          <cell r="G1683">
            <v>0</v>
          </cell>
          <cell r="I1683">
            <v>0</v>
          </cell>
        </row>
        <row r="1684">
          <cell r="A1684" t="str">
            <v>B1681</v>
          </cell>
          <cell r="B1684" t="e">
            <v>#N/A</v>
          </cell>
          <cell r="D1684" t="e">
            <v>#N/A</v>
          </cell>
          <cell r="F1684">
            <v>0</v>
          </cell>
          <cell r="G1684">
            <v>0</v>
          </cell>
          <cell r="I1684">
            <v>0</v>
          </cell>
        </row>
        <row r="1685">
          <cell r="A1685" t="str">
            <v>B1682</v>
          </cell>
          <cell r="B1685" t="e">
            <v>#N/A</v>
          </cell>
          <cell r="D1685" t="e">
            <v>#N/A</v>
          </cell>
          <cell r="F1685">
            <v>0</v>
          </cell>
          <cell r="G1685">
            <v>0</v>
          </cell>
          <cell r="I1685">
            <v>0</v>
          </cell>
        </row>
        <row r="1686">
          <cell r="A1686" t="str">
            <v>B1683</v>
          </cell>
          <cell r="B1686" t="e">
            <v>#N/A</v>
          </cell>
          <cell r="D1686" t="e">
            <v>#N/A</v>
          </cell>
          <cell r="F1686">
            <v>0</v>
          </cell>
          <cell r="G1686">
            <v>0</v>
          </cell>
          <cell r="I1686">
            <v>0</v>
          </cell>
        </row>
        <row r="1687">
          <cell r="A1687" t="str">
            <v>B1684</v>
          </cell>
          <cell r="B1687" t="e">
            <v>#N/A</v>
          </cell>
          <cell r="D1687" t="e">
            <v>#N/A</v>
          </cell>
          <cell r="F1687">
            <v>0</v>
          </cell>
          <cell r="G1687">
            <v>0</v>
          </cell>
          <cell r="I1687">
            <v>0</v>
          </cell>
        </row>
        <row r="1688">
          <cell r="A1688" t="str">
            <v>B1685</v>
          </cell>
          <cell r="B1688" t="e">
            <v>#N/A</v>
          </cell>
          <cell r="D1688" t="e">
            <v>#N/A</v>
          </cell>
          <cell r="F1688">
            <v>0</v>
          </cell>
          <cell r="G1688">
            <v>0</v>
          </cell>
          <cell r="I1688">
            <v>0</v>
          </cell>
        </row>
        <row r="1689">
          <cell r="A1689" t="str">
            <v>B1686</v>
          </cell>
          <cell r="B1689" t="e">
            <v>#N/A</v>
          </cell>
          <cell r="D1689" t="e">
            <v>#N/A</v>
          </cell>
          <cell r="F1689">
            <v>0</v>
          </cell>
          <cell r="G1689">
            <v>0</v>
          </cell>
          <cell r="I1689">
            <v>0</v>
          </cell>
        </row>
        <row r="1690">
          <cell r="A1690" t="str">
            <v>B1687</v>
          </cell>
          <cell r="B1690" t="e">
            <v>#N/A</v>
          </cell>
          <cell r="D1690" t="e">
            <v>#N/A</v>
          </cell>
          <cell r="F1690">
            <v>0</v>
          </cell>
          <cell r="G1690">
            <v>0</v>
          </cell>
          <cell r="I1690">
            <v>0</v>
          </cell>
        </row>
        <row r="1691">
          <cell r="A1691" t="str">
            <v>B1688</v>
          </cell>
          <cell r="B1691" t="e">
            <v>#N/A</v>
          </cell>
          <cell r="D1691" t="e">
            <v>#N/A</v>
          </cell>
          <cell r="F1691">
            <v>0</v>
          </cell>
          <cell r="G1691">
            <v>0</v>
          </cell>
          <cell r="I1691">
            <v>0</v>
          </cell>
        </row>
        <row r="1692">
          <cell r="A1692" t="str">
            <v>B1689</v>
          </cell>
          <cell r="B1692" t="e">
            <v>#N/A</v>
          </cell>
          <cell r="D1692" t="e">
            <v>#N/A</v>
          </cell>
          <cell r="F1692">
            <v>0</v>
          </cell>
          <cell r="G1692">
            <v>0</v>
          </cell>
          <cell r="I1692">
            <v>0</v>
          </cell>
        </row>
        <row r="1693">
          <cell r="A1693" t="str">
            <v>B1690</v>
          </cell>
          <cell r="B1693" t="e">
            <v>#N/A</v>
          </cell>
          <cell r="D1693" t="e">
            <v>#N/A</v>
          </cell>
          <cell r="F1693">
            <v>0</v>
          </cell>
          <cell r="G1693">
            <v>0</v>
          </cell>
          <cell r="I1693">
            <v>0</v>
          </cell>
        </row>
        <row r="1694">
          <cell r="A1694" t="str">
            <v>B1691</v>
          </cell>
          <cell r="B1694" t="e">
            <v>#N/A</v>
          </cell>
          <cell r="D1694" t="e">
            <v>#N/A</v>
          </cell>
          <cell r="F1694">
            <v>0</v>
          </cell>
          <cell r="G1694">
            <v>0</v>
          </cell>
          <cell r="I1694">
            <v>0</v>
          </cell>
        </row>
        <row r="1695">
          <cell r="A1695" t="str">
            <v>B1692</v>
          </cell>
          <cell r="B1695" t="e">
            <v>#N/A</v>
          </cell>
          <cell r="D1695" t="e">
            <v>#N/A</v>
          </cell>
          <cell r="F1695">
            <v>0</v>
          </cell>
          <cell r="G1695">
            <v>0</v>
          </cell>
          <cell r="I1695">
            <v>0</v>
          </cell>
        </row>
        <row r="1696">
          <cell r="A1696" t="str">
            <v>B1693</v>
          </cell>
          <cell r="B1696" t="e">
            <v>#N/A</v>
          </cell>
          <cell r="D1696" t="e">
            <v>#N/A</v>
          </cell>
          <cell r="F1696">
            <v>0</v>
          </cell>
          <cell r="G1696">
            <v>0</v>
          </cell>
          <cell r="I1696">
            <v>0</v>
          </cell>
        </row>
        <row r="1697">
          <cell r="A1697" t="str">
            <v>B1694</v>
          </cell>
          <cell r="B1697" t="e">
            <v>#N/A</v>
          </cell>
          <cell r="D1697" t="e">
            <v>#N/A</v>
          </cell>
          <cell r="F1697">
            <v>0</v>
          </cell>
          <cell r="G1697">
            <v>0</v>
          </cell>
          <cell r="I1697">
            <v>0</v>
          </cell>
        </row>
        <row r="1698">
          <cell r="A1698" t="str">
            <v>B1695</v>
          </cell>
          <cell r="B1698" t="e">
            <v>#N/A</v>
          </cell>
          <cell r="D1698" t="e">
            <v>#N/A</v>
          </cell>
          <cell r="F1698">
            <v>0</v>
          </cell>
          <cell r="G1698">
            <v>0</v>
          </cell>
          <cell r="I1698">
            <v>0</v>
          </cell>
        </row>
        <row r="1699">
          <cell r="A1699" t="str">
            <v>B1696</v>
          </cell>
          <cell r="B1699" t="e">
            <v>#N/A</v>
          </cell>
          <cell r="D1699" t="e">
            <v>#N/A</v>
          </cell>
          <cell r="F1699">
            <v>0</v>
          </cell>
          <cell r="G1699">
            <v>0</v>
          </cell>
          <cell r="I1699">
            <v>0</v>
          </cell>
        </row>
        <row r="1700">
          <cell r="A1700" t="str">
            <v>B1697</v>
          </cell>
          <cell r="B1700" t="e">
            <v>#N/A</v>
          </cell>
          <cell r="D1700" t="e">
            <v>#N/A</v>
          </cell>
          <cell r="F1700">
            <v>0</v>
          </cell>
          <cell r="G1700">
            <v>0</v>
          </cell>
          <cell r="I1700">
            <v>0</v>
          </cell>
        </row>
        <row r="1701">
          <cell r="A1701" t="str">
            <v>B1698</v>
          </cell>
          <cell r="B1701" t="e">
            <v>#N/A</v>
          </cell>
          <cell r="D1701" t="e">
            <v>#N/A</v>
          </cell>
          <cell r="F1701">
            <v>0</v>
          </cell>
          <cell r="G1701">
            <v>0</v>
          </cell>
          <cell r="I1701">
            <v>0</v>
          </cell>
        </row>
        <row r="1702">
          <cell r="A1702" t="str">
            <v>B1699</v>
          </cell>
          <cell r="B1702" t="e">
            <v>#N/A</v>
          </cell>
          <cell r="D1702" t="e">
            <v>#N/A</v>
          </cell>
          <cell r="F1702">
            <v>0</v>
          </cell>
          <cell r="G1702">
            <v>0</v>
          </cell>
          <cell r="I1702">
            <v>0</v>
          </cell>
        </row>
        <row r="1703">
          <cell r="A1703" t="str">
            <v>B1700</v>
          </cell>
          <cell r="B1703" t="e">
            <v>#N/A</v>
          </cell>
          <cell r="D1703" t="e">
            <v>#N/A</v>
          </cell>
          <cell r="F1703">
            <v>0</v>
          </cell>
          <cell r="G1703">
            <v>0</v>
          </cell>
          <cell r="I1703">
            <v>0</v>
          </cell>
        </row>
        <row r="1704">
          <cell r="A1704" t="str">
            <v>B1701</v>
          </cell>
          <cell r="B1704" t="e">
            <v>#N/A</v>
          </cell>
          <cell r="D1704" t="e">
            <v>#N/A</v>
          </cell>
          <cell r="F1704">
            <v>0</v>
          </cell>
          <cell r="G1704">
            <v>0</v>
          </cell>
          <cell r="I1704">
            <v>0</v>
          </cell>
        </row>
        <row r="1705">
          <cell r="A1705" t="str">
            <v>B1702</v>
          </cell>
          <cell r="B1705" t="e">
            <v>#N/A</v>
          </cell>
          <cell r="D1705" t="e">
            <v>#N/A</v>
          </cell>
          <cell r="F1705">
            <v>0</v>
          </cell>
          <cell r="G1705">
            <v>0</v>
          </cell>
          <cell r="I1705">
            <v>0</v>
          </cell>
        </row>
        <row r="1706">
          <cell r="A1706" t="str">
            <v>B1703</v>
          </cell>
          <cell r="B1706" t="e">
            <v>#N/A</v>
          </cell>
          <cell r="D1706" t="e">
            <v>#N/A</v>
          </cell>
          <cell r="F1706">
            <v>0</v>
          </cell>
          <cell r="G1706">
            <v>0</v>
          </cell>
          <cell r="I1706">
            <v>0</v>
          </cell>
        </row>
        <row r="1707">
          <cell r="A1707" t="str">
            <v>B1704</v>
          </cell>
          <cell r="B1707" t="e">
            <v>#N/A</v>
          </cell>
          <cell r="D1707" t="e">
            <v>#N/A</v>
          </cell>
          <cell r="F1707">
            <v>0</v>
          </cell>
          <cell r="G1707">
            <v>0</v>
          </cell>
          <cell r="I1707">
            <v>0</v>
          </cell>
        </row>
        <row r="1708">
          <cell r="A1708" t="str">
            <v>B1705</v>
          </cell>
          <cell r="B1708" t="e">
            <v>#N/A</v>
          </cell>
          <cell r="D1708" t="e">
            <v>#N/A</v>
          </cell>
          <cell r="F1708">
            <v>0</v>
          </cell>
          <cell r="G1708">
            <v>0</v>
          </cell>
          <cell r="I1708">
            <v>0</v>
          </cell>
        </row>
        <row r="1709">
          <cell r="A1709" t="str">
            <v>B1706</v>
          </cell>
          <cell r="B1709" t="e">
            <v>#N/A</v>
          </cell>
          <cell r="D1709" t="e">
            <v>#N/A</v>
          </cell>
          <cell r="F1709">
            <v>0</v>
          </cell>
          <cell r="G1709">
            <v>0</v>
          </cell>
          <cell r="I1709">
            <v>0</v>
          </cell>
        </row>
        <row r="1710">
          <cell r="A1710" t="str">
            <v>B1707</v>
          </cell>
          <cell r="B1710" t="e">
            <v>#N/A</v>
          </cell>
          <cell r="D1710" t="e">
            <v>#N/A</v>
          </cell>
          <cell r="F1710">
            <v>0</v>
          </cell>
          <cell r="G1710">
            <v>0</v>
          </cell>
          <cell r="I1710">
            <v>0</v>
          </cell>
        </row>
        <row r="1711">
          <cell r="A1711" t="str">
            <v>B1708</v>
          </cell>
          <cell r="B1711" t="e">
            <v>#N/A</v>
          </cell>
          <cell r="D1711" t="e">
            <v>#N/A</v>
          </cell>
          <cell r="F1711">
            <v>0</v>
          </cell>
          <cell r="G1711">
            <v>0</v>
          </cell>
          <cell r="I1711">
            <v>0</v>
          </cell>
        </row>
        <row r="1712">
          <cell r="A1712" t="str">
            <v>B1709</v>
          </cell>
          <cell r="B1712" t="e">
            <v>#N/A</v>
          </cell>
          <cell r="D1712" t="e">
            <v>#N/A</v>
          </cell>
          <cell r="F1712">
            <v>0</v>
          </cell>
          <cell r="G1712">
            <v>0</v>
          </cell>
          <cell r="I1712">
            <v>0</v>
          </cell>
        </row>
        <row r="1713">
          <cell r="A1713" t="str">
            <v>B1710</v>
          </cell>
          <cell r="B1713" t="e">
            <v>#N/A</v>
          </cell>
          <cell r="D1713" t="e">
            <v>#N/A</v>
          </cell>
          <cell r="F1713">
            <v>0</v>
          </cell>
          <cell r="G1713">
            <v>0</v>
          </cell>
          <cell r="I1713">
            <v>0</v>
          </cell>
        </row>
        <row r="1714">
          <cell r="A1714" t="str">
            <v>B1711</v>
          </cell>
          <cell r="B1714" t="e">
            <v>#N/A</v>
          </cell>
          <cell r="D1714" t="e">
            <v>#N/A</v>
          </cell>
          <cell r="F1714">
            <v>0</v>
          </cell>
          <cell r="G1714">
            <v>0</v>
          </cell>
          <cell r="I1714">
            <v>0</v>
          </cell>
        </row>
        <row r="1715">
          <cell r="A1715" t="str">
            <v>B1712</v>
          </cell>
          <cell r="B1715" t="e">
            <v>#N/A</v>
          </cell>
          <cell r="D1715" t="e">
            <v>#N/A</v>
          </cell>
          <cell r="F1715">
            <v>0</v>
          </cell>
          <cell r="G1715">
            <v>0</v>
          </cell>
          <cell r="I1715">
            <v>0</v>
          </cell>
        </row>
        <row r="1716">
          <cell r="A1716" t="str">
            <v>B1713</v>
          </cell>
          <cell r="B1716" t="e">
            <v>#N/A</v>
          </cell>
          <cell r="D1716" t="e">
            <v>#N/A</v>
          </cell>
          <cell r="F1716">
            <v>0</v>
          </cell>
          <cell r="G1716">
            <v>0</v>
          </cell>
          <cell r="I1716">
            <v>0</v>
          </cell>
        </row>
        <row r="1717">
          <cell r="A1717" t="str">
            <v>B1714</v>
          </cell>
          <cell r="B1717" t="e">
            <v>#N/A</v>
          </cell>
          <cell r="D1717" t="e">
            <v>#N/A</v>
          </cell>
          <cell r="F1717">
            <v>0</v>
          </cell>
          <cell r="G1717">
            <v>0</v>
          </cell>
          <cell r="I1717">
            <v>0</v>
          </cell>
        </row>
        <row r="1718">
          <cell r="A1718" t="str">
            <v>B1715</v>
          </cell>
          <cell r="B1718" t="e">
            <v>#N/A</v>
          </cell>
          <cell r="D1718" t="e">
            <v>#N/A</v>
          </cell>
          <cell r="F1718">
            <v>0</v>
          </cell>
          <cell r="G1718">
            <v>0</v>
          </cell>
          <cell r="I1718">
            <v>0</v>
          </cell>
        </row>
        <row r="1719">
          <cell r="A1719" t="str">
            <v>B1716</v>
          </cell>
          <cell r="B1719" t="e">
            <v>#N/A</v>
          </cell>
          <cell r="D1719" t="e">
            <v>#N/A</v>
          </cell>
          <cell r="F1719">
            <v>0</v>
          </cell>
          <cell r="G1719">
            <v>0</v>
          </cell>
          <cell r="I1719">
            <v>0</v>
          </cell>
        </row>
        <row r="1720">
          <cell r="A1720" t="str">
            <v>B1717</v>
          </cell>
          <cell r="B1720" t="e">
            <v>#N/A</v>
          </cell>
          <cell r="D1720" t="e">
            <v>#N/A</v>
          </cell>
          <cell r="F1720">
            <v>0</v>
          </cell>
          <cell r="G1720">
            <v>0</v>
          </cell>
          <cell r="I1720">
            <v>0</v>
          </cell>
        </row>
        <row r="1721">
          <cell r="A1721" t="str">
            <v>B1718</v>
          </cell>
          <cell r="B1721" t="e">
            <v>#N/A</v>
          </cell>
          <cell r="D1721" t="e">
            <v>#N/A</v>
          </cell>
          <cell r="F1721">
            <v>0</v>
          </cell>
          <cell r="G1721">
            <v>0</v>
          </cell>
          <cell r="I1721">
            <v>0</v>
          </cell>
        </row>
        <row r="1722">
          <cell r="A1722" t="str">
            <v>B1719</v>
          </cell>
          <cell r="B1722" t="e">
            <v>#N/A</v>
          </cell>
          <cell r="D1722" t="e">
            <v>#N/A</v>
          </cell>
          <cell r="F1722">
            <v>0</v>
          </cell>
          <cell r="G1722">
            <v>0</v>
          </cell>
          <cell r="I1722">
            <v>0</v>
          </cell>
        </row>
        <row r="1723">
          <cell r="A1723" t="str">
            <v>B1720</v>
          </cell>
          <cell r="B1723" t="e">
            <v>#N/A</v>
          </cell>
          <cell r="D1723" t="e">
            <v>#N/A</v>
          </cell>
          <cell r="F1723">
            <v>0</v>
          </cell>
          <cell r="G1723">
            <v>0</v>
          </cell>
          <cell r="I1723">
            <v>0</v>
          </cell>
        </row>
        <row r="1724">
          <cell r="A1724" t="str">
            <v>B1721</v>
          </cell>
          <cell r="B1724" t="e">
            <v>#N/A</v>
          </cell>
          <cell r="D1724" t="e">
            <v>#N/A</v>
          </cell>
          <cell r="F1724">
            <v>0</v>
          </cell>
          <cell r="G1724">
            <v>0</v>
          </cell>
          <cell r="I1724">
            <v>0</v>
          </cell>
        </row>
        <row r="1725">
          <cell r="A1725" t="str">
            <v>B1722</v>
          </cell>
          <cell r="B1725" t="e">
            <v>#N/A</v>
          </cell>
          <cell r="D1725" t="e">
            <v>#N/A</v>
          </cell>
          <cell r="F1725">
            <v>0</v>
          </cell>
          <cell r="G1725">
            <v>0</v>
          </cell>
          <cell r="I1725">
            <v>0</v>
          </cell>
        </row>
        <row r="1726">
          <cell r="A1726" t="str">
            <v>B1723</v>
          </cell>
          <cell r="B1726" t="e">
            <v>#N/A</v>
          </cell>
          <cell r="D1726" t="e">
            <v>#N/A</v>
          </cell>
          <cell r="F1726">
            <v>0</v>
          </cell>
          <cell r="G1726">
            <v>0</v>
          </cell>
          <cell r="I1726">
            <v>0</v>
          </cell>
        </row>
        <row r="1727">
          <cell r="A1727" t="str">
            <v>B1724</v>
          </cell>
          <cell r="B1727" t="e">
            <v>#N/A</v>
          </cell>
          <cell r="D1727" t="e">
            <v>#N/A</v>
          </cell>
          <cell r="F1727">
            <v>0</v>
          </cell>
          <cell r="G1727">
            <v>0</v>
          </cell>
          <cell r="I1727">
            <v>0</v>
          </cell>
        </row>
        <row r="1728">
          <cell r="A1728" t="str">
            <v>B1725</v>
          </cell>
          <cell r="B1728" t="e">
            <v>#N/A</v>
          </cell>
          <cell r="D1728" t="e">
            <v>#N/A</v>
          </cell>
          <cell r="F1728">
            <v>0</v>
          </cell>
          <cell r="G1728">
            <v>0</v>
          </cell>
          <cell r="I1728">
            <v>0</v>
          </cell>
        </row>
        <row r="1729">
          <cell r="A1729" t="str">
            <v>B1726</v>
          </cell>
          <cell r="B1729" t="e">
            <v>#N/A</v>
          </cell>
          <cell r="D1729" t="e">
            <v>#N/A</v>
          </cell>
          <cell r="F1729">
            <v>0</v>
          </cell>
          <cell r="G1729">
            <v>0</v>
          </cell>
          <cell r="I1729">
            <v>0</v>
          </cell>
        </row>
        <row r="1730">
          <cell r="A1730" t="str">
            <v>B1727</v>
          </cell>
          <cell r="B1730" t="e">
            <v>#N/A</v>
          </cell>
          <cell r="D1730" t="e">
            <v>#N/A</v>
          </cell>
          <cell r="F1730">
            <v>0</v>
          </cell>
          <cell r="G1730">
            <v>0</v>
          </cell>
          <cell r="I1730">
            <v>0</v>
          </cell>
        </row>
        <row r="1731">
          <cell r="A1731" t="str">
            <v>B1728</v>
          </cell>
          <cell r="B1731" t="e">
            <v>#N/A</v>
          </cell>
          <cell r="D1731" t="e">
            <v>#N/A</v>
          </cell>
          <cell r="F1731">
            <v>0</v>
          </cell>
          <cell r="G1731">
            <v>0</v>
          </cell>
          <cell r="I1731">
            <v>0</v>
          </cell>
        </row>
        <row r="1732">
          <cell r="A1732" t="str">
            <v>B1729</v>
          </cell>
          <cell r="B1732" t="e">
            <v>#N/A</v>
          </cell>
          <cell r="D1732" t="e">
            <v>#N/A</v>
          </cell>
          <cell r="F1732">
            <v>0</v>
          </cell>
          <cell r="G1732">
            <v>0</v>
          </cell>
          <cell r="I1732">
            <v>0</v>
          </cell>
        </row>
        <row r="1733">
          <cell r="A1733" t="str">
            <v>B1730</v>
          </cell>
          <cell r="B1733" t="e">
            <v>#N/A</v>
          </cell>
          <cell r="D1733" t="e">
            <v>#N/A</v>
          </cell>
          <cell r="F1733">
            <v>0</v>
          </cell>
          <cell r="G1733">
            <v>0</v>
          </cell>
          <cell r="I1733">
            <v>0</v>
          </cell>
        </row>
        <row r="1734">
          <cell r="A1734" t="str">
            <v>B1731</v>
          </cell>
          <cell r="B1734" t="e">
            <v>#N/A</v>
          </cell>
          <cell r="D1734" t="e">
            <v>#N/A</v>
          </cell>
          <cell r="F1734">
            <v>0</v>
          </cell>
          <cell r="G1734">
            <v>0</v>
          </cell>
          <cell r="I1734">
            <v>0</v>
          </cell>
        </row>
        <row r="1735">
          <cell r="A1735" t="str">
            <v>B1732</v>
          </cell>
          <cell r="B1735" t="e">
            <v>#N/A</v>
          </cell>
          <cell r="D1735" t="e">
            <v>#N/A</v>
          </cell>
          <cell r="F1735">
            <v>0</v>
          </cell>
          <cell r="G1735">
            <v>0</v>
          </cell>
          <cell r="I1735">
            <v>0</v>
          </cell>
        </row>
        <row r="1736">
          <cell r="A1736" t="str">
            <v>B1733</v>
          </cell>
          <cell r="B1736" t="e">
            <v>#N/A</v>
          </cell>
          <cell r="D1736" t="e">
            <v>#N/A</v>
          </cell>
          <cell r="F1736">
            <v>0</v>
          </cell>
          <cell r="G1736">
            <v>0</v>
          </cell>
          <cell r="I1736">
            <v>0</v>
          </cell>
        </row>
        <row r="1737">
          <cell r="A1737" t="str">
            <v>B1734</v>
          </cell>
          <cell r="B1737" t="e">
            <v>#N/A</v>
          </cell>
          <cell r="D1737" t="e">
            <v>#N/A</v>
          </cell>
          <cell r="F1737">
            <v>0</v>
          </cell>
          <cell r="G1737">
            <v>0</v>
          </cell>
          <cell r="I1737">
            <v>0</v>
          </cell>
        </row>
        <row r="1738">
          <cell r="A1738" t="str">
            <v>B1735</v>
          </cell>
          <cell r="B1738" t="e">
            <v>#N/A</v>
          </cell>
          <cell r="D1738" t="e">
            <v>#N/A</v>
          </cell>
          <cell r="F1738">
            <v>0</v>
          </cell>
          <cell r="G1738">
            <v>0</v>
          </cell>
          <cell r="I1738">
            <v>0</v>
          </cell>
        </row>
        <row r="1739">
          <cell r="A1739" t="str">
            <v>B1736</v>
          </cell>
          <cell r="B1739" t="e">
            <v>#N/A</v>
          </cell>
          <cell r="D1739" t="e">
            <v>#N/A</v>
          </cell>
          <cell r="F1739">
            <v>0</v>
          </cell>
          <cell r="G1739">
            <v>0</v>
          </cell>
          <cell r="I1739">
            <v>0</v>
          </cell>
        </row>
        <row r="1740">
          <cell r="A1740" t="str">
            <v>B1737</v>
          </cell>
          <cell r="B1740" t="e">
            <v>#N/A</v>
          </cell>
          <cell r="D1740" t="e">
            <v>#N/A</v>
          </cell>
          <cell r="F1740">
            <v>0</v>
          </cell>
          <cell r="G1740">
            <v>0</v>
          </cell>
          <cell r="I1740">
            <v>0</v>
          </cell>
        </row>
        <row r="1741">
          <cell r="A1741" t="str">
            <v>B1738</v>
          </cell>
          <cell r="B1741" t="e">
            <v>#N/A</v>
          </cell>
          <cell r="D1741" t="e">
            <v>#N/A</v>
          </cell>
          <cell r="F1741">
            <v>0</v>
          </cell>
          <cell r="G1741">
            <v>0</v>
          </cell>
          <cell r="I1741">
            <v>0</v>
          </cell>
        </row>
        <row r="1742">
          <cell r="A1742" t="str">
            <v>B1739</v>
          </cell>
          <cell r="B1742" t="e">
            <v>#N/A</v>
          </cell>
          <cell r="D1742" t="e">
            <v>#N/A</v>
          </cell>
          <cell r="F1742">
            <v>0</v>
          </cell>
          <cell r="G1742">
            <v>0</v>
          </cell>
          <cell r="I1742">
            <v>0</v>
          </cell>
        </row>
        <row r="1743">
          <cell r="A1743" t="str">
            <v>B1740</v>
          </cell>
          <cell r="B1743" t="e">
            <v>#N/A</v>
          </cell>
          <cell r="D1743" t="e">
            <v>#N/A</v>
          </cell>
          <cell r="F1743">
            <v>0</v>
          </cell>
          <cell r="G1743">
            <v>0</v>
          </cell>
          <cell r="I1743">
            <v>0</v>
          </cell>
        </row>
        <row r="1744">
          <cell r="A1744" t="str">
            <v>B1741</v>
          </cell>
          <cell r="B1744" t="e">
            <v>#N/A</v>
          </cell>
          <cell r="D1744" t="e">
            <v>#N/A</v>
          </cell>
          <cell r="F1744">
            <v>0</v>
          </cell>
          <cell r="G1744">
            <v>0</v>
          </cell>
          <cell r="I1744">
            <v>0</v>
          </cell>
        </row>
        <row r="1745">
          <cell r="A1745" t="str">
            <v>B1742</v>
          </cell>
          <cell r="B1745" t="e">
            <v>#N/A</v>
          </cell>
          <cell r="D1745" t="e">
            <v>#N/A</v>
          </cell>
          <cell r="F1745">
            <v>0</v>
          </cell>
          <cell r="G1745">
            <v>0</v>
          </cell>
          <cell r="I1745">
            <v>0</v>
          </cell>
        </row>
        <row r="1746">
          <cell r="A1746" t="str">
            <v>B1743</v>
          </cell>
          <cell r="B1746" t="e">
            <v>#N/A</v>
          </cell>
          <cell r="D1746" t="e">
            <v>#N/A</v>
          </cell>
          <cell r="F1746">
            <v>0</v>
          </cell>
          <cell r="G1746">
            <v>0</v>
          </cell>
          <cell r="I1746">
            <v>0</v>
          </cell>
        </row>
        <row r="1747">
          <cell r="A1747" t="str">
            <v>B1744</v>
          </cell>
          <cell r="B1747" t="e">
            <v>#N/A</v>
          </cell>
          <cell r="D1747" t="e">
            <v>#N/A</v>
          </cell>
          <cell r="F1747">
            <v>0</v>
          </cell>
          <cell r="G1747">
            <v>0</v>
          </cell>
          <cell r="I1747">
            <v>0</v>
          </cell>
        </row>
        <row r="1748">
          <cell r="A1748" t="str">
            <v>B1745</v>
          </cell>
          <cell r="B1748" t="e">
            <v>#N/A</v>
          </cell>
          <cell r="D1748" t="e">
            <v>#N/A</v>
          </cell>
          <cell r="F1748">
            <v>0</v>
          </cell>
          <cell r="G1748">
            <v>0</v>
          </cell>
          <cell r="I1748">
            <v>0</v>
          </cell>
        </row>
        <row r="1749">
          <cell r="A1749" t="str">
            <v>B1746</v>
          </cell>
          <cell r="B1749" t="e">
            <v>#N/A</v>
          </cell>
          <cell r="D1749" t="e">
            <v>#N/A</v>
          </cell>
          <cell r="F1749">
            <v>0</v>
          </cell>
          <cell r="G1749">
            <v>0</v>
          </cell>
          <cell r="I1749">
            <v>0</v>
          </cell>
        </row>
        <row r="1750">
          <cell r="A1750" t="str">
            <v>B1747</v>
          </cell>
          <cell r="B1750" t="e">
            <v>#N/A</v>
          </cell>
          <cell r="D1750" t="e">
            <v>#N/A</v>
          </cell>
          <cell r="F1750">
            <v>0</v>
          </cell>
          <cell r="G1750">
            <v>0</v>
          </cell>
          <cell r="I1750">
            <v>0</v>
          </cell>
        </row>
        <row r="1751">
          <cell r="A1751" t="str">
            <v>B1748</v>
          </cell>
          <cell r="B1751" t="e">
            <v>#N/A</v>
          </cell>
          <cell r="D1751" t="e">
            <v>#N/A</v>
          </cell>
          <cell r="F1751">
            <v>0</v>
          </cell>
          <cell r="G1751">
            <v>0</v>
          </cell>
          <cell r="I1751">
            <v>0</v>
          </cell>
        </row>
        <row r="1752">
          <cell r="A1752" t="str">
            <v>B1749</v>
          </cell>
          <cell r="B1752" t="e">
            <v>#N/A</v>
          </cell>
          <cell r="D1752" t="e">
            <v>#N/A</v>
          </cell>
          <cell r="F1752">
            <v>0</v>
          </cell>
          <cell r="G1752">
            <v>0</v>
          </cell>
          <cell r="I1752">
            <v>0</v>
          </cell>
        </row>
        <row r="1753">
          <cell r="A1753" t="str">
            <v>B1750</v>
          </cell>
          <cell r="B1753" t="e">
            <v>#N/A</v>
          </cell>
          <cell r="D1753" t="e">
            <v>#N/A</v>
          </cell>
          <cell r="F1753">
            <v>0</v>
          </cell>
          <cell r="G1753">
            <v>0</v>
          </cell>
          <cell r="I1753">
            <v>0</v>
          </cell>
        </row>
        <row r="1754">
          <cell r="A1754" t="str">
            <v>B1751</v>
          </cell>
          <cell r="B1754" t="e">
            <v>#N/A</v>
          </cell>
          <cell r="D1754" t="e">
            <v>#N/A</v>
          </cell>
          <cell r="F1754">
            <v>0</v>
          </cell>
          <cell r="G1754">
            <v>0</v>
          </cell>
          <cell r="I1754">
            <v>0</v>
          </cell>
        </row>
        <row r="1755">
          <cell r="A1755" t="str">
            <v>B1752</v>
          </cell>
          <cell r="B1755" t="e">
            <v>#N/A</v>
          </cell>
          <cell r="D1755" t="e">
            <v>#N/A</v>
          </cell>
          <cell r="F1755">
            <v>0</v>
          </cell>
          <cell r="G1755">
            <v>0</v>
          </cell>
          <cell r="I1755">
            <v>0</v>
          </cell>
        </row>
        <row r="1756">
          <cell r="A1756" t="str">
            <v>B1753</v>
          </cell>
          <cell r="B1756" t="e">
            <v>#N/A</v>
          </cell>
          <cell r="D1756" t="e">
            <v>#N/A</v>
          </cell>
          <cell r="F1756">
            <v>0</v>
          </cell>
          <cell r="G1756">
            <v>0</v>
          </cell>
          <cell r="I1756">
            <v>0</v>
          </cell>
        </row>
        <row r="1757">
          <cell r="A1757" t="str">
            <v>B1754</v>
          </cell>
          <cell r="B1757" t="e">
            <v>#N/A</v>
          </cell>
          <cell r="D1757" t="e">
            <v>#N/A</v>
          </cell>
          <cell r="F1757">
            <v>0</v>
          </cell>
          <cell r="G1757">
            <v>0</v>
          </cell>
          <cell r="I1757">
            <v>0</v>
          </cell>
        </row>
        <row r="1758">
          <cell r="A1758" t="str">
            <v>B1755</v>
          </cell>
          <cell r="B1758" t="e">
            <v>#N/A</v>
          </cell>
          <cell r="D1758" t="e">
            <v>#N/A</v>
          </cell>
          <cell r="F1758">
            <v>0</v>
          </cell>
          <cell r="G1758">
            <v>0</v>
          </cell>
          <cell r="I1758">
            <v>0</v>
          </cell>
        </row>
        <row r="1759">
          <cell r="A1759" t="str">
            <v>B1756</v>
          </cell>
          <cell r="B1759" t="e">
            <v>#N/A</v>
          </cell>
          <cell r="D1759" t="e">
            <v>#N/A</v>
          </cell>
          <cell r="F1759">
            <v>0</v>
          </cell>
          <cell r="G1759">
            <v>0</v>
          </cell>
          <cell r="I1759">
            <v>0</v>
          </cell>
        </row>
        <row r="1760">
          <cell r="A1760" t="str">
            <v>B1757</v>
          </cell>
          <cell r="B1760" t="e">
            <v>#N/A</v>
          </cell>
          <cell r="D1760" t="e">
            <v>#N/A</v>
          </cell>
          <cell r="F1760">
            <v>0</v>
          </cell>
          <cell r="G1760">
            <v>0</v>
          </cell>
          <cell r="I1760">
            <v>0</v>
          </cell>
        </row>
        <row r="1761">
          <cell r="A1761" t="str">
            <v>B1758</v>
          </cell>
          <cell r="B1761" t="e">
            <v>#N/A</v>
          </cell>
          <cell r="D1761" t="e">
            <v>#N/A</v>
          </cell>
          <cell r="F1761">
            <v>0</v>
          </cell>
          <cell r="G1761">
            <v>0</v>
          </cell>
          <cell r="I1761">
            <v>0</v>
          </cell>
        </row>
        <row r="1762">
          <cell r="A1762" t="str">
            <v>B1759</v>
          </cell>
          <cell r="B1762" t="e">
            <v>#N/A</v>
          </cell>
          <cell r="D1762" t="e">
            <v>#N/A</v>
          </cell>
          <cell r="F1762">
            <v>0</v>
          </cell>
          <cell r="G1762">
            <v>0</v>
          </cell>
          <cell r="I1762">
            <v>0</v>
          </cell>
        </row>
        <row r="1763">
          <cell r="A1763" t="str">
            <v>B1760</v>
          </cell>
          <cell r="B1763" t="e">
            <v>#N/A</v>
          </cell>
          <cell r="D1763" t="e">
            <v>#N/A</v>
          </cell>
          <cell r="F1763">
            <v>0</v>
          </cell>
          <cell r="G1763">
            <v>0</v>
          </cell>
          <cell r="I1763">
            <v>0</v>
          </cell>
        </row>
        <row r="1764">
          <cell r="A1764" t="str">
            <v>B1761</v>
          </cell>
          <cell r="B1764" t="e">
            <v>#N/A</v>
          </cell>
          <cell r="D1764" t="e">
            <v>#N/A</v>
          </cell>
          <cell r="F1764">
            <v>0</v>
          </cell>
          <cell r="G1764">
            <v>0</v>
          </cell>
          <cell r="I1764">
            <v>0</v>
          </cell>
        </row>
        <row r="1765">
          <cell r="A1765" t="str">
            <v>B1762</v>
          </cell>
          <cell r="B1765" t="e">
            <v>#N/A</v>
          </cell>
          <cell r="D1765" t="e">
            <v>#N/A</v>
          </cell>
          <cell r="F1765">
            <v>0</v>
          </cell>
          <cell r="G1765">
            <v>0</v>
          </cell>
          <cell r="I1765">
            <v>0</v>
          </cell>
        </row>
        <row r="1766">
          <cell r="A1766" t="str">
            <v>B1763</v>
          </cell>
          <cell r="B1766" t="e">
            <v>#N/A</v>
          </cell>
          <cell r="D1766" t="e">
            <v>#N/A</v>
          </cell>
          <cell r="F1766">
            <v>0</v>
          </cell>
          <cell r="G1766">
            <v>0</v>
          </cell>
          <cell r="I1766">
            <v>0</v>
          </cell>
        </row>
        <row r="1767">
          <cell r="A1767" t="str">
            <v>B1764</v>
          </cell>
          <cell r="B1767" t="e">
            <v>#N/A</v>
          </cell>
          <cell r="D1767" t="e">
            <v>#N/A</v>
          </cell>
          <cell r="F1767">
            <v>0</v>
          </cell>
          <cell r="G1767">
            <v>0</v>
          </cell>
          <cell r="I1767">
            <v>0</v>
          </cell>
        </row>
        <row r="1768">
          <cell r="A1768" t="str">
            <v>B1765</v>
          </cell>
          <cell r="B1768" t="e">
            <v>#N/A</v>
          </cell>
          <cell r="D1768" t="e">
            <v>#N/A</v>
          </cell>
          <cell r="F1768">
            <v>0</v>
          </cell>
          <cell r="G1768">
            <v>0</v>
          </cell>
          <cell r="I1768">
            <v>0</v>
          </cell>
        </row>
        <row r="1769">
          <cell r="A1769" t="str">
            <v>B1766</v>
          </cell>
          <cell r="B1769" t="e">
            <v>#N/A</v>
          </cell>
          <cell r="D1769" t="e">
            <v>#N/A</v>
          </cell>
          <cell r="F1769">
            <v>0</v>
          </cell>
          <cell r="G1769">
            <v>0</v>
          </cell>
          <cell r="I1769">
            <v>0</v>
          </cell>
        </row>
        <row r="1770">
          <cell r="A1770" t="str">
            <v>B1767</v>
          </cell>
          <cell r="B1770" t="e">
            <v>#N/A</v>
          </cell>
          <cell r="D1770" t="e">
            <v>#N/A</v>
          </cell>
          <cell r="F1770">
            <v>0</v>
          </cell>
          <cell r="G1770">
            <v>0</v>
          </cell>
          <cell r="I1770">
            <v>0</v>
          </cell>
        </row>
        <row r="1771">
          <cell r="A1771" t="str">
            <v>B1768</v>
          </cell>
          <cell r="B1771" t="e">
            <v>#N/A</v>
          </cell>
          <cell r="D1771" t="e">
            <v>#N/A</v>
          </cell>
          <cell r="F1771">
            <v>0</v>
          </cell>
          <cell r="G1771">
            <v>0</v>
          </cell>
          <cell r="I1771">
            <v>0</v>
          </cell>
        </row>
        <row r="1772">
          <cell r="A1772" t="str">
            <v>B1769</v>
          </cell>
          <cell r="B1772" t="e">
            <v>#N/A</v>
          </cell>
          <cell r="D1772" t="e">
            <v>#N/A</v>
          </cell>
          <cell r="F1772">
            <v>0</v>
          </cell>
          <cell r="G1772">
            <v>0</v>
          </cell>
          <cell r="I1772">
            <v>0</v>
          </cell>
        </row>
        <row r="1773">
          <cell r="A1773" t="str">
            <v>B1770</v>
          </cell>
          <cell r="B1773" t="e">
            <v>#N/A</v>
          </cell>
          <cell r="D1773" t="e">
            <v>#N/A</v>
          </cell>
          <cell r="F1773">
            <v>0</v>
          </cell>
          <cell r="G1773">
            <v>0</v>
          </cell>
          <cell r="I1773">
            <v>0</v>
          </cell>
        </row>
        <row r="1774">
          <cell r="A1774" t="str">
            <v>B1771</v>
          </cell>
          <cell r="B1774" t="e">
            <v>#N/A</v>
          </cell>
          <cell r="D1774" t="e">
            <v>#N/A</v>
          </cell>
          <cell r="F1774">
            <v>0</v>
          </cell>
          <cell r="G1774">
            <v>0</v>
          </cell>
          <cell r="I1774">
            <v>0</v>
          </cell>
        </row>
        <row r="1775">
          <cell r="A1775" t="str">
            <v>B1772</v>
          </cell>
          <cell r="B1775" t="e">
            <v>#N/A</v>
          </cell>
          <cell r="D1775" t="e">
            <v>#N/A</v>
          </cell>
          <cell r="F1775">
            <v>0</v>
          </cell>
          <cell r="G1775">
            <v>0</v>
          </cell>
          <cell r="I1775">
            <v>0</v>
          </cell>
        </row>
        <row r="1776">
          <cell r="A1776" t="str">
            <v>B1773</v>
          </cell>
          <cell r="B1776" t="e">
            <v>#N/A</v>
          </cell>
          <cell r="D1776" t="e">
            <v>#N/A</v>
          </cell>
          <cell r="F1776">
            <v>0</v>
          </cell>
          <cell r="G1776">
            <v>0</v>
          </cell>
          <cell r="I1776">
            <v>0</v>
          </cell>
        </row>
        <row r="1777">
          <cell r="A1777" t="str">
            <v>B1774</v>
          </cell>
          <cell r="B1777" t="e">
            <v>#N/A</v>
          </cell>
          <cell r="D1777" t="e">
            <v>#N/A</v>
          </cell>
          <cell r="F1777">
            <v>0</v>
          </cell>
          <cell r="G1777">
            <v>0</v>
          </cell>
          <cell r="I1777">
            <v>0</v>
          </cell>
        </row>
        <row r="1778">
          <cell r="A1778" t="str">
            <v>B1775</v>
          </cell>
          <cell r="B1778" t="e">
            <v>#N/A</v>
          </cell>
          <cell r="D1778" t="e">
            <v>#N/A</v>
          </cell>
          <cell r="F1778">
            <v>0</v>
          </cell>
          <cell r="G1778">
            <v>0</v>
          </cell>
          <cell r="I1778">
            <v>0</v>
          </cell>
        </row>
        <row r="1779">
          <cell r="A1779" t="str">
            <v>B1776</v>
          </cell>
          <cell r="B1779" t="e">
            <v>#N/A</v>
          </cell>
          <cell r="D1779" t="e">
            <v>#N/A</v>
          </cell>
          <cell r="F1779">
            <v>0</v>
          </cell>
          <cell r="G1779">
            <v>0</v>
          </cell>
          <cell r="I1779">
            <v>0</v>
          </cell>
        </row>
        <row r="1780">
          <cell r="A1780" t="str">
            <v>B1777</v>
          </cell>
          <cell r="B1780" t="e">
            <v>#N/A</v>
          </cell>
          <cell r="D1780" t="e">
            <v>#N/A</v>
          </cell>
          <cell r="F1780">
            <v>0</v>
          </cell>
          <cell r="G1780">
            <v>0</v>
          </cell>
          <cell r="I1780">
            <v>0</v>
          </cell>
        </row>
        <row r="1781">
          <cell r="A1781" t="str">
            <v>B1778</v>
          </cell>
          <cell r="B1781" t="e">
            <v>#N/A</v>
          </cell>
          <cell r="D1781" t="e">
            <v>#N/A</v>
          </cell>
          <cell r="F1781">
            <v>0</v>
          </cell>
          <cell r="G1781">
            <v>0</v>
          </cell>
          <cell r="I1781">
            <v>0</v>
          </cell>
        </row>
        <row r="1782">
          <cell r="A1782" t="str">
            <v>B1779</v>
          </cell>
          <cell r="B1782" t="e">
            <v>#N/A</v>
          </cell>
          <cell r="D1782" t="e">
            <v>#N/A</v>
          </cell>
          <cell r="F1782">
            <v>0</v>
          </cell>
          <cell r="G1782">
            <v>0</v>
          </cell>
          <cell r="I1782">
            <v>0</v>
          </cell>
        </row>
        <row r="1783">
          <cell r="A1783" t="str">
            <v>B1780</v>
          </cell>
          <cell r="B1783" t="e">
            <v>#N/A</v>
          </cell>
          <cell r="D1783" t="e">
            <v>#N/A</v>
          </cell>
          <cell r="F1783">
            <v>0</v>
          </cell>
          <cell r="G1783">
            <v>0</v>
          </cell>
          <cell r="I1783">
            <v>0</v>
          </cell>
        </row>
        <row r="1784">
          <cell r="A1784" t="str">
            <v>B1781</v>
          </cell>
          <cell r="B1784" t="e">
            <v>#N/A</v>
          </cell>
          <cell r="D1784" t="e">
            <v>#N/A</v>
          </cell>
          <cell r="F1784">
            <v>0</v>
          </cell>
          <cell r="G1784">
            <v>0</v>
          </cell>
          <cell r="I1784">
            <v>0</v>
          </cell>
        </row>
        <row r="1785">
          <cell r="A1785" t="str">
            <v>B1782</v>
          </cell>
          <cell r="B1785" t="e">
            <v>#N/A</v>
          </cell>
          <cell r="D1785" t="e">
            <v>#N/A</v>
          </cell>
          <cell r="F1785">
            <v>0</v>
          </cell>
          <cell r="G1785">
            <v>0</v>
          </cell>
          <cell r="I1785">
            <v>0</v>
          </cell>
        </row>
        <row r="1786">
          <cell r="A1786" t="str">
            <v>B1783</v>
          </cell>
          <cell r="B1786" t="e">
            <v>#N/A</v>
          </cell>
          <cell r="D1786" t="e">
            <v>#N/A</v>
          </cell>
          <cell r="F1786">
            <v>0</v>
          </cell>
          <cell r="G1786">
            <v>0</v>
          </cell>
          <cell r="I1786">
            <v>0</v>
          </cell>
        </row>
        <row r="1787">
          <cell r="A1787" t="str">
            <v>B1784</v>
          </cell>
          <cell r="B1787" t="e">
            <v>#N/A</v>
          </cell>
          <cell r="D1787" t="e">
            <v>#N/A</v>
          </cell>
          <cell r="F1787">
            <v>0</v>
          </cell>
          <cell r="G1787">
            <v>0</v>
          </cell>
          <cell r="I1787">
            <v>0</v>
          </cell>
        </row>
        <row r="1788">
          <cell r="A1788" t="str">
            <v>B1785</v>
          </cell>
          <cell r="B1788" t="e">
            <v>#N/A</v>
          </cell>
          <cell r="D1788" t="e">
            <v>#N/A</v>
          </cell>
          <cell r="F1788">
            <v>0</v>
          </cell>
          <cell r="G1788">
            <v>0</v>
          </cell>
          <cell r="I1788">
            <v>0</v>
          </cell>
        </row>
        <row r="1789">
          <cell r="A1789" t="str">
            <v>B1786</v>
          </cell>
          <cell r="B1789" t="e">
            <v>#N/A</v>
          </cell>
          <cell r="D1789" t="e">
            <v>#N/A</v>
          </cell>
          <cell r="F1789">
            <v>0</v>
          </cell>
          <cell r="G1789">
            <v>0</v>
          </cell>
          <cell r="I1789">
            <v>0</v>
          </cell>
        </row>
        <row r="1790">
          <cell r="A1790" t="str">
            <v>B1787</v>
          </cell>
          <cell r="B1790" t="e">
            <v>#N/A</v>
          </cell>
          <cell r="D1790" t="e">
            <v>#N/A</v>
          </cell>
          <cell r="F1790">
            <v>0</v>
          </cell>
          <cell r="G1790">
            <v>0</v>
          </cell>
          <cell r="I1790">
            <v>0</v>
          </cell>
        </row>
        <row r="1791">
          <cell r="A1791" t="str">
            <v>B1788</v>
          </cell>
          <cell r="B1791" t="e">
            <v>#N/A</v>
          </cell>
          <cell r="D1791" t="e">
            <v>#N/A</v>
          </cell>
          <cell r="F1791">
            <v>0</v>
          </cell>
          <cell r="G1791">
            <v>0</v>
          </cell>
          <cell r="I1791">
            <v>0</v>
          </cell>
        </row>
        <row r="1792">
          <cell r="A1792" t="str">
            <v>B1789</v>
          </cell>
          <cell r="B1792" t="e">
            <v>#N/A</v>
          </cell>
          <cell r="D1792" t="e">
            <v>#N/A</v>
          </cell>
          <cell r="F1792">
            <v>0</v>
          </cell>
          <cell r="G1792">
            <v>0</v>
          </cell>
          <cell r="I1792">
            <v>0</v>
          </cell>
        </row>
        <row r="1793">
          <cell r="A1793" t="str">
            <v>B1790</v>
          </cell>
          <cell r="B1793" t="e">
            <v>#N/A</v>
          </cell>
          <cell r="D1793" t="e">
            <v>#N/A</v>
          </cell>
          <cell r="F1793">
            <v>0</v>
          </cell>
          <cell r="G1793">
            <v>0</v>
          </cell>
          <cell r="I1793">
            <v>0</v>
          </cell>
        </row>
        <row r="1794">
          <cell r="A1794" t="str">
            <v>B1791</v>
          </cell>
          <cell r="B1794" t="e">
            <v>#N/A</v>
          </cell>
          <cell r="D1794" t="e">
            <v>#N/A</v>
          </cell>
          <cell r="F1794">
            <v>0</v>
          </cell>
          <cell r="G1794">
            <v>0</v>
          </cell>
          <cell r="I1794">
            <v>0</v>
          </cell>
        </row>
        <row r="1795">
          <cell r="A1795" t="str">
            <v>B1792</v>
          </cell>
          <cell r="B1795" t="e">
            <v>#N/A</v>
          </cell>
          <cell r="D1795" t="e">
            <v>#N/A</v>
          </cell>
          <cell r="F1795">
            <v>0</v>
          </cell>
          <cell r="G1795">
            <v>0</v>
          </cell>
          <cell r="I1795">
            <v>0</v>
          </cell>
        </row>
        <row r="1796">
          <cell r="A1796" t="str">
            <v>B1793</v>
          </cell>
          <cell r="B1796" t="e">
            <v>#N/A</v>
          </cell>
          <cell r="D1796" t="e">
            <v>#N/A</v>
          </cell>
          <cell r="F1796">
            <v>0</v>
          </cell>
          <cell r="G1796">
            <v>0</v>
          </cell>
          <cell r="I1796">
            <v>0</v>
          </cell>
        </row>
        <row r="1797">
          <cell r="A1797" t="str">
            <v>B1794</v>
          </cell>
          <cell r="B1797" t="e">
            <v>#N/A</v>
          </cell>
          <cell r="D1797" t="e">
            <v>#N/A</v>
          </cell>
          <cell r="F1797">
            <v>0</v>
          </cell>
          <cell r="G1797">
            <v>0</v>
          </cell>
          <cell r="I1797">
            <v>0</v>
          </cell>
        </row>
        <row r="1798">
          <cell r="A1798" t="str">
            <v>B1795</v>
          </cell>
          <cell r="B1798" t="e">
            <v>#N/A</v>
          </cell>
          <cell r="D1798" t="e">
            <v>#N/A</v>
          </cell>
          <cell r="F1798">
            <v>0</v>
          </cell>
          <cell r="G1798">
            <v>0</v>
          </cell>
          <cell r="I1798">
            <v>0</v>
          </cell>
        </row>
        <row r="1799">
          <cell r="A1799" t="str">
            <v>B1796</v>
          </cell>
          <cell r="B1799" t="e">
            <v>#N/A</v>
          </cell>
          <cell r="D1799" t="e">
            <v>#N/A</v>
          </cell>
          <cell r="F1799">
            <v>0</v>
          </cell>
          <cell r="G1799">
            <v>0</v>
          </cell>
          <cell r="I1799">
            <v>0</v>
          </cell>
        </row>
        <row r="1800">
          <cell r="A1800" t="str">
            <v>B1797</v>
          </cell>
          <cell r="B1800" t="e">
            <v>#N/A</v>
          </cell>
          <cell r="D1800" t="e">
            <v>#N/A</v>
          </cell>
          <cell r="F1800">
            <v>0</v>
          </cell>
          <cell r="G1800">
            <v>0</v>
          </cell>
          <cell r="I1800">
            <v>0</v>
          </cell>
        </row>
        <row r="1801">
          <cell r="A1801" t="str">
            <v>B1798</v>
          </cell>
          <cell r="B1801" t="e">
            <v>#N/A</v>
          </cell>
          <cell r="D1801" t="e">
            <v>#N/A</v>
          </cell>
          <cell r="F1801">
            <v>0</v>
          </cell>
          <cell r="G1801">
            <v>0</v>
          </cell>
          <cell r="I1801">
            <v>0</v>
          </cell>
        </row>
        <row r="1802">
          <cell r="A1802" t="str">
            <v>B1799</v>
          </cell>
          <cell r="B1802" t="e">
            <v>#N/A</v>
          </cell>
          <cell r="D1802" t="e">
            <v>#N/A</v>
          </cell>
          <cell r="F1802">
            <v>0</v>
          </cell>
          <cell r="G1802">
            <v>0</v>
          </cell>
          <cell r="I1802">
            <v>0</v>
          </cell>
        </row>
        <row r="1803">
          <cell r="A1803" t="str">
            <v>B1800</v>
          </cell>
          <cell r="B1803" t="e">
            <v>#N/A</v>
          </cell>
          <cell r="D1803" t="e">
            <v>#N/A</v>
          </cell>
          <cell r="F1803">
            <v>0</v>
          </cell>
          <cell r="G1803">
            <v>0</v>
          </cell>
          <cell r="I1803">
            <v>0</v>
          </cell>
        </row>
        <row r="1804">
          <cell r="A1804" t="str">
            <v>B1801</v>
          </cell>
          <cell r="B1804" t="e">
            <v>#N/A</v>
          </cell>
          <cell r="D1804" t="e">
            <v>#N/A</v>
          </cell>
          <cell r="F1804">
            <v>0</v>
          </cell>
          <cell r="G1804">
            <v>0</v>
          </cell>
          <cell r="I1804">
            <v>0</v>
          </cell>
        </row>
        <row r="1805">
          <cell r="A1805" t="str">
            <v>B1802</v>
          </cell>
          <cell r="B1805" t="e">
            <v>#N/A</v>
          </cell>
          <cell r="D1805" t="e">
            <v>#N/A</v>
          </cell>
          <cell r="F1805">
            <v>0</v>
          </cell>
          <cell r="G1805">
            <v>0</v>
          </cell>
          <cell r="I1805">
            <v>0</v>
          </cell>
        </row>
        <row r="1806">
          <cell r="A1806" t="str">
            <v>B1803</v>
          </cell>
          <cell r="B1806" t="e">
            <v>#N/A</v>
          </cell>
          <cell r="D1806" t="e">
            <v>#N/A</v>
          </cell>
          <cell r="F1806">
            <v>0</v>
          </cell>
          <cell r="G1806">
            <v>0</v>
          </cell>
          <cell r="I1806">
            <v>0</v>
          </cell>
        </row>
        <row r="1807">
          <cell r="A1807" t="str">
            <v>B1804</v>
          </cell>
          <cell r="B1807" t="e">
            <v>#N/A</v>
          </cell>
          <cell r="D1807" t="e">
            <v>#N/A</v>
          </cell>
          <cell r="F1807">
            <v>0</v>
          </cell>
          <cell r="G1807">
            <v>0</v>
          </cell>
          <cell r="I1807">
            <v>0</v>
          </cell>
        </row>
        <row r="1808">
          <cell r="A1808" t="str">
            <v>B1805</v>
          </cell>
          <cell r="B1808" t="e">
            <v>#N/A</v>
          </cell>
          <cell r="D1808" t="e">
            <v>#N/A</v>
          </cell>
          <cell r="F1808">
            <v>0</v>
          </cell>
          <cell r="G1808">
            <v>0</v>
          </cell>
          <cell r="I1808">
            <v>0</v>
          </cell>
        </row>
        <row r="1809">
          <cell r="A1809" t="str">
            <v>B1806</v>
          </cell>
          <cell r="B1809" t="e">
            <v>#N/A</v>
          </cell>
          <cell r="D1809" t="e">
            <v>#N/A</v>
          </cell>
          <cell r="F1809">
            <v>0</v>
          </cell>
          <cell r="G1809">
            <v>0</v>
          </cell>
          <cell r="I1809">
            <v>0</v>
          </cell>
        </row>
        <row r="1810">
          <cell r="A1810" t="str">
            <v>B1807</v>
          </cell>
          <cell r="B1810" t="e">
            <v>#N/A</v>
          </cell>
          <cell r="D1810" t="e">
            <v>#N/A</v>
          </cell>
          <cell r="F1810">
            <v>0</v>
          </cell>
          <cell r="G1810">
            <v>0</v>
          </cell>
          <cell r="I1810">
            <v>0</v>
          </cell>
        </row>
        <row r="1811">
          <cell r="A1811" t="str">
            <v>B1808</v>
          </cell>
          <cell r="B1811" t="e">
            <v>#N/A</v>
          </cell>
          <cell r="D1811" t="e">
            <v>#N/A</v>
          </cell>
          <cell r="F1811">
            <v>0</v>
          </cell>
          <cell r="G1811">
            <v>0</v>
          </cell>
          <cell r="I1811">
            <v>0</v>
          </cell>
        </row>
        <row r="1812">
          <cell r="A1812" t="str">
            <v>B1809</v>
          </cell>
          <cell r="B1812" t="e">
            <v>#N/A</v>
          </cell>
          <cell r="D1812" t="e">
            <v>#N/A</v>
          </cell>
          <cell r="F1812">
            <v>0</v>
          </cell>
          <cell r="G1812">
            <v>0</v>
          </cell>
          <cell r="I1812">
            <v>0</v>
          </cell>
        </row>
        <row r="1813">
          <cell r="A1813" t="str">
            <v>B1810</v>
          </cell>
          <cell r="B1813" t="e">
            <v>#N/A</v>
          </cell>
          <cell r="D1813" t="e">
            <v>#N/A</v>
          </cell>
          <cell r="F1813">
            <v>0</v>
          </cell>
          <cell r="G1813">
            <v>0</v>
          </cell>
          <cell r="I1813">
            <v>0</v>
          </cell>
        </row>
        <row r="1814">
          <cell r="A1814" t="str">
            <v>B1811</v>
          </cell>
          <cell r="B1814" t="e">
            <v>#N/A</v>
          </cell>
          <cell r="D1814" t="e">
            <v>#N/A</v>
          </cell>
          <cell r="F1814">
            <v>0</v>
          </cell>
          <cell r="G1814">
            <v>0</v>
          </cell>
          <cell r="I1814">
            <v>0</v>
          </cell>
        </row>
        <row r="1815">
          <cell r="A1815" t="str">
            <v>B1812</v>
          </cell>
          <cell r="B1815" t="e">
            <v>#N/A</v>
          </cell>
          <cell r="D1815" t="e">
            <v>#N/A</v>
          </cell>
          <cell r="F1815">
            <v>0</v>
          </cell>
          <cell r="G1815">
            <v>0</v>
          </cell>
          <cell r="I1815">
            <v>0</v>
          </cell>
        </row>
        <row r="1816">
          <cell r="A1816" t="str">
            <v>B1813</v>
          </cell>
          <cell r="B1816" t="e">
            <v>#N/A</v>
          </cell>
          <cell r="D1816" t="e">
            <v>#N/A</v>
          </cell>
          <cell r="F1816">
            <v>0</v>
          </cell>
          <cell r="G1816">
            <v>0</v>
          </cell>
          <cell r="I1816">
            <v>0</v>
          </cell>
        </row>
        <row r="1817">
          <cell r="A1817" t="str">
            <v>B1814</v>
          </cell>
          <cell r="B1817" t="e">
            <v>#N/A</v>
          </cell>
          <cell r="D1817" t="e">
            <v>#N/A</v>
          </cell>
          <cell r="F1817">
            <v>0</v>
          </cell>
          <cell r="G1817">
            <v>0</v>
          </cell>
          <cell r="I1817">
            <v>0</v>
          </cell>
        </row>
        <row r="1818">
          <cell r="A1818" t="str">
            <v>B1815</v>
          </cell>
          <cell r="B1818" t="e">
            <v>#N/A</v>
          </cell>
          <cell r="D1818" t="e">
            <v>#N/A</v>
          </cell>
          <cell r="F1818">
            <v>0</v>
          </cell>
          <cell r="G1818">
            <v>0</v>
          </cell>
          <cell r="I1818">
            <v>0</v>
          </cell>
        </row>
        <row r="1819">
          <cell r="A1819" t="str">
            <v>B1816</v>
          </cell>
          <cell r="B1819" t="e">
            <v>#N/A</v>
          </cell>
          <cell r="D1819" t="e">
            <v>#N/A</v>
          </cell>
          <cell r="F1819">
            <v>0</v>
          </cell>
          <cell r="G1819">
            <v>0</v>
          </cell>
          <cell r="I1819">
            <v>0</v>
          </cell>
        </row>
        <row r="1820">
          <cell r="A1820" t="str">
            <v>B1817</v>
          </cell>
          <cell r="B1820" t="e">
            <v>#N/A</v>
          </cell>
          <cell r="D1820" t="e">
            <v>#N/A</v>
          </cell>
          <cell r="F1820">
            <v>0</v>
          </cell>
          <cell r="G1820">
            <v>0</v>
          </cell>
          <cell r="I1820">
            <v>0</v>
          </cell>
        </row>
        <row r="1821">
          <cell r="A1821" t="str">
            <v>B1818</v>
          </cell>
          <cell r="B1821" t="e">
            <v>#N/A</v>
          </cell>
          <cell r="D1821" t="e">
            <v>#N/A</v>
          </cell>
          <cell r="F1821">
            <v>0</v>
          </cell>
          <cell r="G1821">
            <v>0</v>
          </cell>
          <cell r="I1821">
            <v>0</v>
          </cell>
        </row>
        <row r="1822">
          <cell r="A1822" t="str">
            <v>B1819</v>
          </cell>
          <cell r="B1822" t="e">
            <v>#N/A</v>
          </cell>
          <cell r="D1822" t="e">
            <v>#N/A</v>
          </cell>
          <cell r="F1822">
            <v>0</v>
          </cell>
          <cell r="G1822">
            <v>0</v>
          </cell>
          <cell r="I1822">
            <v>0</v>
          </cell>
        </row>
        <row r="1823">
          <cell r="A1823" t="str">
            <v>B1820</v>
          </cell>
          <cell r="B1823" t="e">
            <v>#N/A</v>
          </cell>
          <cell r="D1823" t="e">
            <v>#N/A</v>
          </cell>
          <cell r="F1823">
            <v>0</v>
          </cell>
          <cell r="G1823">
            <v>0</v>
          </cell>
          <cell r="I1823">
            <v>0</v>
          </cell>
        </row>
        <row r="1824">
          <cell r="A1824" t="str">
            <v>B1821</v>
          </cell>
          <cell r="B1824" t="e">
            <v>#N/A</v>
          </cell>
          <cell r="D1824" t="e">
            <v>#N/A</v>
          </cell>
          <cell r="F1824">
            <v>0</v>
          </cell>
          <cell r="G1824">
            <v>0</v>
          </cell>
          <cell r="I1824">
            <v>0</v>
          </cell>
        </row>
        <row r="1825">
          <cell r="A1825" t="str">
            <v>B1822</v>
          </cell>
          <cell r="B1825" t="e">
            <v>#N/A</v>
          </cell>
          <cell r="D1825" t="e">
            <v>#N/A</v>
          </cell>
          <cell r="F1825">
            <v>0</v>
          </cell>
          <cell r="G1825">
            <v>0</v>
          </cell>
          <cell r="I1825">
            <v>0</v>
          </cell>
        </row>
        <row r="1826">
          <cell r="A1826" t="str">
            <v>B1823</v>
          </cell>
          <cell r="B1826" t="e">
            <v>#N/A</v>
          </cell>
          <cell r="D1826" t="e">
            <v>#N/A</v>
          </cell>
          <cell r="F1826">
            <v>0</v>
          </cell>
          <cell r="G1826">
            <v>0</v>
          </cell>
          <cell r="I1826">
            <v>0</v>
          </cell>
        </row>
        <row r="1827">
          <cell r="A1827" t="str">
            <v>B1824</v>
          </cell>
          <cell r="B1827" t="e">
            <v>#N/A</v>
          </cell>
          <cell r="D1827" t="e">
            <v>#N/A</v>
          </cell>
          <cell r="F1827">
            <v>0</v>
          </cell>
          <cell r="G1827">
            <v>0</v>
          </cell>
          <cell r="I1827">
            <v>0</v>
          </cell>
        </row>
        <row r="1828">
          <cell r="A1828" t="str">
            <v>B1825</v>
          </cell>
          <cell r="B1828" t="e">
            <v>#N/A</v>
          </cell>
          <cell r="D1828" t="e">
            <v>#N/A</v>
          </cell>
          <cell r="F1828">
            <v>0</v>
          </cell>
          <cell r="G1828">
            <v>0</v>
          </cell>
          <cell r="I1828">
            <v>0</v>
          </cell>
        </row>
        <row r="1829">
          <cell r="A1829" t="str">
            <v>B1826</v>
          </cell>
          <cell r="B1829" t="e">
            <v>#N/A</v>
          </cell>
          <cell r="D1829" t="e">
            <v>#N/A</v>
          </cell>
          <cell r="F1829">
            <v>0</v>
          </cell>
          <cell r="G1829">
            <v>0</v>
          </cell>
          <cell r="I1829">
            <v>0</v>
          </cell>
        </row>
        <row r="1830">
          <cell r="A1830" t="str">
            <v>B1827</v>
          </cell>
          <cell r="B1830" t="e">
            <v>#N/A</v>
          </cell>
          <cell r="D1830" t="e">
            <v>#N/A</v>
          </cell>
          <cell r="F1830">
            <v>0</v>
          </cell>
          <cell r="G1830">
            <v>0</v>
          </cell>
          <cell r="I1830">
            <v>0</v>
          </cell>
        </row>
        <row r="1831">
          <cell r="A1831" t="str">
            <v>B1828</v>
          </cell>
          <cell r="B1831" t="e">
            <v>#N/A</v>
          </cell>
          <cell r="D1831" t="e">
            <v>#N/A</v>
          </cell>
          <cell r="F1831">
            <v>0</v>
          </cell>
          <cell r="G1831">
            <v>0</v>
          </cell>
          <cell r="I1831">
            <v>0</v>
          </cell>
        </row>
        <row r="1832">
          <cell r="A1832" t="str">
            <v>B1829</v>
          </cell>
          <cell r="B1832" t="e">
            <v>#N/A</v>
          </cell>
          <cell r="D1832" t="e">
            <v>#N/A</v>
          </cell>
          <cell r="F1832">
            <v>0</v>
          </cell>
          <cell r="G1832">
            <v>0</v>
          </cell>
          <cell r="I1832">
            <v>0</v>
          </cell>
        </row>
        <row r="1833">
          <cell r="A1833" t="str">
            <v>B1830</v>
          </cell>
          <cell r="B1833" t="e">
            <v>#N/A</v>
          </cell>
          <cell r="D1833" t="e">
            <v>#N/A</v>
          </cell>
          <cell r="F1833">
            <v>0</v>
          </cell>
          <cell r="G1833">
            <v>0</v>
          </cell>
          <cell r="I1833">
            <v>0</v>
          </cell>
        </row>
        <row r="1834">
          <cell r="A1834" t="str">
            <v>B1831</v>
          </cell>
          <cell r="B1834" t="e">
            <v>#N/A</v>
          </cell>
          <cell r="D1834" t="e">
            <v>#N/A</v>
          </cell>
          <cell r="F1834">
            <v>0</v>
          </cell>
          <cell r="G1834">
            <v>0</v>
          </cell>
          <cell r="I1834">
            <v>0</v>
          </cell>
        </row>
        <row r="1835">
          <cell r="A1835" t="str">
            <v>B1832</v>
          </cell>
          <cell r="B1835" t="e">
            <v>#N/A</v>
          </cell>
          <cell r="D1835" t="e">
            <v>#N/A</v>
          </cell>
          <cell r="F1835">
            <v>0</v>
          </cell>
          <cell r="G1835">
            <v>0</v>
          </cell>
          <cell r="I1835">
            <v>0</v>
          </cell>
        </row>
        <row r="1836">
          <cell r="A1836" t="str">
            <v>B1833</v>
          </cell>
          <cell r="B1836" t="e">
            <v>#N/A</v>
          </cell>
          <cell r="D1836" t="e">
            <v>#N/A</v>
          </cell>
          <cell r="F1836">
            <v>0</v>
          </cell>
          <cell r="G1836">
            <v>0</v>
          </cell>
          <cell r="I1836">
            <v>0</v>
          </cell>
        </row>
        <row r="1837">
          <cell r="A1837" t="str">
            <v>B1834</v>
          </cell>
          <cell r="B1837" t="e">
            <v>#N/A</v>
          </cell>
          <cell r="D1837" t="e">
            <v>#N/A</v>
          </cell>
          <cell r="F1837">
            <v>0</v>
          </cell>
          <cell r="G1837">
            <v>0</v>
          </cell>
          <cell r="I1837">
            <v>0</v>
          </cell>
        </row>
        <row r="1838">
          <cell r="A1838" t="str">
            <v>B1835</v>
          </cell>
          <cell r="B1838" t="e">
            <v>#N/A</v>
          </cell>
          <cell r="D1838" t="e">
            <v>#N/A</v>
          </cell>
          <cell r="F1838">
            <v>0</v>
          </cell>
          <cell r="G1838">
            <v>0</v>
          </cell>
          <cell r="I1838">
            <v>0</v>
          </cell>
        </row>
        <row r="1839">
          <cell r="A1839" t="str">
            <v>B1836</v>
          </cell>
          <cell r="B1839" t="e">
            <v>#N/A</v>
          </cell>
          <cell r="D1839" t="e">
            <v>#N/A</v>
          </cell>
          <cell r="F1839">
            <v>0</v>
          </cell>
          <cell r="G1839">
            <v>0</v>
          </cell>
          <cell r="I1839">
            <v>0</v>
          </cell>
        </row>
        <row r="1840">
          <cell r="A1840" t="str">
            <v>B1837</v>
          </cell>
          <cell r="B1840" t="e">
            <v>#N/A</v>
          </cell>
          <cell r="D1840" t="e">
            <v>#N/A</v>
          </cell>
          <cell r="F1840">
            <v>0</v>
          </cell>
          <cell r="G1840">
            <v>0</v>
          </cell>
          <cell r="I1840">
            <v>0</v>
          </cell>
        </row>
        <row r="1841">
          <cell r="A1841" t="str">
            <v>B1838</v>
          </cell>
          <cell r="B1841" t="e">
            <v>#N/A</v>
          </cell>
          <cell r="D1841" t="e">
            <v>#N/A</v>
          </cell>
          <cell r="F1841">
            <v>0</v>
          </cell>
          <cell r="G1841">
            <v>0</v>
          </cell>
          <cell r="I1841">
            <v>0</v>
          </cell>
        </row>
        <row r="1842">
          <cell r="A1842" t="str">
            <v>B1839</v>
          </cell>
          <cell r="B1842" t="e">
            <v>#N/A</v>
          </cell>
          <cell r="D1842" t="e">
            <v>#N/A</v>
          </cell>
          <cell r="F1842">
            <v>0</v>
          </cell>
          <cell r="G1842">
            <v>0</v>
          </cell>
          <cell r="I1842">
            <v>0</v>
          </cell>
        </row>
        <row r="1843">
          <cell r="A1843" t="str">
            <v>B1840</v>
          </cell>
          <cell r="B1843" t="e">
            <v>#N/A</v>
          </cell>
          <cell r="D1843" t="e">
            <v>#N/A</v>
          </cell>
          <cell r="F1843">
            <v>0</v>
          </cell>
          <cell r="G1843">
            <v>0</v>
          </cell>
          <cell r="I1843">
            <v>0</v>
          </cell>
        </row>
        <row r="1844">
          <cell r="A1844" t="str">
            <v>B1841</v>
          </cell>
          <cell r="B1844" t="e">
            <v>#N/A</v>
          </cell>
          <cell r="D1844" t="e">
            <v>#N/A</v>
          </cell>
          <cell r="F1844">
            <v>0</v>
          </cell>
          <cell r="G1844">
            <v>0</v>
          </cell>
          <cell r="I1844">
            <v>0</v>
          </cell>
        </row>
        <row r="1845">
          <cell r="A1845" t="str">
            <v>B1842</v>
          </cell>
          <cell r="B1845" t="e">
            <v>#N/A</v>
          </cell>
          <cell r="D1845" t="e">
            <v>#N/A</v>
          </cell>
          <cell r="F1845">
            <v>0</v>
          </cell>
          <cell r="G1845">
            <v>0</v>
          </cell>
          <cell r="I1845">
            <v>0</v>
          </cell>
        </row>
        <row r="1846">
          <cell r="A1846" t="str">
            <v>B1843</v>
          </cell>
          <cell r="B1846" t="e">
            <v>#N/A</v>
          </cell>
          <cell r="D1846" t="e">
            <v>#N/A</v>
          </cell>
          <cell r="F1846">
            <v>0</v>
          </cell>
          <cell r="G1846">
            <v>0</v>
          </cell>
          <cell r="I1846">
            <v>0</v>
          </cell>
        </row>
        <row r="1847">
          <cell r="A1847" t="str">
            <v>B1844</v>
          </cell>
          <cell r="B1847" t="e">
            <v>#N/A</v>
          </cell>
          <cell r="D1847" t="e">
            <v>#N/A</v>
          </cell>
          <cell r="F1847">
            <v>0</v>
          </cell>
          <cell r="G1847">
            <v>0</v>
          </cell>
          <cell r="I1847">
            <v>0</v>
          </cell>
        </row>
        <row r="1848">
          <cell r="A1848" t="str">
            <v>B1845</v>
          </cell>
          <cell r="B1848" t="e">
            <v>#N/A</v>
          </cell>
          <cell r="D1848" t="e">
            <v>#N/A</v>
          </cell>
          <cell r="F1848">
            <v>0</v>
          </cell>
          <cell r="G1848">
            <v>0</v>
          </cell>
          <cell r="I1848">
            <v>0</v>
          </cell>
        </row>
        <row r="1849">
          <cell r="A1849" t="str">
            <v>B1846</v>
          </cell>
          <cell r="B1849" t="e">
            <v>#N/A</v>
          </cell>
          <cell r="D1849" t="e">
            <v>#N/A</v>
          </cell>
          <cell r="F1849">
            <v>0</v>
          </cell>
          <cell r="G1849">
            <v>0</v>
          </cell>
          <cell r="I1849">
            <v>0</v>
          </cell>
        </row>
        <row r="1850">
          <cell r="A1850" t="str">
            <v>B1847</v>
          </cell>
          <cell r="B1850" t="e">
            <v>#N/A</v>
          </cell>
          <cell r="D1850" t="e">
            <v>#N/A</v>
          </cell>
          <cell r="F1850">
            <v>0</v>
          </cell>
          <cell r="G1850">
            <v>0</v>
          </cell>
          <cell r="I1850">
            <v>0</v>
          </cell>
        </row>
        <row r="1851">
          <cell r="A1851" t="str">
            <v>B1848</v>
          </cell>
          <cell r="B1851" t="e">
            <v>#N/A</v>
          </cell>
          <cell r="D1851" t="e">
            <v>#N/A</v>
          </cell>
          <cell r="F1851">
            <v>0</v>
          </cell>
          <cell r="G1851">
            <v>0</v>
          </cell>
          <cell r="I1851">
            <v>0</v>
          </cell>
        </row>
        <row r="1852">
          <cell r="A1852" t="str">
            <v>B1849</v>
          </cell>
          <cell r="B1852" t="e">
            <v>#N/A</v>
          </cell>
          <cell r="D1852" t="e">
            <v>#N/A</v>
          </cell>
          <cell r="F1852">
            <v>0</v>
          </cell>
          <cell r="G1852">
            <v>0</v>
          </cell>
          <cell r="I1852">
            <v>0</v>
          </cell>
        </row>
        <row r="1853">
          <cell r="A1853" t="str">
            <v>B1850</v>
          </cell>
          <cell r="B1853" t="e">
            <v>#N/A</v>
          </cell>
          <cell r="D1853" t="e">
            <v>#N/A</v>
          </cell>
          <cell r="F1853">
            <v>0</v>
          </cell>
          <cell r="G1853">
            <v>0</v>
          </cell>
          <cell r="I1853">
            <v>0</v>
          </cell>
        </row>
        <row r="1854">
          <cell r="A1854" t="str">
            <v>B1851</v>
          </cell>
          <cell r="B1854" t="e">
            <v>#N/A</v>
          </cell>
          <cell r="D1854" t="e">
            <v>#N/A</v>
          </cell>
          <cell r="F1854">
            <v>0</v>
          </cell>
          <cell r="G1854">
            <v>0</v>
          </cell>
          <cell r="I1854">
            <v>0</v>
          </cell>
        </row>
        <row r="1855">
          <cell r="A1855" t="str">
            <v>B1852</v>
          </cell>
          <cell r="B1855" t="e">
            <v>#N/A</v>
          </cell>
          <cell r="D1855" t="e">
            <v>#N/A</v>
          </cell>
          <cell r="F1855">
            <v>0</v>
          </cell>
          <cell r="G1855">
            <v>0</v>
          </cell>
          <cell r="I1855">
            <v>0</v>
          </cell>
        </row>
        <row r="1856">
          <cell r="A1856" t="str">
            <v>B1853</v>
          </cell>
          <cell r="B1856" t="e">
            <v>#N/A</v>
          </cell>
          <cell r="D1856" t="e">
            <v>#N/A</v>
          </cell>
          <cell r="F1856">
            <v>0</v>
          </cell>
          <cell r="G1856">
            <v>0</v>
          </cell>
          <cell r="I1856">
            <v>0</v>
          </cell>
        </row>
        <row r="1857">
          <cell r="A1857" t="str">
            <v>B1854</v>
          </cell>
          <cell r="B1857" t="e">
            <v>#N/A</v>
          </cell>
          <cell r="D1857" t="e">
            <v>#N/A</v>
          </cell>
          <cell r="F1857">
            <v>0</v>
          </cell>
          <cell r="G1857">
            <v>0</v>
          </cell>
          <cell r="I1857">
            <v>0</v>
          </cell>
        </row>
        <row r="1858">
          <cell r="A1858" t="str">
            <v>B1855</v>
          </cell>
          <cell r="B1858" t="e">
            <v>#N/A</v>
          </cell>
          <cell r="D1858" t="e">
            <v>#N/A</v>
          </cell>
          <cell r="F1858">
            <v>0</v>
          </cell>
          <cell r="G1858">
            <v>0</v>
          </cell>
          <cell r="I1858">
            <v>0</v>
          </cell>
        </row>
        <row r="1859">
          <cell r="A1859" t="str">
            <v>B1856</v>
          </cell>
          <cell r="B1859" t="e">
            <v>#N/A</v>
          </cell>
          <cell r="D1859" t="e">
            <v>#N/A</v>
          </cell>
          <cell r="F1859">
            <v>0</v>
          </cell>
          <cell r="G1859">
            <v>0</v>
          </cell>
          <cell r="I1859">
            <v>0</v>
          </cell>
        </row>
        <row r="1860">
          <cell r="A1860" t="str">
            <v>B1857</v>
          </cell>
          <cell r="B1860" t="e">
            <v>#N/A</v>
          </cell>
          <cell r="D1860" t="e">
            <v>#N/A</v>
          </cell>
          <cell r="F1860">
            <v>0</v>
          </cell>
          <cell r="G1860">
            <v>0</v>
          </cell>
          <cell r="I1860">
            <v>0</v>
          </cell>
        </row>
        <row r="1861">
          <cell r="A1861" t="str">
            <v>B1858</v>
          </cell>
          <cell r="B1861" t="e">
            <v>#N/A</v>
          </cell>
          <cell r="D1861" t="e">
            <v>#N/A</v>
          </cell>
          <cell r="F1861">
            <v>0</v>
          </cell>
          <cell r="G1861">
            <v>0</v>
          </cell>
          <cell r="I1861">
            <v>0</v>
          </cell>
        </row>
        <row r="1862">
          <cell r="A1862" t="str">
            <v>B1859</v>
          </cell>
          <cell r="B1862" t="e">
            <v>#N/A</v>
          </cell>
          <cell r="D1862" t="e">
            <v>#N/A</v>
          </cell>
          <cell r="F1862">
            <v>0</v>
          </cell>
          <cell r="G1862">
            <v>0</v>
          </cell>
          <cell r="I1862">
            <v>0</v>
          </cell>
        </row>
        <row r="1863">
          <cell r="A1863" t="str">
            <v>B1860</v>
          </cell>
          <cell r="B1863" t="e">
            <v>#N/A</v>
          </cell>
          <cell r="D1863" t="e">
            <v>#N/A</v>
          </cell>
          <cell r="F1863">
            <v>0</v>
          </cell>
          <cell r="G1863">
            <v>0</v>
          </cell>
          <cell r="I1863">
            <v>0</v>
          </cell>
        </row>
        <row r="1864">
          <cell r="A1864" t="str">
            <v>B1861</v>
          </cell>
          <cell r="B1864" t="e">
            <v>#N/A</v>
          </cell>
          <cell r="D1864" t="e">
            <v>#N/A</v>
          </cell>
          <cell r="F1864">
            <v>0</v>
          </cell>
          <cell r="G1864">
            <v>0</v>
          </cell>
          <cell r="I1864">
            <v>0</v>
          </cell>
        </row>
        <row r="1865">
          <cell r="A1865" t="str">
            <v>B1862</v>
          </cell>
          <cell r="B1865" t="e">
            <v>#N/A</v>
          </cell>
          <cell r="D1865" t="e">
            <v>#N/A</v>
          </cell>
          <cell r="F1865">
            <v>0</v>
          </cell>
          <cell r="G1865">
            <v>0</v>
          </cell>
          <cell r="I1865">
            <v>0</v>
          </cell>
        </row>
        <row r="1866">
          <cell r="A1866" t="str">
            <v>B1863</v>
          </cell>
          <cell r="B1866" t="e">
            <v>#N/A</v>
          </cell>
          <cell r="D1866" t="e">
            <v>#N/A</v>
          </cell>
          <cell r="F1866">
            <v>0</v>
          </cell>
          <cell r="G1866">
            <v>0</v>
          </cell>
          <cell r="I1866">
            <v>0</v>
          </cell>
        </row>
        <row r="1867">
          <cell r="A1867" t="str">
            <v>B1864</v>
          </cell>
          <cell r="B1867" t="e">
            <v>#N/A</v>
          </cell>
          <cell r="D1867" t="e">
            <v>#N/A</v>
          </cell>
          <cell r="F1867">
            <v>0</v>
          </cell>
          <cell r="G1867">
            <v>0</v>
          </cell>
          <cell r="I1867">
            <v>0</v>
          </cell>
        </row>
        <row r="1868">
          <cell r="A1868" t="str">
            <v>B1865</v>
          </cell>
          <cell r="B1868" t="e">
            <v>#N/A</v>
          </cell>
          <cell r="D1868" t="e">
            <v>#N/A</v>
          </cell>
          <cell r="F1868">
            <v>0</v>
          </cell>
          <cell r="G1868">
            <v>0</v>
          </cell>
          <cell r="I1868">
            <v>0</v>
          </cell>
        </row>
        <row r="1869">
          <cell r="A1869" t="str">
            <v>B1866</v>
          </cell>
          <cell r="B1869" t="e">
            <v>#N/A</v>
          </cell>
          <cell r="D1869" t="e">
            <v>#N/A</v>
          </cell>
          <cell r="F1869">
            <v>0</v>
          </cell>
          <cell r="G1869">
            <v>0</v>
          </cell>
          <cell r="I1869">
            <v>0</v>
          </cell>
        </row>
        <row r="1870">
          <cell r="A1870" t="str">
            <v>B1867</v>
          </cell>
          <cell r="B1870" t="e">
            <v>#N/A</v>
          </cell>
          <cell r="D1870" t="e">
            <v>#N/A</v>
          </cell>
          <cell r="F1870">
            <v>0</v>
          </cell>
          <cell r="G1870">
            <v>0</v>
          </cell>
          <cell r="I1870">
            <v>0</v>
          </cell>
        </row>
        <row r="1871">
          <cell r="A1871" t="str">
            <v>B1868</v>
          </cell>
          <cell r="B1871" t="e">
            <v>#N/A</v>
          </cell>
          <cell r="D1871" t="e">
            <v>#N/A</v>
          </cell>
          <cell r="F1871">
            <v>0</v>
          </cell>
          <cell r="G1871">
            <v>0</v>
          </cell>
          <cell r="I1871">
            <v>0</v>
          </cell>
        </row>
        <row r="1872">
          <cell r="A1872" t="str">
            <v>B1869</v>
          </cell>
          <cell r="B1872" t="e">
            <v>#N/A</v>
          </cell>
          <cell r="D1872" t="e">
            <v>#N/A</v>
          </cell>
          <cell r="F1872">
            <v>0</v>
          </cell>
          <cell r="G1872">
            <v>0</v>
          </cell>
          <cell r="I1872">
            <v>0</v>
          </cell>
        </row>
        <row r="1873">
          <cell r="A1873" t="str">
            <v>B1870</v>
          </cell>
          <cell r="B1873" t="e">
            <v>#N/A</v>
          </cell>
          <cell r="D1873" t="e">
            <v>#N/A</v>
          </cell>
          <cell r="F1873">
            <v>0</v>
          </cell>
          <cell r="G1873">
            <v>0</v>
          </cell>
          <cell r="I1873">
            <v>0</v>
          </cell>
        </row>
        <row r="1874">
          <cell r="A1874" t="str">
            <v>B1871</v>
          </cell>
          <cell r="B1874" t="e">
            <v>#N/A</v>
          </cell>
          <cell r="D1874" t="e">
            <v>#N/A</v>
          </cell>
          <cell r="F1874">
            <v>0</v>
          </cell>
          <cell r="G1874">
            <v>0</v>
          </cell>
          <cell r="I1874">
            <v>0</v>
          </cell>
        </row>
        <row r="1875">
          <cell r="A1875" t="str">
            <v>B1872</v>
          </cell>
          <cell r="B1875" t="e">
            <v>#N/A</v>
          </cell>
          <cell r="D1875" t="e">
            <v>#N/A</v>
          </cell>
          <cell r="F1875">
            <v>0</v>
          </cell>
          <cell r="G1875">
            <v>0</v>
          </cell>
          <cell r="I1875">
            <v>0</v>
          </cell>
        </row>
        <row r="1876">
          <cell r="A1876" t="str">
            <v>B1873</v>
          </cell>
          <cell r="B1876" t="e">
            <v>#N/A</v>
          </cell>
          <cell r="D1876" t="e">
            <v>#N/A</v>
          </cell>
          <cell r="F1876">
            <v>0</v>
          </cell>
          <cell r="G1876">
            <v>0</v>
          </cell>
          <cell r="I1876">
            <v>0</v>
          </cell>
        </row>
        <row r="1877">
          <cell r="A1877" t="str">
            <v>B1874</v>
          </cell>
          <cell r="B1877" t="e">
            <v>#N/A</v>
          </cell>
          <cell r="D1877" t="e">
            <v>#N/A</v>
          </cell>
          <cell r="F1877">
            <v>0</v>
          </cell>
          <cell r="G1877">
            <v>0</v>
          </cell>
          <cell r="I1877">
            <v>0</v>
          </cell>
        </row>
        <row r="1878">
          <cell r="A1878" t="str">
            <v>B1875</v>
          </cell>
          <cell r="B1878" t="e">
            <v>#N/A</v>
          </cell>
          <cell r="D1878" t="e">
            <v>#N/A</v>
          </cell>
          <cell r="F1878">
            <v>0</v>
          </cell>
          <cell r="G1878">
            <v>0</v>
          </cell>
          <cell r="I1878">
            <v>0</v>
          </cell>
        </row>
        <row r="1879">
          <cell r="A1879" t="str">
            <v>B1876</v>
          </cell>
          <cell r="B1879" t="e">
            <v>#N/A</v>
          </cell>
          <cell r="D1879" t="e">
            <v>#N/A</v>
          </cell>
          <cell r="F1879">
            <v>0</v>
          </cell>
          <cell r="G1879">
            <v>0</v>
          </cell>
          <cell r="I1879">
            <v>0</v>
          </cell>
        </row>
        <row r="1880">
          <cell r="A1880" t="str">
            <v>B1877</v>
          </cell>
          <cell r="B1880" t="e">
            <v>#N/A</v>
          </cell>
          <cell r="D1880" t="e">
            <v>#N/A</v>
          </cell>
          <cell r="F1880">
            <v>0</v>
          </cell>
          <cell r="G1880">
            <v>0</v>
          </cell>
          <cell r="I1880">
            <v>0</v>
          </cell>
        </row>
        <row r="1881">
          <cell r="A1881" t="str">
            <v>B1878</v>
          </cell>
          <cell r="B1881" t="e">
            <v>#N/A</v>
          </cell>
          <cell r="D1881" t="e">
            <v>#N/A</v>
          </cell>
          <cell r="F1881">
            <v>0</v>
          </cell>
          <cell r="G1881">
            <v>0</v>
          </cell>
          <cell r="I1881">
            <v>0</v>
          </cell>
        </row>
        <row r="1882">
          <cell r="A1882" t="str">
            <v>B1879</v>
          </cell>
          <cell r="B1882" t="e">
            <v>#N/A</v>
          </cell>
          <cell r="D1882" t="e">
            <v>#N/A</v>
          </cell>
          <cell r="F1882">
            <v>0</v>
          </cell>
          <cell r="G1882">
            <v>0</v>
          </cell>
          <cell r="I1882">
            <v>0</v>
          </cell>
        </row>
        <row r="1883">
          <cell r="A1883" t="str">
            <v>B1880</v>
          </cell>
          <cell r="B1883" t="e">
            <v>#N/A</v>
          </cell>
          <cell r="D1883" t="e">
            <v>#N/A</v>
          </cell>
          <cell r="F1883">
            <v>0</v>
          </cell>
          <cell r="G1883">
            <v>0</v>
          </cell>
          <cell r="I1883">
            <v>0</v>
          </cell>
        </row>
        <row r="1884">
          <cell r="A1884" t="str">
            <v>B1881</v>
          </cell>
          <cell r="B1884" t="e">
            <v>#N/A</v>
          </cell>
          <cell r="D1884" t="e">
            <v>#N/A</v>
          </cell>
          <cell r="F1884">
            <v>0</v>
          </cell>
          <cell r="G1884">
            <v>0</v>
          </cell>
          <cell r="I1884">
            <v>0</v>
          </cell>
        </row>
        <row r="1885">
          <cell r="A1885" t="str">
            <v>B1882</v>
          </cell>
          <cell r="B1885" t="e">
            <v>#N/A</v>
          </cell>
          <cell r="D1885" t="e">
            <v>#N/A</v>
          </cell>
          <cell r="F1885">
            <v>0</v>
          </cell>
          <cell r="G1885">
            <v>0</v>
          </cell>
          <cell r="I1885">
            <v>0</v>
          </cell>
        </row>
        <row r="1886">
          <cell r="A1886" t="str">
            <v>B1883</v>
          </cell>
          <cell r="B1886" t="e">
            <v>#N/A</v>
          </cell>
          <cell r="D1886" t="e">
            <v>#N/A</v>
          </cell>
          <cell r="F1886">
            <v>0</v>
          </cell>
          <cell r="G1886">
            <v>0</v>
          </cell>
          <cell r="I1886">
            <v>0</v>
          </cell>
        </row>
        <row r="1887">
          <cell r="A1887" t="str">
            <v>B1884</v>
          </cell>
          <cell r="B1887" t="e">
            <v>#N/A</v>
          </cell>
          <cell r="D1887" t="e">
            <v>#N/A</v>
          </cell>
          <cell r="F1887">
            <v>0</v>
          </cell>
          <cell r="G1887">
            <v>0</v>
          </cell>
          <cell r="I1887">
            <v>0</v>
          </cell>
        </row>
        <row r="1888">
          <cell r="A1888" t="str">
            <v>B1885</v>
          </cell>
          <cell r="B1888" t="e">
            <v>#N/A</v>
          </cell>
          <cell r="D1888" t="e">
            <v>#N/A</v>
          </cell>
          <cell r="F1888">
            <v>0</v>
          </cell>
          <cell r="G1888">
            <v>0</v>
          </cell>
          <cell r="I1888">
            <v>0</v>
          </cell>
        </row>
        <row r="1889">
          <cell r="A1889" t="str">
            <v>B1886</v>
          </cell>
          <cell r="B1889" t="e">
            <v>#N/A</v>
          </cell>
          <cell r="D1889" t="e">
            <v>#N/A</v>
          </cell>
          <cell r="F1889">
            <v>0</v>
          </cell>
          <cell r="G1889">
            <v>0</v>
          </cell>
          <cell r="I1889">
            <v>0</v>
          </cell>
        </row>
        <row r="1890">
          <cell r="A1890" t="str">
            <v>B1887</v>
          </cell>
          <cell r="B1890" t="e">
            <v>#N/A</v>
          </cell>
          <cell r="D1890" t="e">
            <v>#N/A</v>
          </cell>
          <cell r="F1890">
            <v>0</v>
          </cell>
          <cell r="G1890">
            <v>0</v>
          </cell>
          <cell r="I1890">
            <v>0</v>
          </cell>
        </row>
        <row r="1891">
          <cell r="A1891" t="str">
            <v>B1888</v>
          </cell>
          <cell r="B1891" t="e">
            <v>#N/A</v>
          </cell>
          <cell r="D1891" t="e">
            <v>#N/A</v>
          </cell>
          <cell r="F1891">
            <v>0</v>
          </cell>
          <cell r="G1891">
            <v>0</v>
          </cell>
          <cell r="I1891">
            <v>0</v>
          </cell>
        </row>
        <row r="1892">
          <cell r="A1892" t="str">
            <v>B1889</v>
          </cell>
          <cell r="B1892" t="e">
            <v>#N/A</v>
          </cell>
          <cell r="D1892" t="e">
            <v>#N/A</v>
          </cell>
          <cell r="F1892">
            <v>0</v>
          </cell>
          <cell r="G1892">
            <v>0</v>
          </cell>
          <cell r="I1892">
            <v>0</v>
          </cell>
        </row>
        <row r="1893">
          <cell r="A1893" t="str">
            <v>B1890</v>
          </cell>
          <cell r="B1893" t="e">
            <v>#N/A</v>
          </cell>
          <cell r="D1893" t="e">
            <v>#N/A</v>
          </cell>
          <cell r="F1893">
            <v>0</v>
          </cell>
          <cell r="G1893">
            <v>0</v>
          </cell>
          <cell r="I1893">
            <v>0</v>
          </cell>
        </row>
        <row r="1894">
          <cell r="A1894" t="str">
            <v>B1891</v>
          </cell>
          <cell r="B1894" t="e">
            <v>#N/A</v>
          </cell>
          <cell r="D1894" t="e">
            <v>#N/A</v>
          </cell>
          <cell r="F1894">
            <v>0</v>
          </cell>
          <cell r="G1894">
            <v>0</v>
          </cell>
          <cell r="I1894">
            <v>0</v>
          </cell>
        </row>
        <row r="1895">
          <cell r="A1895" t="str">
            <v>B1892</v>
          </cell>
          <cell r="B1895" t="e">
            <v>#N/A</v>
          </cell>
          <cell r="D1895" t="e">
            <v>#N/A</v>
          </cell>
          <cell r="F1895">
            <v>0</v>
          </cell>
          <cell r="G1895">
            <v>0</v>
          </cell>
          <cell r="I1895">
            <v>0</v>
          </cell>
        </row>
        <row r="1896">
          <cell r="A1896" t="str">
            <v>B1893</v>
          </cell>
          <cell r="B1896" t="e">
            <v>#N/A</v>
          </cell>
          <cell r="D1896" t="e">
            <v>#N/A</v>
          </cell>
          <cell r="F1896">
            <v>0</v>
          </cell>
          <cell r="G1896">
            <v>0</v>
          </cell>
          <cell r="I1896">
            <v>0</v>
          </cell>
        </row>
        <row r="1897">
          <cell r="A1897" t="str">
            <v>B1894</v>
          </cell>
          <cell r="B1897" t="e">
            <v>#N/A</v>
          </cell>
          <cell r="D1897" t="e">
            <v>#N/A</v>
          </cell>
          <cell r="F1897">
            <v>0</v>
          </cell>
          <cell r="G1897">
            <v>0</v>
          </cell>
          <cell r="I1897">
            <v>0</v>
          </cell>
        </row>
        <row r="1898">
          <cell r="A1898" t="str">
            <v>B1895</v>
          </cell>
          <cell r="B1898" t="e">
            <v>#N/A</v>
          </cell>
          <cell r="D1898" t="e">
            <v>#N/A</v>
          </cell>
          <cell r="F1898">
            <v>0</v>
          </cell>
          <cell r="G1898">
            <v>0</v>
          </cell>
          <cell r="I1898">
            <v>0</v>
          </cell>
        </row>
        <row r="1899">
          <cell r="A1899" t="str">
            <v>B1896</v>
          </cell>
          <cell r="B1899" t="e">
            <v>#N/A</v>
          </cell>
          <cell r="D1899" t="e">
            <v>#N/A</v>
          </cell>
          <cell r="F1899">
            <v>0</v>
          </cell>
          <cell r="G1899">
            <v>0</v>
          </cell>
          <cell r="I1899">
            <v>0</v>
          </cell>
        </row>
        <row r="1900">
          <cell r="A1900" t="str">
            <v>B1897</v>
          </cell>
          <cell r="B1900" t="e">
            <v>#N/A</v>
          </cell>
          <cell r="D1900" t="e">
            <v>#N/A</v>
          </cell>
          <cell r="F1900">
            <v>0</v>
          </cell>
          <cell r="G1900">
            <v>0</v>
          </cell>
          <cell r="I1900">
            <v>0</v>
          </cell>
        </row>
        <row r="1901">
          <cell r="A1901" t="str">
            <v>B1898</v>
          </cell>
          <cell r="B1901" t="e">
            <v>#N/A</v>
          </cell>
          <cell r="D1901" t="e">
            <v>#N/A</v>
          </cell>
          <cell r="F1901">
            <v>0</v>
          </cell>
          <cell r="G1901">
            <v>0</v>
          </cell>
          <cell r="I1901">
            <v>0</v>
          </cell>
        </row>
        <row r="1902">
          <cell r="A1902" t="str">
            <v>B1899</v>
          </cell>
          <cell r="B1902" t="e">
            <v>#N/A</v>
          </cell>
          <cell r="D1902" t="e">
            <v>#N/A</v>
          </cell>
          <cell r="F1902">
            <v>0</v>
          </cell>
          <cell r="G1902">
            <v>0</v>
          </cell>
          <cell r="I1902">
            <v>0</v>
          </cell>
        </row>
        <row r="1903">
          <cell r="A1903" t="str">
            <v>B1900</v>
          </cell>
          <cell r="B1903" t="e">
            <v>#N/A</v>
          </cell>
          <cell r="D1903" t="e">
            <v>#N/A</v>
          </cell>
          <cell r="F1903">
            <v>0</v>
          </cell>
          <cell r="G1903">
            <v>0</v>
          </cell>
          <cell r="I1903">
            <v>0</v>
          </cell>
        </row>
        <row r="1904">
          <cell r="A1904" t="str">
            <v>B1901</v>
          </cell>
          <cell r="B1904" t="e">
            <v>#N/A</v>
          </cell>
          <cell r="D1904" t="e">
            <v>#N/A</v>
          </cell>
          <cell r="F1904">
            <v>0</v>
          </cell>
          <cell r="G1904">
            <v>0</v>
          </cell>
          <cell r="I1904">
            <v>0</v>
          </cell>
        </row>
        <row r="1905">
          <cell r="A1905" t="str">
            <v>B1902</v>
          </cell>
          <cell r="B1905" t="e">
            <v>#N/A</v>
          </cell>
          <cell r="D1905" t="e">
            <v>#N/A</v>
          </cell>
          <cell r="F1905">
            <v>0</v>
          </cell>
          <cell r="G1905">
            <v>0</v>
          </cell>
          <cell r="I1905">
            <v>0</v>
          </cell>
        </row>
        <row r="1906">
          <cell r="A1906" t="str">
            <v>B1903</v>
          </cell>
          <cell r="B1906" t="e">
            <v>#N/A</v>
          </cell>
          <cell r="D1906" t="e">
            <v>#N/A</v>
          </cell>
          <cell r="F1906">
            <v>0</v>
          </cell>
          <cell r="G1906">
            <v>0</v>
          </cell>
          <cell r="I1906">
            <v>0</v>
          </cell>
        </row>
        <row r="1907">
          <cell r="A1907" t="str">
            <v>B1904</v>
          </cell>
          <cell r="B1907" t="e">
            <v>#N/A</v>
          </cell>
          <cell r="D1907" t="e">
            <v>#N/A</v>
          </cell>
          <cell r="F1907">
            <v>0</v>
          </cell>
          <cell r="G1907">
            <v>0</v>
          </cell>
          <cell r="I1907">
            <v>0</v>
          </cell>
        </row>
        <row r="1908">
          <cell r="A1908" t="str">
            <v>B1905</v>
          </cell>
          <cell r="B1908" t="e">
            <v>#N/A</v>
          </cell>
          <cell r="D1908" t="e">
            <v>#N/A</v>
          </cell>
          <cell r="F1908">
            <v>0</v>
          </cell>
          <cell r="G1908">
            <v>0</v>
          </cell>
          <cell r="I1908">
            <v>0</v>
          </cell>
        </row>
        <row r="1909">
          <cell r="A1909" t="str">
            <v>B1906</v>
          </cell>
          <cell r="B1909" t="e">
            <v>#N/A</v>
          </cell>
          <cell r="D1909" t="e">
            <v>#N/A</v>
          </cell>
          <cell r="F1909">
            <v>0</v>
          </cell>
          <cell r="G1909">
            <v>0</v>
          </cell>
          <cell r="I1909">
            <v>0</v>
          </cell>
        </row>
        <row r="1910">
          <cell r="A1910" t="str">
            <v>B1907</v>
          </cell>
          <cell r="B1910" t="e">
            <v>#N/A</v>
          </cell>
          <cell r="D1910" t="e">
            <v>#N/A</v>
          </cell>
          <cell r="F1910">
            <v>0</v>
          </cell>
          <cell r="G1910">
            <v>0</v>
          </cell>
          <cell r="I1910">
            <v>0</v>
          </cell>
        </row>
        <row r="1911">
          <cell r="A1911" t="str">
            <v>B1908</v>
          </cell>
          <cell r="B1911" t="e">
            <v>#N/A</v>
          </cell>
          <cell r="D1911" t="e">
            <v>#N/A</v>
          </cell>
          <cell r="F1911">
            <v>0</v>
          </cell>
          <cell r="G1911">
            <v>0</v>
          </cell>
          <cell r="I1911">
            <v>0</v>
          </cell>
        </row>
        <row r="1912">
          <cell r="A1912" t="str">
            <v>B1909</v>
          </cell>
          <cell r="B1912" t="e">
            <v>#N/A</v>
          </cell>
          <cell r="D1912" t="e">
            <v>#N/A</v>
          </cell>
          <cell r="F1912">
            <v>0</v>
          </cell>
          <cell r="G1912">
            <v>0</v>
          </cell>
          <cell r="I1912">
            <v>0</v>
          </cell>
        </row>
        <row r="1913">
          <cell r="A1913" t="str">
            <v>B1910</v>
          </cell>
          <cell r="B1913" t="e">
            <v>#N/A</v>
          </cell>
          <cell r="D1913" t="e">
            <v>#N/A</v>
          </cell>
          <cell r="F1913">
            <v>0</v>
          </cell>
          <cell r="G1913">
            <v>0</v>
          </cell>
          <cell r="I1913">
            <v>0</v>
          </cell>
        </row>
        <row r="1914">
          <cell r="A1914" t="str">
            <v>B1911</v>
          </cell>
          <cell r="B1914" t="e">
            <v>#N/A</v>
          </cell>
          <cell r="D1914" t="e">
            <v>#N/A</v>
          </cell>
          <cell r="F1914">
            <v>0</v>
          </cell>
          <cell r="G1914">
            <v>0</v>
          </cell>
          <cell r="I1914">
            <v>0</v>
          </cell>
        </row>
        <row r="1915">
          <cell r="A1915" t="str">
            <v>B1912</v>
          </cell>
          <cell r="B1915" t="e">
            <v>#N/A</v>
          </cell>
          <cell r="D1915" t="e">
            <v>#N/A</v>
          </cell>
          <cell r="F1915">
            <v>0</v>
          </cell>
          <cell r="G1915">
            <v>0</v>
          </cell>
          <cell r="I1915">
            <v>0</v>
          </cell>
        </row>
        <row r="1916">
          <cell r="A1916" t="str">
            <v>B1913</v>
          </cell>
          <cell r="B1916" t="e">
            <v>#N/A</v>
          </cell>
          <cell r="D1916" t="e">
            <v>#N/A</v>
          </cell>
          <cell r="F1916">
            <v>0</v>
          </cell>
          <cell r="G1916">
            <v>0</v>
          </cell>
          <cell r="I1916">
            <v>0</v>
          </cell>
        </row>
        <row r="1917">
          <cell r="A1917" t="str">
            <v>B1914</v>
          </cell>
          <cell r="B1917" t="e">
            <v>#N/A</v>
          </cell>
          <cell r="D1917" t="e">
            <v>#N/A</v>
          </cell>
          <cell r="F1917">
            <v>0</v>
          </cell>
          <cell r="G1917">
            <v>0</v>
          </cell>
          <cell r="I1917">
            <v>0</v>
          </cell>
        </row>
        <row r="1918">
          <cell r="A1918" t="str">
            <v>B1915</v>
          </cell>
          <cell r="B1918" t="e">
            <v>#N/A</v>
          </cell>
          <cell r="D1918" t="e">
            <v>#N/A</v>
          </cell>
          <cell r="F1918">
            <v>0</v>
          </cell>
          <cell r="G1918">
            <v>0</v>
          </cell>
          <cell r="I1918">
            <v>0</v>
          </cell>
        </row>
        <row r="1919">
          <cell r="A1919" t="str">
            <v>B1916</v>
          </cell>
          <cell r="B1919" t="e">
            <v>#N/A</v>
          </cell>
          <cell r="D1919" t="e">
            <v>#N/A</v>
          </cell>
          <cell r="F1919">
            <v>0</v>
          </cell>
          <cell r="G1919">
            <v>0</v>
          </cell>
          <cell r="I1919">
            <v>0</v>
          </cell>
        </row>
        <row r="1920">
          <cell r="A1920" t="str">
            <v>B1917</v>
          </cell>
          <cell r="B1920" t="e">
            <v>#N/A</v>
          </cell>
          <cell r="D1920" t="e">
            <v>#N/A</v>
          </cell>
          <cell r="F1920">
            <v>0</v>
          </cell>
          <cell r="G1920">
            <v>0</v>
          </cell>
          <cell r="I1920">
            <v>0</v>
          </cell>
        </row>
        <row r="1921">
          <cell r="A1921" t="str">
            <v>B1918</v>
          </cell>
          <cell r="B1921" t="e">
            <v>#N/A</v>
          </cell>
          <cell r="D1921" t="e">
            <v>#N/A</v>
          </cell>
          <cell r="F1921">
            <v>0</v>
          </cell>
          <cell r="G1921">
            <v>0</v>
          </cell>
          <cell r="I1921">
            <v>0</v>
          </cell>
        </row>
        <row r="1922">
          <cell r="A1922" t="str">
            <v>B1919</v>
          </cell>
          <cell r="B1922" t="e">
            <v>#N/A</v>
          </cell>
          <cell r="D1922" t="e">
            <v>#N/A</v>
          </cell>
          <cell r="F1922">
            <v>0</v>
          </cell>
          <cell r="G1922">
            <v>0</v>
          </cell>
          <cell r="I1922">
            <v>0</v>
          </cell>
        </row>
        <row r="1923">
          <cell r="A1923" t="str">
            <v>B1920</v>
          </cell>
          <cell r="B1923" t="e">
            <v>#N/A</v>
          </cell>
          <cell r="D1923" t="e">
            <v>#N/A</v>
          </cell>
          <cell r="F1923">
            <v>0</v>
          </cell>
          <cell r="G1923">
            <v>0</v>
          </cell>
          <cell r="I1923">
            <v>0</v>
          </cell>
        </row>
        <row r="1924">
          <cell r="A1924" t="str">
            <v>B1921</v>
          </cell>
          <cell r="B1924" t="e">
            <v>#N/A</v>
          </cell>
          <cell r="D1924" t="e">
            <v>#N/A</v>
          </cell>
          <cell r="F1924">
            <v>0</v>
          </cell>
          <cell r="G1924">
            <v>0</v>
          </cell>
          <cell r="I1924">
            <v>0</v>
          </cell>
        </row>
        <row r="1925">
          <cell r="A1925" t="str">
            <v>B1922</v>
          </cell>
          <cell r="B1925" t="e">
            <v>#N/A</v>
          </cell>
          <cell r="D1925" t="e">
            <v>#N/A</v>
          </cell>
          <cell r="F1925">
            <v>0</v>
          </cell>
          <cell r="G1925">
            <v>0</v>
          </cell>
          <cell r="I1925">
            <v>0</v>
          </cell>
        </row>
        <row r="1926">
          <cell r="A1926" t="str">
            <v>B1923</v>
          </cell>
          <cell r="B1926" t="e">
            <v>#N/A</v>
          </cell>
          <cell r="D1926" t="e">
            <v>#N/A</v>
          </cell>
          <cell r="F1926">
            <v>0</v>
          </cell>
          <cell r="G1926">
            <v>0</v>
          </cell>
          <cell r="I1926">
            <v>0</v>
          </cell>
        </row>
        <row r="1927">
          <cell r="A1927" t="str">
            <v>B1924</v>
          </cell>
          <cell r="B1927" t="e">
            <v>#N/A</v>
          </cell>
          <cell r="D1927" t="e">
            <v>#N/A</v>
          </cell>
          <cell r="F1927">
            <v>0</v>
          </cell>
          <cell r="G1927">
            <v>0</v>
          </cell>
          <cell r="I1927">
            <v>0</v>
          </cell>
        </row>
        <row r="1928">
          <cell r="A1928" t="str">
            <v>B1925</v>
          </cell>
          <cell r="B1928" t="e">
            <v>#N/A</v>
          </cell>
          <cell r="D1928" t="e">
            <v>#N/A</v>
          </cell>
          <cell r="F1928">
            <v>0</v>
          </cell>
          <cell r="G1928">
            <v>0</v>
          </cell>
          <cell r="I1928">
            <v>0</v>
          </cell>
        </row>
        <row r="1929">
          <cell r="A1929" t="str">
            <v>B1926</v>
          </cell>
          <cell r="B1929" t="e">
            <v>#N/A</v>
          </cell>
          <cell r="D1929" t="e">
            <v>#N/A</v>
          </cell>
          <cell r="F1929">
            <v>0</v>
          </cell>
          <cell r="G1929">
            <v>0</v>
          </cell>
          <cell r="I1929">
            <v>0</v>
          </cell>
        </row>
        <row r="1930">
          <cell r="A1930" t="str">
            <v>B1927</v>
          </cell>
          <cell r="B1930" t="e">
            <v>#N/A</v>
          </cell>
          <cell r="D1930" t="e">
            <v>#N/A</v>
          </cell>
          <cell r="F1930">
            <v>0</v>
          </cell>
          <cell r="G1930">
            <v>0</v>
          </cell>
          <cell r="I1930">
            <v>0</v>
          </cell>
        </row>
        <row r="1931">
          <cell r="A1931" t="str">
            <v>B1928</v>
          </cell>
          <cell r="B1931" t="e">
            <v>#N/A</v>
          </cell>
          <cell r="D1931" t="e">
            <v>#N/A</v>
          </cell>
          <cell r="F1931">
            <v>0</v>
          </cell>
          <cell r="G1931">
            <v>0</v>
          </cell>
          <cell r="I1931">
            <v>0</v>
          </cell>
        </row>
        <row r="1932">
          <cell r="A1932" t="str">
            <v>B1929</v>
          </cell>
          <cell r="B1932" t="e">
            <v>#N/A</v>
          </cell>
          <cell r="D1932" t="e">
            <v>#N/A</v>
          </cell>
          <cell r="F1932">
            <v>0</v>
          </cell>
          <cell r="G1932">
            <v>0</v>
          </cell>
          <cell r="I1932">
            <v>0</v>
          </cell>
        </row>
        <row r="1933">
          <cell r="A1933" t="str">
            <v>B1930</v>
          </cell>
          <cell r="B1933" t="e">
            <v>#N/A</v>
          </cell>
          <cell r="D1933" t="e">
            <v>#N/A</v>
          </cell>
          <cell r="F1933">
            <v>0</v>
          </cell>
          <cell r="G1933">
            <v>0</v>
          </cell>
          <cell r="I1933">
            <v>0</v>
          </cell>
        </row>
        <row r="1934">
          <cell r="A1934" t="str">
            <v>B1931</v>
          </cell>
          <cell r="B1934" t="e">
            <v>#N/A</v>
          </cell>
          <cell r="D1934" t="e">
            <v>#N/A</v>
          </cell>
          <cell r="F1934">
            <v>0</v>
          </cell>
          <cell r="G1934">
            <v>0</v>
          </cell>
          <cell r="I1934">
            <v>0</v>
          </cell>
        </row>
        <row r="1935">
          <cell r="A1935" t="str">
            <v>B1932</v>
          </cell>
          <cell r="B1935" t="e">
            <v>#N/A</v>
          </cell>
          <cell r="D1935" t="e">
            <v>#N/A</v>
          </cell>
          <cell r="F1935">
            <v>0</v>
          </cell>
          <cell r="G1935">
            <v>0</v>
          </cell>
          <cell r="I1935">
            <v>0</v>
          </cell>
        </row>
        <row r="1936">
          <cell r="A1936" t="str">
            <v>B1933</v>
          </cell>
          <cell r="B1936" t="e">
            <v>#N/A</v>
          </cell>
          <cell r="D1936" t="e">
            <v>#N/A</v>
          </cell>
          <cell r="F1936">
            <v>0</v>
          </cell>
          <cell r="G1936">
            <v>0</v>
          </cell>
          <cell r="I1936">
            <v>0</v>
          </cell>
        </row>
        <row r="1937">
          <cell r="A1937" t="str">
            <v>B1934</v>
          </cell>
          <cell r="B1937" t="e">
            <v>#N/A</v>
          </cell>
          <cell r="D1937" t="e">
            <v>#N/A</v>
          </cell>
          <cell r="F1937">
            <v>0</v>
          </cell>
          <cell r="G1937">
            <v>0</v>
          </cell>
          <cell r="I1937">
            <v>0</v>
          </cell>
        </row>
        <row r="1938">
          <cell r="A1938" t="str">
            <v>B1935</v>
          </cell>
          <cell r="B1938" t="e">
            <v>#N/A</v>
          </cell>
          <cell r="D1938" t="e">
            <v>#N/A</v>
          </cell>
          <cell r="F1938">
            <v>0</v>
          </cell>
          <cell r="G1938">
            <v>0</v>
          </cell>
          <cell r="I1938">
            <v>0</v>
          </cell>
        </row>
        <row r="1939">
          <cell r="A1939" t="str">
            <v>B1936</v>
          </cell>
          <cell r="B1939" t="e">
            <v>#N/A</v>
          </cell>
          <cell r="D1939" t="e">
            <v>#N/A</v>
          </cell>
          <cell r="F1939">
            <v>0</v>
          </cell>
          <cell r="G1939">
            <v>0</v>
          </cell>
          <cell r="I1939">
            <v>0</v>
          </cell>
        </row>
        <row r="1940">
          <cell r="A1940" t="str">
            <v>B1937</v>
          </cell>
          <cell r="B1940" t="e">
            <v>#N/A</v>
          </cell>
          <cell r="D1940" t="e">
            <v>#N/A</v>
          </cell>
          <cell r="F1940">
            <v>0</v>
          </cell>
          <cell r="G1940">
            <v>0</v>
          </cell>
          <cell r="I1940">
            <v>0</v>
          </cell>
        </row>
        <row r="1941">
          <cell r="A1941" t="str">
            <v>B1938</v>
          </cell>
          <cell r="B1941" t="e">
            <v>#N/A</v>
          </cell>
          <cell r="D1941" t="e">
            <v>#N/A</v>
          </cell>
          <cell r="F1941">
            <v>0</v>
          </cell>
          <cell r="G1941">
            <v>0</v>
          </cell>
          <cell r="I1941">
            <v>0</v>
          </cell>
        </row>
        <row r="1942">
          <cell r="A1942" t="str">
            <v>B1939</v>
          </cell>
          <cell r="B1942" t="e">
            <v>#N/A</v>
          </cell>
          <cell r="D1942" t="e">
            <v>#N/A</v>
          </cell>
          <cell r="F1942">
            <v>0</v>
          </cell>
          <cell r="G1942">
            <v>0</v>
          </cell>
          <cell r="I1942">
            <v>0</v>
          </cell>
        </row>
        <row r="1943">
          <cell r="A1943" t="str">
            <v>B1940</v>
          </cell>
          <cell r="B1943" t="e">
            <v>#N/A</v>
          </cell>
          <cell r="D1943" t="e">
            <v>#N/A</v>
          </cell>
          <cell r="F1943">
            <v>0</v>
          </cell>
          <cell r="G1943">
            <v>0</v>
          </cell>
          <cell r="I1943">
            <v>0</v>
          </cell>
        </row>
        <row r="1944">
          <cell r="A1944" t="str">
            <v>B1941</v>
          </cell>
          <cell r="B1944" t="e">
            <v>#N/A</v>
          </cell>
          <cell r="D1944" t="e">
            <v>#N/A</v>
          </cell>
          <cell r="F1944">
            <v>0</v>
          </cell>
          <cell r="G1944">
            <v>0</v>
          </cell>
          <cell r="I1944">
            <v>0</v>
          </cell>
        </row>
        <row r="1945">
          <cell r="A1945" t="str">
            <v>B1942</v>
          </cell>
          <cell r="B1945" t="e">
            <v>#N/A</v>
          </cell>
          <cell r="D1945" t="e">
            <v>#N/A</v>
          </cell>
          <cell r="F1945">
            <v>0</v>
          </cell>
          <cell r="G1945">
            <v>0</v>
          </cell>
          <cell r="I1945">
            <v>0</v>
          </cell>
        </row>
        <row r="1946">
          <cell r="A1946" t="str">
            <v>B1943</v>
          </cell>
          <cell r="B1946" t="e">
            <v>#N/A</v>
          </cell>
          <cell r="D1946" t="e">
            <v>#N/A</v>
          </cell>
          <cell r="F1946">
            <v>0</v>
          </cell>
          <cell r="G1946">
            <v>0</v>
          </cell>
          <cell r="I1946">
            <v>0</v>
          </cell>
        </row>
        <row r="1947">
          <cell r="A1947" t="str">
            <v>B1944</v>
          </cell>
          <cell r="B1947" t="e">
            <v>#N/A</v>
          </cell>
          <cell r="D1947" t="e">
            <v>#N/A</v>
          </cell>
          <cell r="F1947">
            <v>0</v>
          </cell>
          <cell r="G1947">
            <v>0</v>
          </cell>
          <cell r="I1947">
            <v>0</v>
          </cell>
        </row>
        <row r="1948">
          <cell r="A1948" t="str">
            <v>B1945</v>
          </cell>
          <cell r="B1948" t="e">
            <v>#N/A</v>
          </cell>
          <cell r="D1948" t="e">
            <v>#N/A</v>
          </cell>
          <cell r="F1948">
            <v>0</v>
          </cell>
          <cell r="G1948">
            <v>0</v>
          </cell>
          <cell r="I1948">
            <v>0</v>
          </cell>
        </row>
        <row r="1949">
          <cell r="A1949" t="str">
            <v>B1946</v>
          </cell>
          <cell r="B1949" t="e">
            <v>#N/A</v>
          </cell>
          <cell r="D1949" t="e">
            <v>#N/A</v>
          </cell>
          <cell r="F1949">
            <v>0</v>
          </cell>
          <cell r="G1949">
            <v>0</v>
          </cell>
          <cell r="I1949">
            <v>0</v>
          </cell>
        </row>
        <row r="1950">
          <cell r="A1950" t="str">
            <v>B1947</v>
          </cell>
          <cell r="B1950" t="e">
            <v>#N/A</v>
          </cell>
          <cell r="D1950" t="e">
            <v>#N/A</v>
          </cell>
          <cell r="F1950">
            <v>0</v>
          </cell>
          <cell r="G1950">
            <v>0</v>
          </cell>
          <cell r="I1950">
            <v>0</v>
          </cell>
        </row>
        <row r="1951">
          <cell r="A1951" t="str">
            <v>B1948</v>
          </cell>
          <cell r="B1951" t="e">
            <v>#N/A</v>
          </cell>
          <cell r="D1951" t="e">
            <v>#N/A</v>
          </cell>
          <cell r="F1951">
            <v>0</v>
          </cell>
          <cell r="G1951">
            <v>0</v>
          </cell>
          <cell r="I1951">
            <v>0</v>
          </cell>
        </row>
        <row r="1952">
          <cell r="A1952" t="str">
            <v>B1949</v>
          </cell>
          <cell r="B1952" t="e">
            <v>#N/A</v>
          </cell>
          <cell r="D1952" t="e">
            <v>#N/A</v>
          </cell>
          <cell r="F1952">
            <v>0</v>
          </cell>
          <cell r="G1952">
            <v>0</v>
          </cell>
          <cell r="I1952">
            <v>0</v>
          </cell>
        </row>
        <row r="1953">
          <cell r="A1953" t="str">
            <v>B1950</v>
          </cell>
          <cell r="B1953" t="e">
            <v>#N/A</v>
          </cell>
          <cell r="D1953" t="e">
            <v>#N/A</v>
          </cell>
          <cell r="F1953">
            <v>0</v>
          </cell>
          <cell r="G1953">
            <v>0</v>
          </cell>
          <cell r="I1953">
            <v>0</v>
          </cell>
        </row>
        <row r="1954">
          <cell r="A1954" t="str">
            <v>B1951</v>
          </cell>
          <cell r="B1954" t="e">
            <v>#N/A</v>
          </cell>
          <cell r="D1954" t="e">
            <v>#N/A</v>
          </cell>
          <cell r="F1954">
            <v>0</v>
          </cell>
          <cell r="G1954">
            <v>0</v>
          </cell>
          <cell r="I1954">
            <v>0</v>
          </cell>
        </row>
        <row r="1955">
          <cell r="A1955" t="str">
            <v>B1952</v>
          </cell>
          <cell r="B1955" t="e">
            <v>#N/A</v>
          </cell>
          <cell r="D1955" t="e">
            <v>#N/A</v>
          </cell>
          <cell r="F1955">
            <v>0</v>
          </cell>
          <cell r="G1955">
            <v>0</v>
          </cell>
          <cell r="I1955">
            <v>0</v>
          </cell>
        </row>
        <row r="1956">
          <cell r="A1956" t="str">
            <v>B1953</v>
          </cell>
          <cell r="B1956" t="e">
            <v>#N/A</v>
          </cell>
          <cell r="D1956" t="e">
            <v>#N/A</v>
          </cell>
          <cell r="F1956">
            <v>0</v>
          </cell>
          <cell r="G1956">
            <v>0</v>
          </cell>
          <cell r="I1956">
            <v>0</v>
          </cell>
        </row>
        <row r="1957">
          <cell r="A1957" t="str">
            <v>B1954</v>
          </cell>
          <cell r="B1957" t="e">
            <v>#N/A</v>
          </cell>
          <cell r="D1957" t="e">
            <v>#N/A</v>
          </cell>
          <cell r="F1957">
            <v>0</v>
          </cell>
          <cell r="G1957">
            <v>0</v>
          </cell>
          <cell r="I1957">
            <v>0</v>
          </cell>
        </row>
        <row r="1958">
          <cell r="A1958" t="str">
            <v>B1955</v>
          </cell>
          <cell r="B1958" t="e">
            <v>#N/A</v>
          </cell>
          <cell r="D1958" t="e">
            <v>#N/A</v>
          </cell>
          <cell r="F1958">
            <v>0</v>
          </cell>
          <cell r="G1958">
            <v>0</v>
          </cell>
          <cell r="I1958">
            <v>0</v>
          </cell>
        </row>
        <row r="1959">
          <cell r="A1959" t="str">
            <v>B1956</v>
          </cell>
          <cell r="B1959" t="e">
            <v>#N/A</v>
          </cell>
          <cell r="D1959" t="e">
            <v>#N/A</v>
          </cell>
          <cell r="F1959">
            <v>0</v>
          </cell>
          <cell r="G1959">
            <v>0</v>
          </cell>
          <cell r="I1959">
            <v>0</v>
          </cell>
        </row>
        <row r="1960">
          <cell r="A1960" t="str">
            <v>B1957</v>
          </cell>
          <cell r="B1960" t="e">
            <v>#N/A</v>
          </cell>
          <cell r="D1960" t="e">
            <v>#N/A</v>
          </cell>
          <cell r="F1960">
            <v>0</v>
          </cell>
          <cell r="G1960">
            <v>0</v>
          </cell>
          <cell r="I1960">
            <v>0</v>
          </cell>
        </row>
        <row r="1961">
          <cell r="A1961" t="str">
            <v>B1958</v>
          </cell>
          <cell r="B1961" t="e">
            <v>#N/A</v>
          </cell>
          <cell r="D1961" t="e">
            <v>#N/A</v>
          </cell>
          <cell r="F1961">
            <v>0</v>
          </cell>
          <cell r="G1961">
            <v>0</v>
          </cell>
          <cell r="I1961">
            <v>0</v>
          </cell>
        </row>
        <row r="1962">
          <cell r="A1962" t="str">
            <v>B1959</v>
          </cell>
          <cell r="B1962" t="e">
            <v>#N/A</v>
          </cell>
          <cell r="D1962" t="e">
            <v>#N/A</v>
          </cell>
          <cell r="F1962">
            <v>0</v>
          </cell>
          <cell r="G1962">
            <v>0</v>
          </cell>
          <cell r="I1962">
            <v>0</v>
          </cell>
        </row>
        <row r="1963">
          <cell r="A1963" t="str">
            <v>B1960</v>
          </cell>
          <cell r="B1963" t="e">
            <v>#N/A</v>
          </cell>
          <cell r="D1963" t="e">
            <v>#N/A</v>
          </cell>
          <cell r="F1963">
            <v>0</v>
          </cell>
          <cell r="G1963">
            <v>0</v>
          </cell>
          <cell r="I1963">
            <v>0</v>
          </cell>
        </row>
        <row r="1964">
          <cell r="A1964" t="str">
            <v>B1961</v>
          </cell>
          <cell r="B1964" t="e">
            <v>#N/A</v>
          </cell>
          <cell r="D1964" t="e">
            <v>#N/A</v>
          </cell>
          <cell r="F1964">
            <v>0</v>
          </cell>
          <cell r="G1964">
            <v>0</v>
          </cell>
          <cell r="I1964">
            <v>0</v>
          </cell>
        </row>
        <row r="1965">
          <cell r="A1965" t="str">
            <v>B1962</v>
          </cell>
          <cell r="B1965" t="e">
            <v>#N/A</v>
          </cell>
          <cell r="D1965" t="e">
            <v>#N/A</v>
          </cell>
          <cell r="F1965">
            <v>0</v>
          </cell>
          <cell r="G1965">
            <v>0</v>
          </cell>
          <cell r="I1965">
            <v>0</v>
          </cell>
        </row>
        <row r="1966">
          <cell r="A1966" t="str">
            <v>B1963</v>
          </cell>
          <cell r="B1966" t="e">
            <v>#N/A</v>
          </cell>
          <cell r="D1966" t="e">
            <v>#N/A</v>
          </cell>
          <cell r="F1966">
            <v>0</v>
          </cell>
          <cell r="G1966">
            <v>0</v>
          </cell>
          <cell r="I1966">
            <v>0</v>
          </cell>
        </row>
        <row r="1967">
          <cell r="A1967" t="str">
            <v>B1964</v>
          </cell>
          <cell r="B1967" t="e">
            <v>#N/A</v>
          </cell>
          <cell r="D1967" t="e">
            <v>#N/A</v>
          </cell>
          <cell r="F1967">
            <v>0</v>
          </cell>
          <cell r="G1967">
            <v>0</v>
          </cell>
          <cell r="I1967">
            <v>0</v>
          </cell>
        </row>
        <row r="1968">
          <cell r="A1968" t="str">
            <v>B1965</v>
          </cell>
          <cell r="B1968" t="e">
            <v>#N/A</v>
          </cell>
          <cell r="D1968" t="e">
            <v>#N/A</v>
          </cell>
          <cell r="F1968">
            <v>0</v>
          </cell>
          <cell r="G1968">
            <v>0</v>
          </cell>
          <cell r="I1968">
            <v>0</v>
          </cell>
        </row>
        <row r="1969">
          <cell r="A1969" t="str">
            <v>B1966</v>
          </cell>
          <cell r="B1969" t="e">
            <v>#N/A</v>
          </cell>
          <cell r="D1969" t="e">
            <v>#N/A</v>
          </cell>
          <cell r="F1969">
            <v>0</v>
          </cell>
          <cell r="G1969">
            <v>0</v>
          </cell>
          <cell r="I1969">
            <v>0</v>
          </cell>
        </row>
        <row r="1970">
          <cell r="A1970" t="str">
            <v>B1967</v>
          </cell>
          <cell r="B1970" t="e">
            <v>#N/A</v>
          </cell>
          <cell r="D1970" t="e">
            <v>#N/A</v>
          </cell>
          <cell r="F1970">
            <v>0</v>
          </cell>
          <cell r="G1970">
            <v>0</v>
          </cell>
          <cell r="I1970">
            <v>0</v>
          </cell>
        </row>
        <row r="1971">
          <cell r="A1971" t="str">
            <v>B1968</v>
          </cell>
          <cell r="B1971" t="e">
            <v>#N/A</v>
          </cell>
          <cell r="D1971" t="e">
            <v>#N/A</v>
          </cell>
          <cell r="F1971">
            <v>0</v>
          </cell>
          <cell r="G1971">
            <v>0</v>
          </cell>
          <cell r="I1971">
            <v>0</v>
          </cell>
        </row>
        <row r="1972">
          <cell r="A1972" t="str">
            <v>B1969</v>
          </cell>
          <cell r="B1972" t="e">
            <v>#N/A</v>
          </cell>
          <cell r="D1972" t="e">
            <v>#N/A</v>
          </cell>
          <cell r="F1972">
            <v>0</v>
          </cell>
          <cell r="G1972">
            <v>0</v>
          </cell>
          <cell r="I1972">
            <v>0</v>
          </cell>
        </row>
        <row r="1973">
          <cell r="A1973" t="str">
            <v>B1970</v>
          </cell>
          <cell r="B1973" t="e">
            <v>#N/A</v>
          </cell>
          <cell r="D1973" t="e">
            <v>#N/A</v>
          </cell>
          <cell r="F1973">
            <v>0</v>
          </cell>
          <cell r="G1973">
            <v>0</v>
          </cell>
          <cell r="I1973">
            <v>0</v>
          </cell>
        </row>
        <row r="1974">
          <cell r="A1974" t="str">
            <v>B1971</v>
          </cell>
          <cell r="B1974" t="e">
            <v>#N/A</v>
          </cell>
          <cell r="D1974" t="e">
            <v>#N/A</v>
          </cell>
          <cell r="F1974">
            <v>0</v>
          </cell>
          <cell r="G1974">
            <v>0</v>
          </cell>
          <cell r="I1974">
            <v>0</v>
          </cell>
        </row>
        <row r="1975">
          <cell r="A1975" t="str">
            <v>B1972</v>
          </cell>
          <cell r="B1975" t="e">
            <v>#N/A</v>
          </cell>
          <cell r="D1975" t="e">
            <v>#N/A</v>
          </cell>
          <cell r="F1975">
            <v>0</v>
          </cell>
          <cell r="G1975">
            <v>0</v>
          </cell>
          <cell r="I1975">
            <v>0</v>
          </cell>
        </row>
        <row r="1976">
          <cell r="A1976" t="str">
            <v>B1973</v>
          </cell>
          <cell r="B1976" t="e">
            <v>#N/A</v>
          </cell>
          <cell r="D1976" t="e">
            <v>#N/A</v>
          </cell>
          <cell r="F1976">
            <v>0</v>
          </cell>
          <cell r="G1976">
            <v>0</v>
          </cell>
          <cell r="I1976">
            <v>0</v>
          </cell>
        </row>
        <row r="1977">
          <cell r="A1977" t="str">
            <v>B1974</v>
          </cell>
          <cell r="B1977" t="e">
            <v>#N/A</v>
          </cell>
          <cell r="D1977" t="e">
            <v>#N/A</v>
          </cell>
          <cell r="F1977">
            <v>0</v>
          </cell>
          <cell r="G1977">
            <v>0</v>
          </cell>
          <cell r="I1977">
            <v>0</v>
          </cell>
        </row>
        <row r="1978">
          <cell r="A1978" t="str">
            <v>B1975</v>
          </cell>
          <cell r="B1978" t="e">
            <v>#N/A</v>
          </cell>
          <cell r="D1978" t="e">
            <v>#N/A</v>
          </cell>
          <cell r="F1978">
            <v>0</v>
          </cell>
          <cell r="G1978">
            <v>0</v>
          </cell>
          <cell r="I1978">
            <v>0</v>
          </cell>
        </row>
        <row r="1979">
          <cell r="A1979" t="str">
            <v>B1976</v>
          </cell>
          <cell r="B1979" t="e">
            <v>#N/A</v>
          </cell>
          <cell r="D1979" t="e">
            <v>#N/A</v>
          </cell>
          <cell r="F1979">
            <v>0</v>
          </cell>
          <cell r="G1979">
            <v>0</v>
          </cell>
          <cell r="I1979">
            <v>0</v>
          </cell>
        </row>
        <row r="1980">
          <cell r="A1980" t="str">
            <v>B1977</v>
          </cell>
          <cell r="B1980" t="e">
            <v>#N/A</v>
          </cell>
          <cell r="D1980" t="e">
            <v>#N/A</v>
          </cell>
          <cell r="F1980">
            <v>0</v>
          </cell>
          <cell r="G1980">
            <v>0</v>
          </cell>
          <cell r="I1980">
            <v>0</v>
          </cell>
        </row>
        <row r="1981">
          <cell r="A1981" t="str">
            <v>B1978</v>
          </cell>
          <cell r="B1981" t="e">
            <v>#N/A</v>
          </cell>
          <cell r="D1981" t="e">
            <v>#N/A</v>
          </cell>
          <cell r="F1981">
            <v>0</v>
          </cell>
          <cell r="G1981">
            <v>0</v>
          </cell>
          <cell r="I1981">
            <v>0</v>
          </cell>
        </row>
        <row r="1982">
          <cell r="A1982" t="str">
            <v>B1979</v>
          </cell>
          <cell r="B1982" t="e">
            <v>#N/A</v>
          </cell>
          <cell r="D1982" t="e">
            <v>#N/A</v>
          </cell>
          <cell r="F1982">
            <v>0</v>
          </cell>
          <cell r="G1982">
            <v>0</v>
          </cell>
          <cell r="I1982">
            <v>0</v>
          </cell>
        </row>
        <row r="1983">
          <cell r="A1983" t="str">
            <v>B1980</v>
          </cell>
          <cell r="B1983" t="e">
            <v>#N/A</v>
          </cell>
          <cell r="D1983" t="e">
            <v>#N/A</v>
          </cell>
          <cell r="F1983">
            <v>0</v>
          </cell>
          <cell r="G1983">
            <v>0</v>
          </cell>
          <cell r="I1983">
            <v>0</v>
          </cell>
        </row>
        <row r="1984">
          <cell r="A1984" t="str">
            <v>B1981</v>
          </cell>
          <cell r="B1984" t="e">
            <v>#N/A</v>
          </cell>
          <cell r="D1984" t="e">
            <v>#N/A</v>
          </cell>
          <cell r="F1984">
            <v>0</v>
          </cell>
          <cell r="G1984">
            <v>0</v>
          </cell>
          <cell r="I1984">
            <v>0</v>
          </cell>
        </row>
        <row r="1985">
          <cell r="A1985" t="str">
            <v>B1982</v>
          </cell>
          <cell r="B1985" t="e">
            <v>#N/A</v>
          </cell>
          <cell r="D1985" t="e">
            <v>#N/A</v>
          </cell>
          <cell r="F1985">
            <v>0</v>
          </cell>
          <cell r="G1985">
            <v>0</v>
          </cell>
          <cell r="I1985">
            <v>0</v>
          </cell>
        </row>
        <row r="1986">
          <cell r="A1986" t="str">
            <v>B1983</v>
          </cell>
          <cell r="B1986" t="e">
            <v>#N/A</v>
          </cell>
          <cell r="D1986" t="e">
            <v>#N/A</v>
          </cell>
          <cell r="F1986">
            <v>0</v>
          </cell>
          <cell r="G1986">
            <v>0</v>
          </cell>
          <cell r="I1986">
            <v>0</v>
          </cell>
        </row>
        <row r="1987">
          <cell r="A1987" t="str">
            <v>B1984</v>
          </cell>
          <cell r="B1987" t="e">
            <v>#N/A</v>
          </cell>
          <cell r="D1987" t="e">
            <v>#N/A</v>
          </cell>
          <cell r="F1987">
            <v>0</v>
          </cell>
          <cell r="G1987">
            <v>0</v>
          </cell>
          <cell r="I1987">
            <v>0</v>
          </cell>
        </row>
        <row r="1988">
          <cell r="A1988" t="str">
            <v>B1985</v>
          </cell>
          <cell r="B1988" t="e">
            <v>#N/A</v>
          </cell>
          <cell r="D1988" t="e">
            <v>#N/A</v>
          </cell>
          <cell r="F1988">
            <v>0</v>
          </cell>
          <cell r="G1988">
            <v>0</v>
          </cell>
          <cell r="I1988">
            <v>0</v>
          </cell>
        </row>
        <row r="1989">
          <cell r="A1989" t="str">
            <v>B1986</v>
          </cell>
          <cell r="B1989" t="e">
            <v>#N/A</v>
          </cell>
          <cell r="D1989" t="e">
            <v>#N/A</v>
          </cell>
          <cell r="F1989">
            <v>0</v>
          </cell>
          <cell r="G1989">
            <v>0</v>
          </cell>
          <cell r="I1989">
            <v>0</v>
          </cell>
        </row>
        <row r="1990">
          <cell r="A1990" t="str">
            <v>B1987</v>
          </cell>
          <cell r="B1990" t="e">
            <v>#N/A</v>
          </cell>
          <cell r="D1990" t="e">
            <v>#N/A</v>
          </cell>
          <cell r="F1990">
            <v>0</v>
          </cell>
          <cell r="G1990">
            <v>0</v>
          </cell>
          <cell r="I1990">
            <v>0</v>
          </cell>
        </row>
        <row r="1991">
          <cell r="A1991" t="str">
            <v>B1988</v>
          </cell>
          <cell r="B1991" t="e">
            <v>#N/A</v>
          </cell>
          <cell r="D1991" t="e">
            <v>#N/A</v>
          </cell>
          <cell r="F1991">
            <v>0</v>
          </cell>
          <cell r="G1991">
            <v>0</v>
          </cell>
          <cell r="I1991">
            <v>0</v>
          </cell>
        </row>
        <row r="1992">
          <cell r="A1992" t="str">
            <v>B1989</v>
          </cell>
          <cell r="B1992" t="e">
            <v>#N/A</v>
          </cell>
          <cell r="D1992" t="e">
            <v>#N/A</v>
          </cell>
          <cell r="F1992">
            <v>0</v>
          </cell>
          <cell r="G1992">
            <v>0</v>
          </cell>
          <cell r="I1992">
            <v>0</v>
          </cell>
        </row>
        <row r="1993">
          <cell r="A1993" t="str">
            <v>B1990</v>
          </cell>
          <cell r="B1993" t="e">
            <v>#N/A</v>
          </cell>
          <cell r="D1993" t="e">
            <v>#N/A</v>
          </cell>
          <cell r="F1993">
            <v>0</v>
          </cell>
          <cell r="G1993">
            <v>0</v>
          </cell>
          <cell r="I1993">
            <v>0</v>
          </cell>
        </row>
        <row r="1994">
          <cell r="A1994" t="str">
            <v>B1991</v>
          </cell>
          <cell r="B1994" t="e">
            <v>#N/A</v>
          </cell>
          <cell r="D1994" t="e">
            <v>#N/A</v>
          </cell>
          <cell r="F1994">
            <v>0</v>
          </cell>
          <cell r="G1994">
            <v>0</v>
          </cell>
          <cell r="I1994">
            <v>0</v>
          </cell>
        </row>
        <row r="1995">
          <cell r="A1995" t="str">
            <v>B1992</v>
          </cell>
          <cell r="B1995" t="e">
            <v>#N/A</v>
          </cell>
          <cell r="D1995" t="e">
            <v>#N/A</v>
          </cell>
          <cell r="F1995">
            <v>0</v>
          </cell>
          <cell r="G1995">
            <v>0</v>
          </cell>
          <cell r="I1995">
            <v>0</v>
          </cell>
        </row>
        <row r="1996">
          <cell r="A1996" t="str">
            <v>B1993</v>
          </cell>
          <cell r="B1996" t="e">
            <v>#N/A</v>
          </cell>
          <cell r="D1996" t="e">
            <v>#N/A</v>
          </cell>
          <cell r="F1996">
            <v>0</v>
          </cell>
          <cell r="G1996">
            <v>0</v>
          </cell>
          <cell r="I1996">
            <v>0</v>
          </cell>
        </row>
        <row r="1997">
          <cell r="A1997" t="str">
            <v>B1994</v>
          </cell>
          <cell r="B1997" t="e">
            <v>#N/A</v>
          </cell>
          <cell r="D1997" t="e">
            <v>#N/A</v>
          </cell>
          <cell r="F1997">
            <v>0</v>
          </cell>
          <cell r="G1997">
            <v>0</v>
          </cell>
          <cell r="I1997">
            <v>0</v>
          </cell>
        </row>
        <row r="1998">
          <cell r="A1998" t="str">
            <v>B1995</v>
          </cell>
          <cell r="B1998" t="e">
            <v>#N/A</v>
          </cell>
          <cell r="D1998" t="e">
            <v>#N/A</v>
          </cell>
          <cell r="F1998">
            <v>0</v>
          </cell>
          <cell r="G1998">
            <v>0</v>
          </cell>
          <cell r="I1998">
            <v>0</v>
          </cell>
        </row>
        <row r="1999">
          <cell r="A1999" t="str">
            <v>B1996</v>
          </cell>
          <cell r="B1999" t="e">
            <v>#N/A</v>
          </cell>
          <cell r="D1999" t="e">
            <v>#N/A</v>
          </cell>
          <cell r="F1999">
            <v>0</v>
          </cell>
          <cell r="G1999">
            <v>0</v>
          </cell>
          <cell r="I1999">
            <v>0</v>
          </cell>
        </row>
        <row r="2000">
          <cell r="A2000" t="str">
            <v>B1997</v>
          </cell>
          <cell r="B2000" t="e">
            <v>#N/A</v>
          </cell>
          <cell r="D2000" t="e">
            <v>#N/A</v>
          </cell>
          <cell r="F2000">
            <v>0</v>
          </cell>
          <cell r="G2000">
            <v>0</v>
          </cell>
          <cell r="I2000">
            <v>0</v>
          </cell>
        </row>
        <row r="2001">
          <cell r="A2001" t="str">
            <v>B1998</v>
          </cell>
          <cell r="B2001" t="e">
            <v>#N/A</v>
          </cell>
          <cell r="D2001" t="e">
            <v>#N/A</v>
          </cell>
          <cell r="F2001">
            <v>0</v>
          </cell>
          <cell r="G2001">
            <v>0</v>
          </cell>
          <cell r="I2001">
            <v>0</v>
          </cell>
        </row>
        <row r="2002">
          <cell r="A2002" t="str">
            <v>B1999</v>
          </cell>
          <cell r="B2002" t="e">
            <v>#N/A</v>
          </cell>
          <cell r="D2002" t="e">
            <v>#N/A</v>
          </cell>
          <cell r="F2002">
            <v>0</v>
          </cell>
          <cell r="G2002">
            <v>0</v>
          </cell>
          <cell r="I2002">
            <v>0</v>
          </cell>
        </row>
        <row r="2003">
          <cell r="A2003" t="str">
            <v>B2000</v>
          </cell>
          <cell r="B2003" t="e">
            <v>#N/A</v>
          </cell>
          <cell r="D2003" t="e">
            <v>#N/A</v>
          </cell>
          <cell r="F2003">
            <v>0</v>
          </cell>
          <cell r="G2003">
            <v>0</v>
          </cell>
          <cell r="I2003">
            <v>0</v>
          </cell>
        </row>
        <row r="2004">
          <cell r="A2004" t="str">
            <v>B2001</v>
          </cell>
          <cell r="B2004" t="e">
            <v>#N/A</v>
          </cell>
          <cell r="D2004" t="e">
            <v>#N/A</v>
          </cell>
          <cell r="F2004">
            <v>0</v>
          </cell>
          <cell r="G2004">
            <v>0</v>
          </cell>
          <cell r="I2004">
            <v>0</v>
          </cell>
        </row>
        <row r="2005">
          <cell r="A2005" t="str">
            <v>B2002</v>
          </cell>
          <cell r="B2005" t="e">
            <v>#N/A</v>
          </cell>
          <cell r="D2005" t="e">
            <v>#N/A</v>
          </cell>
          <cell r="F2005">
            <v>0</v>
          </cell>
          <cell r="G2005">
            <v>0</v>
          </cell>
          <cell r="I2005">
            <v>0</v>
          </cell>
        </row>
        <row r="2006">
          <cell r="A2006" t="str">
            <v>B2003</v>
          </cell>
          <cell r="B2006" t="e">
            <v>#N/A</v>
          </cell>
          <cell r="D2006" t="e">
            <v>#N/A</v>
          </cell>
          <cell r="F2006">
            <v>0</v>
          </cell>
          <cell r="G2006">
            <v>0</v>
          </cell>
          <cell r="I2006">
            <v>0</v>
          </cell>
        </row>
        <row r="2007">
          <cell r="A2007" t="str">
            <v>B2004</v>
          </cell>
          <cell r="B2007" t="e">
            <v>#N/A</v>
          </cell>
          <cell r="D2007" t="e">
            <v>#N/A</v>
          </cell>
          <cell r="F2007">
            <v>0</v>
          </cell>
          <cell r="G2007">
            <v>0</v>
          </cell>
          <cell r="I2007">
            <v>0</v>
          </cell>
        </row>
        <row r="2008">
          <cell r="A2008" t="str">
            <v>B2005</v>
          </cell>
          <cell r="B2008" t="e">
            <v>#N/A</v>
          </cell>
          <cell r="D2008" t="e">
            <v>#N/A</v>
          </cell>
          <cell r="F2008">
            <v>0</v>
          </cell>
          <cell r="G2008">
            <v>0</v>
          </cell>
          <cell r="I2008">
            <v>0</v>
          </cell>
        </row>
        <row r="2009">
          <cell r="A2009" t="str">
            <v>B2006</v>
          </cell>
          <cell r="B2009" t="e">
            <v>#N/A</v>
          </cell>
          <cell r="D2009" t="e">
            <v>#N/A</v>
          </cell>
          <cell r="F2009">
            <v>0</v>
          </cell>
          <cell r="G2009">
            <v>0</v>
          </cell>
          <cell r="I2009">
            <v>0</v>
          </cell>
        </row>
        <row r="2010">
          <cell r="A2010" t="str">
            <v>B2007</v>
          </cell>
          <cell r="B2010" t="e">
            <v>#N/A</v>
          </cell>
          <cell r="D2010" t="e">
            <v>#N/A</v>
          </cell>
          <cell r="F2010">
            <v>0</v>
          </cell>
          <cell r="G2010">
            <v>0</v>
          </cell>
          <cell r="I2010">
            <v>0</v>
          </cell>
        </row>
        <row r="2011">
          <cell r="A2011" t="str">
            <v>B2008</v>
          </cell>
          <cell r="B2011" t="e">
            <v>#N/A</v>
          </cell>
          <cell r="D2011" t="e">
            <v>#N/A</v>
          </cell>
          <cell r="F2011">
            <v>0</v>
          </cell>
          <cell r="G2011">
            <v>0</v>
          </cell>
          <cell r="I2011">
            <v>0</v>
          </cell>
        </row>
        <row r="2012">
          <cell r="A2012" t="str">
            <v>B2009</v>
          </cell>
          <cell r="B2012" t="e">
            <v>#N/A</v>
          </cell>
          <cell r="D2012" t="e">
            <v>#N/A</v>
          </cell>
          <cell r="F2012">
            <v>0</v>
          </cell>
          <cell r="G2012">
            <v>0</v>
          </cell>
          <cell r="I2012">
            <v>0</v>
          </cell>
        </row>
        <row r="2013">
          <cell r="A2013" t="str">
            <v>B2010</v>
          </cell>
          <cell r="B2013" t="e">
            <v>#N/A</v>
          </cell>
          <cell r="D2013" t="e">
            <v>#N/A</v>
          </cell>
          <cell r="F2013">
            <v>0</v>
          </cell>
          <cell r="G2013">
            <v>0</v>
          </cell>
          <cell r="I2013">
            <v>0</v>
          </cell>
        </row>
        <row r="2014">
          <cell r="A2014" t="str">
            <v>B2011</v>
          </cell>
          <cell r="B2014" t="e">
            <v>#N/A</v>
          </cell>
          <cell r="D2014" t="e">
            <v>#N/A</v>
          </cell>
          <cell r="F2014">
            <v>0</v>
          </cell>
          <cell r="G2014">
            <v>0</v>
          </cell>
          <cell r="I2014">
            <v>0</v>
          </cell>
        </row>
        <row r="2015">
          <cell r="A2015" t="str">
            <v>B2012</v>
          </cell>
          <cell r="B2015" t="e">
            <v>#N/A</v>
          </cell>
          <cell r="D2015" t="e">
            <v>#N/A</v>
          </cell>
          <cell r="F2015">
            <v>0</v>
          </cell>
          <cell r="G2015">
            <v>0</v>
          </cell>
          <cell r="I2015">
            <v>0</v>
          </cell>
        </row>
        <row r="2016">
          <cell r="A2016" t="str">
            <v>B2013</v>
          </cell>
          <cell r="B2016" t="e">
            <v>#N/A</v>
          </cell>
          <cell r="D2016" t="e">
            <v>#N/A</v>
          </cell>
          <cell r="F2016">
            <v>0</v>
          </cell>
          <cell r="G2016">
            <v>0</v>
          </cell>
          <cell r="I2016">
            <v>0</v>
          </cell>
        </row>
        <row r="2017">
          <cell r="A2017" t="str">
            <v>B2014</v>
          </cell>
          <cell r="B2017" t="e">
            <v>#N/A</v>
          </cell>
          <cell r="D2017" t="e">
            <v>#N/A</v>
          </cell>
          <cell r="F2017">
            <v>0</v>
          </cell>
          <cell r="G2017">
            <v>0</v>
          </cell>
          <cell r="I2017">
            <v>0</v>
          </cell>
        </row>
        <row r="2018">
          <cell r="A2018" t="str">
            <v>B2015</v>
          </cell>
          <cell r="B2018" t="e">
            <v>#N/A</v>
          </cell>
          <cell r="D2018" t="e">
            <v>#N/A</v>
          </cell>
          <cell r="F2018">
            <v>0</v>
          </cell>
          <cell r="G2018">
            <v>0</v>
          </cell>
          <cell r="I2018">
            <v>0</v>
          </cell>
        </row>
        <row r="2019">
          <cell r="A2019" t="str">
            <v>B2016</v>
          </cell>
          <cell r="B2019" t="e">
            <v>#N/A</v>
          </cell>
          <cell r="D2019" t="e">
            <v>#N/A</v>
          </cell>
          <cell r="F2019">
            <v>0</v>
          </cell>
          <cell r="G2019">
            <v>0</v>
          </cell>
          <cell r="I2019">
            <v>0</v>
          </cell>
        </row>
        <row r="2020">
          <cell r="A2020" t="str">
            <v>B2017</v>
          </cell>
          <cell r="B2020" t="e">
            <v>#N/A</v>
          </cell>
          <cell r="D2020" t="e">
            <v>#N/A</v>
          </cell>
          <cell r="F2020">
            <v>0</v>
          </cell>
          <cell r="G2020">
            <v>0</v>
          </cell>
          <cell r="I2020">
            <v>0</v>
          </cell>
        </row>
        <row r="2021">
          <cell r="A2021" t="str">
            <v>B2018</v>
          </cell>
          <cell r="B2021" t="e">
            <v>#N/A</v>
          </cell>
          <cell r="D2021" t="e">
            <v>#N/A</v>
          </cell>
          <cell r="F2021">
            <v>0</v>
          </cell>
          <cell r="G2021">
            <v>0</v>
          </cell>
          <cell r="I2021">
            <v>0</v>
          </cell>
        </row>
        <row r="2022">
          <cell r="A2022" t="str">
            <v>B2019</v>
          </cell>
          <cell r="B2022" t="e">
            <v>#N/A</v>
          </cell>
          <cell r="D2022" t="e">
            <v>#N/A</v>
          </cell>
          <cell r="F2022">
            <v>0</v>
          </cell>
          <cell r="G2022">
            <v>0</v>
          </cell>
          <cell r="I2022">
            <v>0</v>
          </cell>
        </row>
        <row r="2023">
          <cell r="A2023" t="str">
            <v>B2020</v>
          </cell>
          <cell r="B2023" t="e">
            <v>#N/A</v>
          </cell>
          <cell r="D2023" t="e">
            <v>#N/A</v>
          </cell>
          <cell r="F2023">
            <v>0</v>
          </cell>
          <cell r="G2023">
            <v>0</v>
          </cell>
          <cell r="I2023">
            <v>0</v>
          </cell>
        </row>
        <row r="2024">
          <cell r="A2024" t="str">
            <v>B2021</v>
          </cell>
          <cell r="B2024" t="e">
            <v>#N/A</v>
          </cell>
          <cell r="D2024" t="e">
            <v>#N/A</v>
          </cell>
          <cell r="F2024">
            <v>0</v>
          </cell>
          <cell r="G2024">
            <v>0</v>
          </cell>
          <cell r="I2024">
            <v>0</v>
          </cell>
        </row>
        <row r="2025">
          <cell r="A2025" t="str">
            <v>B2022</v>
          </cell>
          <cell r="B2025" t="e">
            <v>#N/A</v>
          </cell>
          <cell r="D2025" t="e">
            <v>#N/A</v>
          </cell>
          <cell r="F2025">
            <v>0</v>
          </cell>
          <cell r="G2025">
            <v>0</v>
          </cell>
          <cell r="I2025">
            <v>0</v>
          </cell>
        </row>
        <row r="2026">
          <cell r="A2026" t="str">
            <v>B2023</v>
          </cell>
          <cell r="B2026" t="e">
            <v>#N/A</v>
          </cell>
          <cell r="D2026" t="e">
            <v>#N/A</v>
          </cell>
          <cell r="F2026">
            <v>0</v>
          </cell>
          <cell r="G2026">
            <v>0</v>
          </cell>
          <cell r="I2026">
            <v>0</v>
          </cell>
        </row>
        <row r="2027">
          <cell r="A2027" t="str">
            <v>B2024</v>
          </cell>
          <cell r="B2027" t="e">
            <v>#N/A</v>
          </cell>
          <cell r="D2027" t="e">
            <v>#N/A</v>
          </cell>
          <cell r="F2027">
            <v>0</v>
          </cell>
          <cell r="G2027">
            <v>0</v>
          </cell>
          <cell r="I2027">
            <v>0</v>
          </cell>
        </row>
        <row r="2028">
          <cell r="A2028" t="str">
            <v>B2025</v>
          </cell>
          <cell r="B2028" t="e">
            <v>#N/A</v>
          </cell>
          <cell r="D2028" t="e">
            <v>#N/A</v>
          </cell>
          <cell r="F2028">
            <v>0</v>
          </cell>
          <cell r="G2028">
            <v>0</v>
          </cell>
          <cell r="I2028">
            <v>0</v>
          </cell>
        </row>
        <row r="2029">
          <cell r="A2029" t="str">
            <v>B2026</v>
          </cell>
          <cell r="B2029" t="e">
            <v>#N/A</v>
          </cell>
          <cell r="D2029" t="e">
            <v>#N/A</v>
          </cell>
          <cell r="F2029">
            <v>0</v>
          </cell>
          <cell r="G2029">
            <v>0</v>
          </cell>
          <cell r="I2029">
            <v>0</v>
          </cell>
        </row>
        <row r="2030">
          <cell r="A2030" t="str">
            <v>B2027</v>
          </cell>
          <cell r="B2030" t="e">
            <v>#N/A</v>
          </cell>
          <cell r="D2030" t="e">
            <v>#N/A</v>
          </cell>
          <cell r="F2030">
            <v>0</v>
          </cell>
          <cell r="G2030">
            <v>0</v>
          </cell>
          <cell r="I2030">
            <v>0</v>
          </cell>
        </row>
        <row r="2031">
          <cell r="A2031" t="str">
            <v>B2028</v>
          </cell>
          <cell r="B2031" t="e">
            <v>#N/A</v>
          </cell>
          <cell r="D2031" t="e">
            <v>#N/A</v>
          </cell>
          <cell r="F2031">
            <v>0</v>
          </cell>
          <cell r="G2031">
            <v>0</v>
          </cell>
          <cell r="I2031">
            <v>0</v>
          </cell>
        </row>
        <row r="2032">
          <cell r="A2032" t="str">
            <v>B2029</v>
          </cell>
          <cell r="B2032" t="e">
            <v>#N/A</v>
          </cell>
          <cell r="D2032" t="e">
            <v>#N/A</v>
          </cell>
          <cell r="F2032">
            <v>0</v>
          </cell>
          <cell r="G2032">
            <v>0</v>
          </cell>
          <cell r="I2032">
            <v>0</v>
          </cell>
        </row>
        <row r="2033">
          <cell r="A2033" t="str">
            <v>B2030</v>
          </cell>
          <cell r="B2033" t="e">
            <v>#N/A</v>
          </cell>
          <cell r="D2033" t="e">
            <v>#N/A</v>
          </cell>
          <cell r="F2033">
            <v>0</v>
          </cell>
          <cell r="G2033">
            <v>0</v>
          </cell>
          <cell r="I2033">
            <v>0</v>
          </cell>
        </row>
        <row r="2034">
          <cell r="A2034" t="str">
            <v>B2031</v>
          </cell>
          <cell r="B2034" t="e">
            <v>#N/A</v>
          </cell>
          <cell r="D2034" t="e">
            <v>#N/A</v>
          </cell>
          <cell r="F2034">
            <v>0</v>
          </cell>
          <cell r="G2034">
            <v>0</v>
          </cell>
          <cell r="I2034">
            <v>0</v>
          </cell>
        </row>
        <row r="2035">
          <cell r="A2035" t="str">
            <v>B2032</v>
          </cell>
          <cell r="B2035" t="e">
            <v>#N/A</v>
          </cell>
          <cell r="D2035" t="e">
            <v>#N/A</v>
          </cell>
          <cell r="F2035">
            <v>0</v>
          </cell>
          <cell r="G2035">
            <v>0</v>
          </cell>
          <cell r="I2035">
            <v>0</v>
          </cell>
        </row>
        <row r="2036">
          <cell r="A2036" t="str">
            <v>B2033</v>
          </cell>
          <cell r="B2036" t="e">
            <v>#N/A</v>
          </cell>
          <cell r="D2036" t="e">
            <v>#N/A</v>
          </cell>
          <cell r="F2036">
            <v>0</v>
          </cell>
          <cell r="G2036">
            <v>0</v>
          </cell>
          <cell r="I2036">
            <v>0</v>
          </cell>
        </row>
        <row r="2037">
          <cell r="A2037" t="str">
            <v>B2034</v>
          </cell>
          <cell r="B2037" t="e">
            <v>#N/A</v>
          </cell>
          <cell r="D2037" t="e">
            <v>#N/A</v>
          </cell>
          <cell r="F2037">
            <v>0</v>
          </cell>
          <cell r="G2037">
            <v>0</v>
          </cell>
          <cell r="I2037">
            <v>0</v>
          </cell>
        </row>
        <row r="2038">
          <cell r="A2038" t="str">
            <v>B2035</v>
          </cell>
          <cell r="B2038" t="e">
            <v>#N/A</v>
          </cell>
          <cell r="D2038" t="e">
            <v>#N/A</v>
          </cell>
          <cell r="F2038">
            <v>0</v>
          </cell>
          <cell r="G2038">
            <v>0</v>
          </cell>
          <cell r="I2038">
            <v>0</v>
          </cell>
        </row>
        <row r="2039">
          <cell r="A2039" t="str">
            <v>B2036</v>
          </cell>
          <cell r="B2039" t="e">
            <v>#N/A</v>
          </cell>
          <cell r="D2039" t="e">
            <v>#N/A</v>
          </cell>
          <cell r="F2039">
            <v>0</v>
          </cell>
          <cell r="G2039">
            <v>0</v>
          </cell>
          <cell r="I2039">
            <v>0</v>
          </cell>
        </row>
        <row r="2040">
          <cell r="A2040" t="str">
            <v>B2037</v>
          </cell>
          <cell r="B2040" t="e">
            <v>#N/A</v>
          </cell>
          <cell r="D2040" t="e">
            <v>#N/A</v>
          </cell>
          <cell r="F2040">
            <v>0</v>
          </cell>
          <cell r="G2040">
            <v>0</v>
          </cell>
          <cell r="I2040">
            <v>0</v>
          </cell>
        </row>
        <row r="2041">
          <cell r="A2041" t="str">
            <v>B2038</v>
          </cell>
          <cell r="B2041" t="e">
            <v>#N/A</v>
          </cell>
          <cell r="D2041" t="e">
            <v>#N/A</v>
          </cell>
          <cell r="F2041">
            <v>0</v>
          </cell>
          <cell r="G2041">
            <v>0</v>
          </cell>
          <cell r="I2041">
            <v>0</v>
          </cell>
        </row>
        <row r="2042">
          <cell r="A2042" t="str">
            <v>B2039</v>
          </cell>
          <cell r="B2042" t="e">
            <v>#N/A</v>
          </cell>
          <cell r="D2042" t="e">
            <v>#N/A</v>
          </cell>
          <cell r="F2042">
            <v>0</v>
          </cell>
          <cell r="G2042">
            <v>0</v>
          </cell>
          <cell r="I2042">
            <v>0</v>
          </cell>
        </row>
        <row r="2043">
          <cell r="A2043" t="str">
            <v>B2040</v>
          </cell>
          <cell r="B2043" t="e">
            <v>#N/A</v>
          </cell>
          <cell r="D2043" t="e">
            <v>#N/A</v>
          </cell>
          <cell r="F2043">
            <v>0</v>
          </cell>
          <cell r="G2043">
            <v>0</v>
          </cell>
          <cell r="I2043">
            <v>0</v>
          </cell>
        </row>
        <row r="2044">
          <cell r="A2044" t="str">
            <v>B2041</v>
          </cell>
          <cell r="B2044" t="e">
            <v>#N/A</v>
          </cell>
          <cell r="D2044" t="e">
            <v>#N/A</v>
          </cell>
          <cell r="F2044">
            <v>0</v>
          </cell>
          <cell r="G2044">
            <v>0</v>
          </cell>
          <cell r="I2044">
            <v>0</v>
          </cell>
        </row>
        <row r="2045">
          <cell r="A2045" t="str">
            <v>B2042</v>
          </cell>
          <cell r="B2045" t="e">
            <v>#N/A</v>
          </cell>
          <cell r="D2045" t="e">
            <v>#N/A</v>
          </cell>
          <cell r="F2045">
            <v>0</v>
          </cell>
          <cell r="G2045">
            <v>0</v>
          </cell>
          <cell r="I2045">
            <v>0</v>
          </cell>
        </row>
        <row r="2046">
          <cell r="A2046" t="str">
            <v>B2043</v>
          </cell>
          <cell r="B2046" t="e">
            <v>#N/A</v>
          </cell>
          <cell r="D2046" t="e">
            <v>#N/A</v>
          </cell>
          <cell r="F2046">
            <v>0</v>
          </cell>
          <cell r="G2046">
            <v>0</v>
          </cell>
          <cell r="I2046">
            <v>0</v>
          </cell>
        </row>
        <row r="2047">
          <cell r="A2047" t="str">
            <v>B2044</v>
          </cell>
          <cell r="B2047" t="e">
            <v>#N/A</v>
          </cell>
          <cell r="D2047" t="e">
            <v>#N/A</v>
          </cell>
          <cell r="F2047">
            <v>0</v>
          </cell>
          <cell r="G2047">
            <v>0</v>
          </cell>
          <cell r="I2047">
            <v>0</v>
          </cell>
        </row>
        <row r="2048">
          <cell r="A2048" t="str">
            <v>B2045</v>
          </cell>
          <cell r="B2048" t="e">
            <v>#N/A</v>
          </cell>
          <cell r="D2048" t="e">
            <v>#N/A</v>
          </cell>
          <cell r="F2048">
            <v>0</v>
          </cell>
          <cell r="G2048">
            <v>0</v>
          </cell>
          <cell r="I2048">
            <v>0</v>
          </cell>
        </row>
        <row r="2049">
          <cell r="A2049" t="str">
            <v>B2046</v>
          </cell>
          <cell r="B2049" t="e">
            <v>#N/A</v>
          </cell>
          <cell r="D2049" t="e">
            <v>#N/A</v>
          </cell>
          <cell r="F2049">
            <v>0</v>
          </cell>
          <cell r="G2049">
            <v>0</v>
          </cell>
          <cell r="I2049">
            <v>0</v>
          </cell>
        </row>
        <row r="2050">
          <cell r="A2050" t="str">
            <v>B2047</v>
          </cell>
          <cell r="B2050" t="e">
            <v>#N/A</v>
          </cell>
          <cell r="D2050" t="e">
            <v>#N/A</v>
          </cell>
          <cell r="F2050">
            <v>0</v>
          </cell>
          <cell r="G2050">
            <v>0</v>
          </cell>
          <cell r="I2050">
            <v>0</v>
          </cell>
        </row>
        <row r="2051">
          <cell r="A2051" t="str">
            <v>B2048</v>
          </cell>
          <cell r="B2051" t="e">
            <v>#N/A</v>
          </cell>
          <cell r="D2051" t="e">
            <v>#N/A</v>
          </cell>
          <cell r="F2051">
            <v>0</v>
          </cell>
          <cell r="G2051">
            <v>0</v>
          </cell>
          <cell r="I2051">
            <v>0</v>
          </cell>
        </row>
        <row r="2052">
          <cell r="A2052" t="str">
            <v>B2049</v>
          </cell>
          <cell r="B2052" t="e">
            <v>#N/A</v>
          </cell>
          <cell r="D2052" t="e">
            <v>#N/A</v>
          </cell>
          <cell r="F2052">
            <v>0</v>
          </cell>
          <cell r="G2052">
            <v>0</v>
          </cell>
          <cell r="I2052">
            <v>0</v>
          </cell>
        </row>
        <row r="2053">
          <cell r="A2053" t="str">
            <v>B2050</v>
          </cell>
          <cell r="B2053" t="e">
            <v>#N/A</v>
          </cell>
          <cell r="D2053" t="e">
            <v>#N/A</v>
          </cell>
          <cell r="F2053">
            <v>0</v>
          </cell>
          <cell r="G2053">
            <v>0</v>
          </cell>
          <cell r="I2053">
            <v>0</v>
          </cell>
        </row>
        <row r="2054">
          <cell r="A2054" t="str">
            <v>B2051</v>
          </cell>
          <cell r="B2054" t="e">
            <v>#N/A</v>
          </cell>
          <cell r="D2054" t="e">
            <v>#N/A</v>
          </cell>
          <cell r="F2054">
            <v>0</v>
          </cell>
          <cell r="G2054">
            <v>0</v>
          </cell>
          <cell r="I2054">
            <v>0</v>
          </cell>
        </row>
        <row r="2055">
          <cell r="A2055" t="str">
            <v>B2052</v>
          </cell>
          <cell r="B2055" t="e">
            <v>#N/A</v>
          </cell>
          <cell r="D2055" t="e">
            <v>#N/A</v>
          </cell>
          <cell r="F2055">
            <v>0</v>
          </cell>
          <cell r="G2055">
            <v>0</v>
          </cell>
          <cell r="I2055">
            <v>0</v>
          </cell>
        </row>
        <row r="2056">
          <cell r="A2056" t="str">
            <v>B2053</v>
          </cell>
          <cell r="B2056" t="e">
            <v>#N/A</v>
          </cell>
          <cell r="D2056" t="e">
            <v>#N/A</v>
          </cell>
          <cell r="F2056">
            <v>0</v>
          </cell>
          <cell r="G2056">
            <v>0</v>
          </cell>
          <cell r="I2056">
            <v>0</v>
          </cell>
        </row>
        <row r="2057">
          <cell r="A2057" t="str">
            <v>B2054</v>
          </cell>
          <cell r="B2057" t="e">
            <v>#N/A</v>
          </cell>
          <cell r="D2057" t="e">
            <v>#N/A</v>
          </cell>
          <cell r="F2057">
            <v>0</v>
          </cell>
          <cell r="G2057">
            <v>0</v>
          </cell>
          <cell r="I2057">
            <v>0</v>
          </cell>
        </row>
        <row r="2058">
          <cell r="A2058" t="str">
            <v>B2055</v>
          </cell>
          <cell r="B2058" t="e">
            <v>#N/A</v>
          </cell>
          <cell r="D2058" t="e">
            <v>#N/A</v>
          </cell>
          <cell r="F2058">
            <v>0</v>
          </cell>
          <cell r="G2058">
            <v>0</v>
          </cell>
          <cell r="I2058">
            <v>0</v>
          </cell>
        </row>
        <row r="2059">
          <cell r="A2059" t="str">
            <v>B2056</v>
          </cell>
          <cell r="B2059" t="e">
            <v>#N/A</v>
          </cell>
          <cell r="D2059" t="e">
            <v>#N/A</v>
          </cell>
          <cell r="F2059">
            <v>0</v>
          </cell>
          <cell r="G2059">
            <v>0</v>
          </cell>
          <cell r="I2059">
            <v>0</v>
          </cell>
        </row>
        <row r="2060">
          <cell r="A2060" t="str">
            <v>B2057</v>
          </cell>
          <cell r="B2060" t="e">
            <v>#N/A</v>
          </cell>
          <cell r="D2060" t="e">
            <v>#N/A</v>
          </cell>
          <cell r="F2060">
            <v>0</v>
          </cell>
          <cell r="G2060">
            <v>0</v>
          </cell>
          <cell r="I2060">
            <v>0</v>
          </cell>
        </row>
        <row r="2061">
          <cell r="A2061" t="str">
            <v>B2058</v>
          </cell>
          <cell r="B2061" t="e">
            <v>#N/A</v>
          </cell>
          <cell r="D2061" t="e">
            <v>#N/A</v>
          </cell>
          <cell r="F2061">
            <v>0</v>
          </cell>
          <cell r="G2061">
            <v>0</v>
          </cell>
          <cell r="I2061">
            <v>0</v>
          </cell>
        </row>
        <row r="2062">
          <cell r="A2062" t="str">
            <v>B2059</v>
          </cell>
          <cell r="B2062" t="e">
            <v>#N/A</v>
          </cell>
          <cell r="D2062" t="e">
            <v>#N/A</v>
          </cell>
          <cell r="F2062">
            <v>0</v>
          </cell>
          <cell r="G2062">
            <v>0</v>
          </cell>
          <cell r="I2062">
            <v>0</v>
          </cell>
        </row>
        <row r="2063">
          <cell r="A2063" t="str">
            <v>B2060</v>
          </cell>
          <cell r="B2063" t="e">
            <v>#N/A</v>
          </cell>
          <cell r="D2063" t="e">
            <v>#N/A</v>
          </cell>
          <cell r="F2063">
            <v>0</v>
          </cell>
          <cell r="G2063">
            <v>0</v>
          </cell>
          <cell r="I2063">
            <v>0</v>
          </cell>
        </row>
        <row r="2064">
          <cell r="A2064" t="str">
            <v>B2061</v>
          </cell>
          <cell r="B2064" t="e">
            <v>#N/A</v>
          </cell>
          <cell r="D2064" t="e">
            <v>#N/A</v>
          </cell>
          <cell r="F2064">
            <v>0</v>
          </cell>
          <cell r="G2064">
            <v>0</v>
          </cell>
          <cell r="I2064">
            <v>0</v>
          </cell>
        </row>
        <row r="2065">
          <cell r="A2065" t="str">
            <v>B2062</v>
          </cell>
          <cell r="B2065" t="e">
            <v>#N/A</v>
          </cell>
          <cell r="D2065" t="e">
            <v>#N/A</v>
          </cell>
          <cell r="F2065">
            <v>0</v>
          </cell>
          <cell r="G2065">
            <v>0</v>
          </cell>
          <cell r="I2065">
            <v>0</v>
          </cell>
        </row>
        <row r="2066">
          <cell r="A2066" t="str">
            <v>B2063</v>
          </cell>
          <cell r="B2066" t="e">
            <v>#N/A</v>
          </cell>
          <cell r="D2066" t="e">
            <v>#N/A</v>
          </cell>
          <cell r="F2066">
            <v>0</v>
          </cell>
          <cell r="G2066">
            <v>0</v>
          </cell>
          <cell r="I2066">
            <v>0</v>
          </cell>
        </row>
        <row r="2067">
          <cell r="A2067" t="str">
            <v>B2064</v>
          </cell>
          <cell r="B2067" t="e">
            <v>#N/A</v>
          </cell>
          <cell r="D2067" t="e">
            <v>#N/A</v>
          </cell>
          <cell r="F2067">
            <v>0</v>
          </cell>
          <cell r="G2067">
            <v>0</v>
          </cell>
          <cell r="I2067">
            <v>0</v>
          </cell>
        </row>
        <row r="2068">
          <cell r="A2068" t="str">
            <v>B2065</v>
          </cell>
          <cell r="B2068" t="e">
            <v>#N/A</v>
          </cell>
          <cell r="D2068" t="e">
            <v>#N/A</v>
          </cell>
          <cell r="F2068">
            <v>0</v>
          </cell>
          <cell r="G2068">
            <v>0</v>
          </cell>
          <cell r="I2068">
            <v>0</v>
          </cell>
        </row>
        <row r="2069">
          <cell r="A2069" t="str">
            <v>B2066</v>
          </cell>
          <cell r="B2069" t="e">
            <v>#N/A</v>
          </cell>
          <cell r="D2069" t="e">
            <v>#N/A</v>
          </cell>
          <cell r="F2069">
            <v>0</v>
          </cell>
          <cell r="G2069">
            <v>0</v>
          </cell>
          <cell r="I2069">
            <v>0</v>
          </cell>
        </row>
        <row r="2070">
          <cell r="A2070" t="str">
            <v>B2067</v>
          </cell>
          <cell r="B2070" t="e">
            <v>#N/A</v>
          </cell>
          <cell r="D2070" t="e">
            <v>#N/A</v>
          </cell>
          <cell r="F2070">
            <v>0</v>
          </cell>
          <cell r="G2070">
            <v>0</v>
          </cell>
          <cell r="I2070">
            <v>0</v>
          </cell>
        </row>
        <row r="2071">
          <cell r="A2071" t="str">
            <v>B2068</v>
          </cell>
          <cell r="B2071" t="e">
            <v>#N/A</v>
          </cell>
          <cell r="D2071" t="e">
            <v>#N/A</v>
          </cell>
          <cell r="F2071">
            <v>0</v>
          </cell>
          <cell r="G2071">
            <v>0</v>
          </cell>
          <cell r="I2071">
            <v>0</v>
          </cell>
        </row>
        <row r="2072">
          <cell r="A2072" t="str">
            <v>B2069</v>
          </cell>
          <cell r="B2072" t="e">
            <v>#N/A</v>
          </cell>
          <cell r="D2072" t="e">
            <v>#N/A</v>
          </cell>
          <cell r="F2072">
            <v>0</v>
          </cell>
          <cell r="G2072">
            <v>0</v>
          </cell>
          <cell r="I2072">
            <v>0</v>
          </cell>
        </row>
        <row r="2073">
          <cell r="A2073" t="str">
            <v>B2070</v>
          </cell>
          <cell r="B2073" t="e">
            <v>#N/A</v>
          </cell>
          <cell r="D2073" t="e">
            <v>#N/A</v>
          </cell>
          <cell r="F2073">
            <v>0</v>
          </cell>
          <cell r="G2073">
            <v>0</v>
          </cell>
          <cell r="I2073">
            <v>0</v>
          </cell>
        </row>
        <row r="2074">
          <cell r="A2074" t="str">
            <v>B2071</v>
          </cell>
          <cell r="B2074" t="e">
            <v>#N/A</v>
          </cell>
          <cell r="D2074" t="e">
            <v>#N/A</v>
          </cell>
          <cell r="F2074">
            <v>0</v>
          </cell>
          <cell r="G2074">
            <v>0</v>
          </cell>
          <cell r="I2074">
            <v>0</v>
          </cell>
        </row>
        <row r="2075">
          <cell r="A2075" t="str">
            <v>B2072</v>
          </cell>
          <cell r="B2075" t="e">
            <v>#N/A</v>
          </cell>
          <cell r="D2075" t="e">
            <v>#N/A</v>
          </cell>
          <cell r="F2075">
            <v>0</v>
          </cell>
          <cell r="G2075">
            <v>0</v>
          </cell>
          <cell r="I2075">
            <v>0</v>
          </cell>
        </row>
        <row r="2076">
          <cell r="A2076" t="str">
            <v>B2073</v>
          </cell>
          <cell r="B2076" t="e">
            <v>#N/A</v>
          </cell>
          <cell r="D2076" t="e">
            <v>#N/A</v>
          </cell>
          <cell r="F2076">
            <v>0</v>
          </cell>
          <cell r="G2076">
            <v>0</v>
          </cell>
          <cell r="I2076">
            <v>0</v>
          </cell>
        </row>
        <row r="2077">
          <cell r="A2077" t="str">
            <v>B2074</v>
          </cell>
          <cell r="B2077" t="e">
            <v>#N/A</v>
          </cell>
          <cell r="D2077" t="e">
            <v>#N/A</v>
          </cell>
          <cell r="F2077">
            <v>0</v>
          </cell>
          <cell r="G2077">
            <v>0</v>
          </cell>
          <cell r="I2077">
            <v>0</v>
          </cell>
        </row>
        <row r="2078">
          <cell r="A2078" t="str">
            <v>B2075</v>
          </cell>
          <cell r="B2078" t="e">
            <v>#N/A</v>
          </cell>
          <cell r="D2078" t="e">
            <v>#N/A</v>
          </cell>
          <cell r="F2078">
            <v>0</v>
          </cell>
          <cell r="G2078">
            <v>0</v>
          </cell>
          <cell r="I2078">
            <v>0</v>
          </cell>
        </row>
        <row r="2079">
          <cell r="A2079" t="str">
            <v>B2076</v>
          </cell>
          <cell r="B2079" t="e">
            <v>#N/A</v>
          </cell>
          <cell r="D2079" t="e">
            <v>#N/A</v>
          </cell>
          <cell r="F2079">
            <v>0</v>
          </cell>
          <cell r="G2079">
            <v>0</v>
          </cell>
          <cell r="I2079">
            <v>0</v>
          </cell>
        </row>
        <row r="2080">
          <cell r="A2080" t="str">
            <v>B2077</v>
          </cell>
          <cell r="B2080" t="e">
            <v>#N/A</v>
          </cell>
          <cell r="D2080" t="e">
            <v>#N/A</v>
          </cell>
          <cell r="F2080">
            <v>0</v>
          </cell>
          <cell r="G2080">
            <v>0</v>
          </cell>
          <cell r="I2080">
            <v>0</v>
          </cell>
        </row>
        <row r="2081">
          <cell r="A2081" t="str">
            <v>B2078</v>
          </cell>
          <cell r="B2081" t="e">
            <v>#N/A</v>
          </cell>
          <cell r="D2081" t="e">
            <v>#N/A</v>
          </cell>
          <cell r="F2081">
            <v>0</v>
          </cell>
          <cell r="G2081">
            <v>0</v>
          </cell>
          <cell r="I2081">
            <v>0</v>
          </cell>
        </row>
        <row r="2082">
          <cell r="A2082" t="str">
            <v>B2079</v>
          </cell>
          <cell r="B2082" t="e">
            <v>#N/A</v>
          </cell>
          <cell r="D2082" t="e">
            <v>#N/A</v>
          </cell>
          <cell r="F2082">
            <v>0</v>
          </cell>
          <cell r="G2082">
            <v>0</v>
          </cell>
          <cell r="I2082">
            <v>0</v>
          </cell>
        </row>
        <row r="2083">
          <cell r="A2083" t="str">
            <v>B2080</v>
          </cell>
          <cell r="B2083" t="e">
            <v>#N/A</v>
          </cell>
          <cell r="D2083" t="e">
            <v>#N/A</v>
          </cell>
          <cell r="F2083">
            <v>0</v>
          </cell>
          <cell r="G2083">
            <v>0</v>
          </cell>
          <cell r="I2083">
            <v>0</v>
          </cell>
        </row>
        <row r="2084">
          <cell r="A2084" t="str">
            <v>B2081</v>
          </cell>
          <cell r="B2084" t="e">
            <v>#N/A</v>
          </cell>
          <cell r="D2084" t="e">
            <v>#N/A</v>
          </cell>
          <cell r="F2084">
            <v>0</v>
          </cell>
          <cell r="G2084">
            <v>0</v>
          </cell>
          <cell r="I2084">
            <v>0</v>
          </cell>
        </row>
        <row r="2085">
          <cell r="A2085" t="str">
            <v>B2082</v>
          </cell>
          <cell r="B2085" t="e">
            <v>#N/A</v>
          </cell>
          <cell r="D2085" t="e">
            <v>#N/A</v>
          </cell>
          <cell r="F2085">
            <v>0</v>
          </cell>
          <cell r="G2085">
            <v>0</v>
          </cell>
          <cell r="I2085">
            <v>0</v>
          </cell>
        </row>
        <row r="2086">
          <cell r="A2086" t="str">
            <v>B2083</v>
          </cell>
          <cell r="B2086" t="e">
            <v>#N/A</v>
          </cell>
          <cell r="D2086" t="e">
            <v>#N/A</v>
          </cell>
          <cell r="F2086">
            <v>0</v>
          </cell>
          <cell r="G2086">
            <v>0</v>
          </cell>
          <cell r="I2086">
            <v>0</v>
          </cell>
        </row>
        <row r="2087">
          <cell r="A2087" t="str">
            <v>B2084</v>
          </cell>
          <cell r="B2087" t="e">
            <v>#N/A</v>
          </cell>
          <cell r="D2087" t="e">
            <v>#N/A</v>
          </cell>
          <cell r="F2087">
            <v>0</v>
          </cell>
          <cell r="G2087">
            <v>0</v>
          </cell>
          <cell r="I2087">
            <v>0</v>
          </cell>
        </row>
        <row r="2088">
          <cell r="A2088" t="str">
            <v>B2085</v>
          </cell>
          <cell r="B2088" t="e">
            <v>#N/A</v>
          </cell>
          <cell r="D2088" t="e">
            <v>#N/A</v>
          </cell>
          <cell r="F2088">
            <v>0</v>
          </cell>
          <cell r="G2088">
            <v>0</v>
          </cell>
          <cell r="I2088">
            <v>0</v>
          </cell>
        </row>
        <row r="2089">
          <cell r="A2089" t="str">
            <v>B2086</v>
          </cell>
          <cell r="B2089" t="e">
            <v>#N/A</v>
          </cell>
          <cell r="D2089" t="e">
            <v>#N/A</v>
          </cell>
          <cell r="F2089">
            <v>0</v>
          </cell>
          <cell r="G2089">
            <v>0</v>
          </cell>
          <cell r="I2089">
            <v>0</v>
          </cell>
        </row>
        <row r="2090">
          <cell r="A2090" t="str">
            <v>B2087</v>
          </cell>
          <cell r="B2090" t="e">
            <v>#N/A</v>
          </cell>
          <cell r="D2090" t="e">
            <v>#N/A</v>
          </cell>
          <cell r="F2090">
            <v>0</v>
          </cell>
          <cell r="G2090">
            <v>0</v>
          </cell>
          <cell r="I2090">
            <v>0</v>
          </cell>
        </row>
        <row r="2091">
          <cell r="A2091" t="str">
            <v>B2088</v>
          </cell>
          <cell r="B2091" t="e">
            <v>#N/A</v>
          </cell>
          <cell r="D2091" t="e">
            <v>#N/A</v>
          </cell>
          <cell r="F2091">
            <v>0</v>
          </cell>
          <cell r="G2091">
            <v>0</v>
          </cell>
          <cell r="I2091">
            <v>0</v>
          </cell>
        </row>
        <row r="2092">
          <cell r="A2092" t="str">
            <v>B2089</v>
          </cell>
          <cell r="B2092" t="e">
            <v>#N/A</v>
          </cell>
          <cell r="D2092" t="e">
            <v>#N/A</v>
          </cell>
          <cell r="F2092">
            <v>0</v>
          </cell>
          <cell r="G2092">
            <v>0</v>
          </cell>
          <cell r="I2092">
            <v>0</v>
          </cell>
        </row>
        <row r="2093">
          <cell r="A2093" t="str">
            <v>B2090</v>
          </cell>
          <cell r="B2093" t="e">
            <v>#N/A</v>
          </cell>
          <cell r="D2093" t="e">
            <v>#N/A</v>
          </cell>
          <cell r="F2093">
            <v>0</v>
          </cell>
          <cell r="G2093">
            <v>0</v>
          </cell>
          <cell r="I2093">
            <v>0</v>
          </cell>
        </row>
        <row r="2094">
          <cell r="A2094" t="str">
            <v>B2091</v>
          </cell>
          <cell r="B2094" t="e">
            <v>#N/A</v>
          </cell>
          <cell r="D2094" t="e">
            <v>#N/A</v>
          </cell>
          <cell r="F2094">
            <v>0</v>
          </cell>
          <cell r="G2094">
            <v>0</v>
          </cell>
          <cell r="I2094">
            <v>0</v>
          </cell>
        </row>
        <row r="2095">
          <cell r="A2095" t="str">
            <v>B2092</v>
          </cell>
          <cell r="B2095" t="e">
            <v>#N/A</v>
          </cell>
          <cell r="D2095" t="e">
            <v>#N/A</v>
          </cell>
          <cell r="F2095">
            <v>0</v>
          </cell>
          <cell r="G2095">
            <v>0</v>
          </cell>
          <cell r="I2095">
            <v>0</v>
          </cell>
        </row>
        <row r="2096">
          <cell r="A2096" t="str">
            <v>B2093</v>
          </cell>
          <cell r="B2096" t="e">
            <v>#N/A</v>
          </cell>
          <cell r="D2096" t="e">
            <v>#N/A</v>
          </cell>
          <cell r="F2096">
            <v>0</v>
          </cell>
          <cell r="G2096">
            <v>0</v>
          </cell>
          <cell r="I2096">
            <v>0</v>
          </cell>
        </row>
        <row r="2097">
          <cell r="A2097" t="str">
            <v>B2094</v>
          </cell>
          <cell r="B2097" t="e">
            <v>#N/A</v>
          </cell>
          <cell r="D2097" t="e">
            <v>#N/A</v>
          </cell>
          <cell r="F2097">
            <v>0</v>
          </cell>
          <cell r="G2097">
            <v>0</v>
          </cell>
          <cell r="I2097">
            <v>0</v>
          </cell>
        </row>
        <row r="2098">
          <cell r="A2098" t="str">
            <v>B2095</v>
          </cell>
          <cell r="B2098" t="e">
            <v>#N/A</v>
          </cell>
          <cell r="D2098" t="e">
            <v>#N/A</v>
          </cell>
          <cell r="F2098">
            <v>0</v>
          </cell>
          <cell r="G2098">
            <v>0</v>
          </cell>
          <cell r="I2098">
            <v>0</v>
          </cell>
        </row>
        <row r="2099">
          <cell r="A2099" t="str">
            <v>B2096</v>
          </cell>
          <cell r="B2099" t="e">
            <v>#N/A</v>
          </cell>
          <cell r="D2099" t="e">
            <v>#N/A</v>
          </cell>
          <cell r="F2099">
            <v>0</v>
          </cell>
          <cell r="G2099">
            <v>0</v>
          </cell>
          <cell r="I2099">
            <v>0</v>
          </cell>
        </row>
        <row r="2100">
          <cell r="A2100" t="str">
            <v>B2097</v>
          </cell>
          <cell r="B2100" t="e">
            <v>#N/A</v>
          </cell>
          <cell r="D2100" t="e">
            <v>#N/A</v>
          </cell>
          <cell r="F2100">
            <v>0</v>
          </cell>
          <cell r="G2100">
            <v>0</v>
          </cell>
          <cell r="I2100">
            <v>0</v>
          </cell>
        </row>
        <row r="2101">
          <cell r="A2101" t="str">
            <v>B2098</v>
          </cell>
          <cell r="B2101" t="e">
            <v>#N/A</v>
          </cell>
          <cell r="D2101" t="e">
            <v>#N/A</v>
          </cell>
          <cell r="F2101">
            <v>0</v>
          </cell>
          <cell r="G2101">
            <v>0</v>
          </cell>
          <cell r="I2101">
            <v>0</v>
          </cell>
        </row>
        <row r="2102">
          <cell r="A2102" t="str">
            <v>B2099</v>
          </cell>
          <cell r="B2102" t="e">
            <v>#N/A</v>
          </cell>
          <cell r="D2102" t="e">
            <v>#N/A</v>
          </cell>
          <cell r="F2102">
            <v>0</v>
          </cell>
          <cell r="G2102">
            <v>0</v>
          </cell>
          <cell r="I2102">
            <v>0</v>
          </cell>
        </row>
        <row r="2103">
          <cell r="A2103" t="str">
            <v>B2100</v>
          </cell>
          <cell r="B2103" t="e">
            <v>#N/A</v>
          </cell>
          <cell r="D2103" t="e">
            <v>#N/A</v>
          </cell>
          <cell r="F2103">
            <v>0</v>
          </cell>
          <cell r="G2103">
            <v>0</v>
          </cell>
          <cell r="I2103">
            <v>0</v>
          </cell>
        </row>
        <row r="2104">
          <cell r="A2104" t="str">
            <v>B2101</v>
          </cell>
          <cell r="B2104" t="e">
            <v>#N/A</v>
          </cell>
          <cell r="D2104" t="e">
            <v>#N/A</v>
          </cell>
          <cell r="F2104">
            <v>0</v>
          </cell>
          <cell r="G2104">
            <v>0</v>
          </cell>
          <cell r="I2104">
            <v>0</v>
          </cell>
        </row>
        <row r="2105">
          <cell r="A2105" t="str">
            <v>B2102</v>
          </cell>
          <cell r="B2105" t="e">
            <v>#N/A</v>
          </cell>
          <cell r="D2105" t="e">
            <v>#N/A</v>
          </cell>
          <cell r="F2105">
            <v>0</v>
          </cell>
          <cell r="G2105">
            <v>0</v>
          </cell>
          <cell r="I2105">
            <v>0</v>
          </cell>
        </row>
        <row r="2106">
          <cell r="A2106" t="str">
            <v>B2103</v>
          </cell>
          <cell r="B2106" t="e">
            <v>#N/A</v>
          </cell>
          <cell r="D2106" t="e">
            <v>#N/A</v>
          </cell>
          <cell r="F2106">
            <v>0</v>
          </cell>
          <cell r="G2106">
            <v>0</v>
          </cell>
          <cell r="I2106">
            <v>0</v>
          </cell>
        </row>
        <row r="2107">
          <cell r="A2107" t="str">
            <v>B2104</v>
          </cell>
          <cell r="B2107" t="e">
            <v>#N/A</v>
          </cell>
          <cell r="D2107" t="e">
            <v>#N/A</v>
          </cell>
          <cell r="F2107">
            <v>0</v>
          </cell>
          <cell r="G2107">
            <v>0</v>
          </cell>
          <cell r="I2107">
            <v>0</v>
          </cell>
        </row>
        <row r="2108">
          <cell r="A2108" t="str">
            <v>B2105</v>
          </cell>
          <cell r="B2108" t="e">
            <v>#N/A</v>
          </cell>
          <cell r="D2108" t="e">
            <v>#N/A</v>
          </cell>
          <cell r="F2108">
            <v>0</v>
          </cell>
          <cell r="G2108">
            <v>0</v>
          </cell>
          <cell r="I2108">
            <v>0</v>
          </cell>
        </row>
        <row r="2109">
          <cell r="A2109" t="str">
            <v>B2106</v>
          </cell>
          <cell r="B2109" t="e">
            <v>#N/A</v>
          </cell>
          <cell r="D2109" t="e">
            <v>#N/A</v>
          </cell>
          <cell r="F2109">
            <v>0</v>
          </cell>
          <cell r="G2109">
            <v>0</v>
          </cell>
          <cell r="I2109">
            <v>0</v>
          </cell>
        </row>
        <row r="2110">
          <cell r="A2110" t="str">
            <v>B2107</v>
          </cell>
          <cell r="B2110" t="e">
            <v>#N/A</v>
          </cell>
          <cell r="D2110" t="e">
            <v>#N/A</v>
          </cell>
          <cell r="F2110">
            <v>0</v>
          </cell>
          <cell r="G2110">
            <v>0</v>
          </cell>
          <cell r="I2110">
            <v>0</v>
          </cell>
        </row>
        <row r="2111">
          <cell r="A2111" t="str">
            <v>B2108</v>
          </cell>
          <cell r="B2111" t="e">
            <v>#N/A</v>
          </cell>
          <cell r="D2111" t="e">
            <v>#N/A</v>
          </cell>
          <cell r="F2111">
            <v>0</v>
          </cell>
          <cell r="G2111">
            <v>0</v>
          </cell>
          <cell r="I2111">
            <v>0</v>
          </cell>
        </row>
        <row r="2112">
          <cell r="A2112" t="str">
            <v>B2109</v>
          </cell>
          <cell r="B2112" t="e">
            <v>#N/A</v>
          </cell>
          <cell r="D2112" t="e">
            <v>#N/A</v>
          </cell>
          <cell r="F2112">
            <v>0</v>
          </cell>
          <cell r="G2112">
            <v>0</v>
          </cell>
          <cell r="I2112">
            <v>0</v>
          </cell>
        </row>
        <row r="2113">
          <cell r="A2113" t="str">
            <v>B2110</v>
          </cell>
          <cell r="B2113" t="e">
            <v>#N/A</v>
          </cell>
          <cell r="D2113" t="e">
            <v>#N/A</v>
          </cell>
          <cell r="F2113">
            <v>0</v>
          </cell>
          <cell r="G2113">
            <v>0</v>
          </cell>
          <cell r="I2113">
            <v>0</v>
          </cell>
        </row>
        <row r="2114">
          <cell r="A2114" t="str">
            <v>B2111</v>
          </cell>
          <cell r="B2114" t="e">
            <v>#N/A</v>
          </cell>
          <cell r="D2114" t="e">
            <v>#N/A</v>
          </cell>
          <cell r="F2114">
            <v>0</v>
          </cell>
          <cell r="G2114">
            <v>0</v>
          </cell>
          <cell r="I2114">
            <v>0</v>
          </cell>
        </row>
        <row r="2115">
          <cell r="A2115" t="str">
            <v>B2112</v>
          </cell>
          <cell r="B2115" t="e">
            <v>#N/A</v>
          </cell>
          <cell r="D2115" t="e">
            <v>#N/A</v>
          </cell>
          <cell r="F2115">
            <v>0</v>
          </cell>
          <cell r="G2115">
            <v>0</v>
          </cell>
          <cell r="I2115">
            <v>0</v>
          </cell>
        </row>
        <row r="2116">
          <cell r="A2116" t="str">
            <v>B2113</v>
          </cell>
          <cell r="B2116" t="e">
            <v>#N/A</v>
          </cell>
          <cell r="D2116" t="e">
            <v>#N/A</v>
          </cell>
          <cell r="F2116">
            <v>0</v>
          </cell>
          <cell r="G2116">
            <v>0</v>
          </cell>
          <cell r="I2116">
            <v>0</v>
          </cell>
        </row>
        <row r="2117">
          <cell r="A2117" t="str">
            <v>B2114</v>
          </cell>
          <cell r="B2117" t="e">
            <v>#N/A</v>
          </cell>
          <cell r="D2117" t="e">
            <v>#N/A</v>
          </cell>
          <cell r="F2117">
            <v>0</v>
          </cell>
          <cell r="G2117">
            <v>0</v>
          </cell>
          <cell r="I2117">
            <v>0</v>
          </cell>
        </row>
        <row r="2118">
          <cell r="A2118" t="str">
            <v>B2115</v>
          </cell>
          <cell r="B2118" t="e">
            <v>#N/A</v>
          </cell>
          <cell r="D2118" t="e">
            <v>#N/A</v>
          </cell>
          <cell r="F2118">
            <v>0</v>
          </cell>
          <cell r="G2118">
            <v>0</v>
          </cell>
          <cell r="I2118">
            <v>0</v>
          </cell>
        </row>
        <row r="2119">
          <cell r="A2119" t="str">
            <v>B2116</v>
          </cell>
          <cell r="B2119" t="e">
            <v>#N/A</v>
          </cell>
          <cell r="D2119" t="e">
            <v>#N/A</v>
          </cell>
          <cell r="F2119">
            <v>0</v>
          </cell>
          <cell r="G2119">
            <v>0</v>
          </cell>
          <cell r="I2119">
            <v>0</v>
          </cell>
        </row>
        <row r="2120">
          <cell r="A2120" t="str">
            <v>B2117</v>
          </cell>
          <cell r="B2120" t="e">
            <v>#N/A</v>
          </cell>
          <cell r="D2120" t="e">
            <v>#N/A</v>
          </cell>
          <cell r="F2120">
            <v>0</v>
          </cell>
          <cell r="G2120">
            <v>0</v>
          </cell>
          <cell r="I2120">
            <v>0</v>
          </cell>
        </row>
        <row r="2121">
          <cell r="A2121" t="str">
            <v>B2118</v>
          </cell>
          <cell r="B2121" t="e">
            <v>#N/A</v>
          </cell>
          <cell r="D2121" t="e">
            <v>#N/A</v>
          </cell>
          <cell r="F2121">
            <v>0</v>
          </cell>
          <cell r="G2121">
            <v>0</v>
          </cell>
          <cell r="I2121">
            <v>0</v>
          </cell>
        </row>
        <row r="2122">
          <cell r="A2122" t="str">
            <v>B2119</v>
          </cell>
          <cell r="B2122" t="e">
            <v>#N/A</v>
          </cell>
          <cell r="D2122" t="e">
            <v>#N/A</v>
          </cell>
          <cell r="F2122">
            <v>0</v>
          </cell>
          <cell r="G2122">
            <v>0</v>
          </cell>
          <cell r="I2122">
            <v>0</v>
          </cell>
        </row>
        <row r="2123">
          <cell r="A2123" t="str">
            <v>B2120</v>
          </cell>
          <cell r="B2123" t="e">
            <v>#N/A</v>
          </cell>
          <cell r="D2123" t="e">
            <v>#N/A</v>
          </cell>
          <cell r="F2123">
            <v>0</v>
          </cell>
          <cell r="G2123">
            <v>0</v>
          </cell>
          <cell r="I2123">
            <v>0</v>
          </cell>
        </row>
        <row r="2124">
          <cell r="A2124" t="str">
            <v>B2121</v>
          </cell>
          <cell r="B2124" t="e">
            <v>#N/A</v>
          </cell>
          <cell r="D2124" t="e">
            <v>#N/A</v>
          </cell>
          <cell r="F2124">
            <v>0</v>
          </cell>
          <cell r="G2124">
            <v>0</v>
          </cell>
          <cell r="I2124">
            <v>0</v>
          </cell>
        </row>
        <row r="2125">
          <cell r="A2125" t="str">
            <v>B2122</v>
          </cell>
          <cell r="B2125" t="e">
            <v>#N/A</v>
          </cell>
          <cell r="D2125" t="e">
            <v>#N/A</v>
          </cell>
          <cell r="F2125">
            <v>0</v>
          </cell>
          <cell r="G2125">
            <v>0</v>
          </cell>
          <cell r="I2125">
            <v>0</v>
          </cell>
        </row>
        <row r="2126">
          <cell r="A2126" t="str">
            <v>B2123</v>
          </cell>
          <cell r="B2126" t="e">
            <v>#N/A</v>
          </cell>
          <cell r="D2126" t="e">
            <v>#N/A</v>
          </cell>
          <cell r="F2126">
            <v>0</v>
          </cell>
          <cell r="G2126">
            <v>0</v>
          </cell>
          <cell r="I2126">
            <v>0</v>
          </cell>
        </row>
        <row r="2127">
          <cell r="A2127" t="str">
            <v>B2124</v>
          </cell>
          <cell r="B2127" t="e">
            <v>#N/A</v>
          </cell>
          <cell r="D2127" t="e">
            <v>#N/A</v>
          </cell>
          <cell r="F2127">
            <v>0</v>
          </cell>
          <cell r="G2127">
            <v>0</v>
          </cell>
          <cell r="I2127">
            <v>0</v>
          </cell>
        </row>
        <row r="2128">
          <cell r="A2128" t="str">
            <v>B2125</v>
          </cell>
          <cell r="B2128" t="e">
            <v>#N/A</v>
          </cell>
          <cell r="D2128" t="e">
            <v>#N/A</v>
          </cell>
          <cell r="F2128">
            <v>0</v>
          </cell>
          <cell r="G2128">
            <v>0</v>
          </cell>
          <cell r="I2128">
            <v>0</v>
          </cell>
        </row>
        <row r="2129">
          <cell r="A2129" t="str">
            <v>B2126</v>
          </cell>
          <cell r="B2129" t="e">
            <v>#N/A</v>
          </cell>
          <cell r="D2129" t="e">
            <v>#N/A</v>
          </cell>
          <cell r="F2129">
            <v>0</v>
          </cell>
          <cell r="G2129">
            <v>0</v>
          </cell>
          <cell r="I2129">
            <v>0</v>
          </cell>
        </row>
        <row r="2130">
          <cell r="A2130" t="str">
            <v>B2127</v>
          </cell>
          <cell r="B2130" t="e">
            <v>#N/A</v>
          </cell>
          <cell r="D2130" t="e">
            <v>#N/A</v>
          </cell>
          <cell r="F2130">
            <v>0</v>
          </cell>
          <cell r="G2130">
            <v>0</v>
          </cell>
          <cell r="I2130">
            <v>0</v>
          </cell>
        </row>
        <row r="2131">
          <cell r="A2131" t="str">
            <v>B2128</v>
          </cell>
          <cell r="B2131" t="e">
            <v>#N/A</v>
          </cell>
          <cell r="D2131" t="e">
            <v>#N/A</v>
          </cell>
          <cell r="F2131">
            <v>0</v>
          </cell>
          <cell r="G2131">
            <v>0</v>
          </cell>
          <cell r="I2131">
            <v>0</v>
          </cell>
        </row>
        <row r="2132">
          <cell r="A2132" t="str">
            <v>B2129</v>
          </cell>
          <cell r="B2132" t="e">
            <v>#N/A</v>
          </cell>
          <cell r="D2132" t="e">
            <v>#N/A</v>
          </cell>
          <cell r="F2132">
            <v>0</v>
          </cell>
          <cell r="G2132">
            <v>0</v>
          </cell>
          <cell r="I2132">
            <v>0</v>
          </cell>
        </row>
        <row r="2133">
          <cell r="A2133" t="str">
            <v>B2130</v>
          </cell>
          <cell r="B2133" t="e">
            <v>#N/A</v>
          </cell>
          <cell r="D2133" t="e">
            <v>#N/A</v>
          </cell>
          <cell r="F2133">
            <v>0</v>
          </cell>
          <cell r="G2133">
            <v>0</v>
          </cell>
          <cell r="I2133">
            <v>0</v>
          </cell>
        </row>
        <row r="2134">
          <cell r="A2134" t="str">
            <v>B2131</v>
          </cell>
          <cell r="B2134" t="e">
            <v>#N/A</v>
          </cell>
          <cell r="D2134" t="e">
            <v>#N/A</v>
          </cell>
          <cell r="F2134">
            <v>0</v>
          </cell>
          <cell r="G2134">
            <v>0</v>
          </cell>
          <cell r="I2134">
            <v>0</v>
          </cell>
        </row>
        <row r="2135">
          <cell r="A2135" t="str">
            <v>B2132</v>
          </cell>
          <cell r="B2135" t="e">
            <v>#N/A</v>
          </cell>
          <cell r="D2135" t="e">
            <v>#N/A</v>
          </cell>
          <cell r="F2135">
            <v>0</v>
          </cell>
          <cell r="G2135">
            <v>0</v>
          </cell>
          <cell r="I2135">
            <v>0</v>
          </cell>
        </row>
        <row r="2136">
          <cell r="A2136" t="str">
            <v>B2133</v>
          </cell>
          <cell r="B2136" t="e">
            <v>#N/A</v>
          </cell>
          <cell r="D2136" t="e">
            <v>#N/A</v>
          </cell>
          <cell r="F2136">
            <v>0</v>
          </cell>
          <cell r="G2136">
            <v>0</v>
          </cell>
          <cell r="I2136">
            <v>0</v>
          </cell>
        </row>
        <row r="2137">
          <cell r="A2137" t="str">
            <v>B2134</v>
          </cell>
          <cell r="B2137" t="e">
            <v>#N/A</v>
          </cell>
          <cell r="D2137" t="e">
            <v>#N/A</v>
          </cell>
          <cell r="F2137">
            <v>0</v>
          </cell>
          <cell r="G2137">
            <v>0</v>
          </cell>
          <cell r="I2137">
            <v>0</v>
          </cell>
        </row>
        <row r="2138">
          <cell r="A2138" t="str">
            <v>B2135</v>
          </cell>
          <cell r="B2138" t="e">
            <v>#N/A</v>
          </cell>
          <cell r="D2138" t="e">
            <v>#N/A</v>
          </cell>
          <cell r="F2138">
            <v>0</v>
          </cell>
          <cell r="G2138">
            <v>0</v>
          </cell>
          <cell r="I2138">
            <v>0</v>
          </cell>
        </row>
        <row r="2139">
          <cell r="A2139" t="str">
            <v>B2136</v>
          </cell>
          <cell r="B2139" t="e">
            <v>#N/A</v>
          </cell>
          <cell r="D2139" t="e">
            <v>#N/A</v>
          </cell>
          <cell r="F2139">
            <v>0</v>
          </cell>
          <cell r="G2139">
            <v>0</v>
          </cell>
          <cell r="I2139">
            <v>0</v>
          </cell>
        </row>
        <row r="2140">
          <cell r="A2140" t="str">
            <v>B2137</v>
          </cell>
          <cell r="B2140" t="e">
            <v>#N/A</v>
          </cell>
          <cell r="D2140" t="e">
            <v>#N/A</v>
          </cell>
          <cell r="F2140">
            <v>0</v>
          </cell>
          <cell r="G2140">
            <v>0</v>
          </cell>
          <cell r="I2140">
            <v>0</v>
          </cell>
        </row>
        <row r="2141">
          <cell r="A2141" t="str">
            <v>B2138</v>
          </cell>
          <cell r="B2141" t="e">
            <v>#N/A</v>
          </cell>
          <cell r="D2141" t="e">
            <v>#N/A</v>
          </cell>
          <cell r="F2141">
            <v>0</v>
          </cell>
          <cell r="G2141">
            <v>0</v>
          </cell>
          <cell r="I2141">
            <v>0</v>
          </cell>
        </row>
        <row r="2142">
          <cell r="A2142" t="str">
            <v>B2139</v>
          </cell>
          <cell r="B2142" t="e">
            <v>#N/A</v>
          </cell>
          <cell r="D2142" t="e">
            <v>#N/A</v>
          </cell>
          <cell r="F2142">
            <v>0</v>
          </cell>
          <cell r="G2142">
            <v>0</v>
          </cell>
          <cell r="I2142">
            <v>0</v>
          </cell>
        </row>
        <row r="2143">
          <cell r="A2143" t="str">
            <v>B2140</v>
          </cell>
          <cell r="B2143" t="e">
            <v>#N/A</v>
          </cell>
          <cell r="D2143" t="e">
            <v>#N/A</v>
          </cell>
          <cell r="F2143">
            <v>0</v>
          </cell>
          <cell r="G2143">
            <v>0</v>
          </cell>
          <cell r="I2143">
            <v>0</v>
          </cell>
        </row>
        <row r="2144">
          <cell r="A2144" t="str">
            <v>B2141</v>
          </cell>
          <cell r="B2144" t="e">
            <v>#N/A</v>
          </cell>
          <cell r="D2144" t="e">
            <v>#N/A</v>
          </cell>
          <cell r="F2144">
            <v>0</v>
          </cell>
          <cell r="G2144">
            <v>0</v>
          </cell>
          <cell r="I2144">
            <v>0</v>
          </cell>
        </row>
        <row r="2145">
          <cell r="A2145" t="str">
            <v>B2142</v>
          </cell>
          <cell r="B2145" t="e">
            <v>#N/A</v>
          </cell>
          <cell r="D2145" t="e">
            <v>#N/A</v>
          </cell>
          <cell r="F2145">
            <v>0</v>
          </cell>
          <cell r="G2145">
            <v>0</v>
          </cell>
          <cell r="I2145">
            <v>0</v>
          </cell>
        </row>
        <row r="2146">
          <cell r="A2146" t="str">
            <v>B2143</v>
          </cell>
          <cell r="B2146" t="e">
            <v>#N/A</v>
          </cell>
          <cell r="D2146" t="e">
            <v>#N/A</v>
          </cell>
          <cell r="F2146">
            <v>0</v>
          </cell>
          <cell r="G2146">
            <v>0</v>
          </cell>
          <cell r="I2146">
            <v>0</v>
          </cell>
        </row>
        <row r="2147">
          <cell r="A2147" t="str">
            <v>B2144</v>
          </cell>
          <cell r="B2147" t="e">
            <v>#N/A</v>
          </cell>
          <cell r="D2147" t="e">
            <v>#N/A</v>
          </cell>
          <cell r="F2147">
            <v>0</v>
          </cell>
          <cell r="G2147">
            <v>0</v>
          </cell>
          <cell r="I2147">
            <v>0</v>
          </cell>
        </row>
        <row r="2148">
          <cell r="A2148" t="str">
            <v>B2145</v>
          </cell>
          <cell r="B2148" t="e">
            <v>#N/A</v>
          </cell>
          <cell r="D2148" t="e">
            <v>#N/A</v>
          </cell>
          <cell r="F2148">
            <v>0</v>
          </cell>
          <cell r="G2148">
            <v>0</v>
          </cell>
          <cell r="I2148">
            <v>0</v>
          </cell>
        </row>
        <row r="2149">
          <cell r="A2149" t="str">
            <v>B2146</v>
          </cell>
          <cell r="B2149" t="e">
            <v>#N/A</v>
          </cell>
          <cell r="D2149" t="e">
            <v>#N/A</v>
          </cell>
          <cell r="F2149">
            <v>0</v>
          </cell>
          <cell r="G2149">
            <v>0</v>
          </cell>
          <cell r="I2149">
            <v>0</v>
          </cell>
        </row>
        <row r="2150">
          <cell r="A2150" t="str">
            <v>B2147</v>
          </cell>
          <cell r="B2150" t="e">
            <v>#N/A</v>
          </cell>
          <cell r="D2150" t="e">
            <v>#N/A</v>
          </cell>
          <cell r="F2150">
            <v>0</v>
          </cell>
          <cell r="G2150">
            <v>0</v>
          </cell>
          <cell r="I2150">
            <v>0</v>
          </cell>
        </row>
        <row r="2151">
          <cell r="A2151" t="str">
            <v>B2148</v>
          </cell>
          <cell r="B2151" t="e">
            <v>#N/A</v>
          </cell>
          <cell r="D2151" t="e">
            <v>#N/A</v>
          </cell>
          <cell r="F2151">
            <v>0</v>
          </cell>
          <cell r="G2151">
            <v>0</v>
          </cell>
          <cell r="I2151">
            <v>0</v>
          </cell>
        </row>
        <row r="2152">
          <cell r="A2152" t="str">
            <v>B2149</v>
          </cell>
          <cell r="B2152" t="e">
            <v>#N/A</v>
          </cell>
          <cell r="D2152" t="e">
            <v>#N/A</v>
          </cell>
          <cell r="F2152">
            <v>0</v>
          </cell>
          <cell r="G2152">
            <v>0</v>
          </cell>
          <cell r="I2152">
            <v>0</v>
          </cell>
        </row>
        <row r="2153">
          <cell r="A2153" t="str">
            <v>B2150</v>
          </cell>
          <cell r="B2153" t="e">
            <v>#N/A</v>
          </cell>
          <cell r="D2153" t="e">
            <v>#N/A</v>
          </cell>
          <cell r="F2153">
            <v>0</v>
          </cell>
          <cell r="G2153">
            <v>0</v>
          </cell>
          <cell r="I2153">
            <v>0</v>
          </cell>
        </row>
        <row r="2154">
          <cell r="A2154" t="str">
            <v>B2151</v>
          </cell>
          <cell r="B2154" t="e">
            <v>#N/A</v>
          </cell>
          <cell r="D2154" t="e">
            <v>#N/A</v>
          </cell>
          <cell r="F2154">
            <v>0</v>
          </cell>
          <cell r="G2154">
            <v>0</v>
          </cell>
          <cell r="I2154">
            <v>0</v>
          </cell>
        </row>
        <row r="2155">
          <cell r="A2155" t="str">
            <v>B2152</v>
          </cell>
          <cell r="B2155" t="e">
            <v>#N/A</v>
          </cell>
          <cell r="D2155" t="e">
            <v>#N/A</v>
          </cell>
          <cell r="F2155">
            <v>0</v>
          </cell>
          <cell r="G2155">
            <v>0</v>
          </cell>
          <cell r="I2155">
            <v>0</v>
          </cell>
        </row>
        <row r="2156">
          <cell r="A2156" t="str">
            <v>B2153</v>
          </cell>
          <cell r="B2156" t="e">
            <v>#N/A</v>
          </cell>
          <cell r="D2156" t="e">
            <v>#N/A</v>
          </cell>
          <cell r="F2156">
            <v>0</v>
          </cell>
          <cell r="G2156">
            <v>0</v>
          </cell>
          <cell r="I2156">
            <v>0</v>
          </cell>
        </row>
        <row r="2157">
          <cell r="A2157" t="str">
            <v>B2154</v>
          </cell>
          <cell r="B2157" t="e">
            <v>#N/A</v>
          </cell>
          <cell r="D2157" t="e">
            <v>#N/A</v>
          </cell>
          <cell r="F2157">
            <v>0</v>
          </cell>
          <cell r="G2157">
            <v>0</v>
          </cell>
          <cell r="I2157">
            <v>0</v>
          </cell>
        </row>
        <row r="2158">
          <cell r="A2158" t="str">
            <v>B2155</v>
          </cell>
          <cell r="B2158" t="e">
            <v>#N/A</v>
          </cell>
          <cell r="D2158" t="e">
            <v>#N/A</v>
          </cell>
          <cell r="F2158">
            <v>0</v>
          </cell>
          <cell r="G2158">
            <v>0</v>
          </cell>
          <cell r="I2158">
            <v>0</v>
          </cell>
        </row>
        <row r="2159">
          <cell r="A2159" t="str">
            <v>B2156</v>
          </cell>
          <cell r="B2159" t="e">
            <v>#N/A</v>
          </cell>
          <cell r="D2159" t="e">
            <v>#N/A</v>
          </cell>
          <cell r="F2159">
            <v>0</v>
          </cell>
          <cell r="G2159">
            <v>0</v>
          </cell>
          <cell r="I2159">
            <v>0</v>
          </cell>
        </row>
        <row r="2160">
          <cell r="A2160" t="str">
            <v>B2157</v>
          </cell>
          <cell r="B2160" t="e">
            <v>#N/A</v>
          </cell>
          <cell r="D2160" t="e">
            <v>#N/A</v>
          </cell>
          <cell r="F2160">
            <v>0</v>
          </cell>
          <cell r="G2160">
            <v>0</v>
          </cell>
          <cell r="I2160">
            <v>0</v>
          </cell>
        </row>
        <row r="2161">
          <cell r="A2161" t="str">
            <v>B2158</v>
          </cell>
          <cell r="B2161" t="e">
            <v>#N/A</v>
          </cell>
          <cell r="D2161" t="e">
            <v>#N/A</v>
          </cell>
          <cell r="F2161">
            <v>0</v>
          </cell>
          <cell r="G2161">
            <v>0</v>
          </cell>
          <cell r="I2161">
            <v>0</v>
          </cell>
        </row>
        <row r="2162">
          <cell r="A2162" t="str">
            <v>B2159</v>
          </cell>
          <cell r="B2162" t="e">
            <v>#N/A</v>
          </cell>
          <cell r="D2162" t="e">
            <v>#N/A</v>
          </cell>
          <cell r="F2162">
            <v>0</v>
          </cell>
          <cell r="G2162">
            <v>0</v>
          </cell>
          <cell r="I2162">
            <v>0</v>
          </cell>
        </row>
        <row r="2163">
          <cell r="A2163" t="str">
            <v>B2160</v>
          </cell>
          <cell r="B2163" t="e">
            <v>#N/A</v>
          </cell>
          <cell r="D2163" t="e">
            <v>#N/A</v>
          </cell>
          <cell r="F2163">
            <v>0</v>
          </cell>
          <cell r="G2163">
            <v>0</v>
          </cell>
          <cell r="I2163">
            <v>0</v>
          </cell>
        </row>
        <row r="2164">
          <cell r="A2164" t="str">
            <v>B2161</v>
          </cell>
          <cell r="B2164" t="e">
            <v>#N/A</v>
          </cell>
          <cell r="D2164" t="e">
            <v>#N/A</v>
          </cell>
          <cell r="F2164">
            <v>0</v>
          </cell>
          <cell r="G2164">
            <v>0</v>
          </cell>
          <cell r="I2164">
            <v>0</v>
          </cell>
        </row>
        <row r="2165">
          <cell r="A2165" t="str">
            <v>B2162</v>
          </cell>
          <cell r="B2165" t="e">
            <v>#N/A</v>
          </cell>
          <cell r="D2165" t="e">
            <v>#N/A</v>
          </cell>
          <cell r="F2165">
            <v>0</v>
          </cell>
          <cell r="G2165">
            <v>0</v>
          </cell>
          <cell r="I2165">
            <v>0</v>
          </cell>
        </row>
        <row r="2166">
          <cell r="A2166" t="str">
            <v>B2163</v>
          </cell>
          <cell r="B2166" t="e">
            <v>#N/A</v>
          </cell>
          <cell r="D2166" t="e">
            <v>#N/A</v>
          </cell>
          <cell r="F2166">
            <v>0</v>
          </cell>
          <cell r="G2166">
            <v>0</v>
          </cell>
          <cell r="I2166">
            <v>0</v>
          </cell>
        </row>
        <row r="2167">
          <cell r="A2167" t="str">
            <v>B2164</v>
          </cell>
          <cell r="B2167" t="e">
            <v>#N/A</v>
          </cell>
          <cell r="D2167" t="e">
            <v>#N/A</v>
          </cell>
          <cell r="F2167">
            <v>0</v>
          </cell>
          <cell r="G2167">
            <v>0</v>
          </cell>
          <cell r="I2167">
            <v>0</v>
          </cell>
        </row>
        <row r="2168">
          <cell r="A2168" t="str">
            <v>B2165</v>
          </cell>
          <cell r="B2168" t="e">
            <v>#N/A</v>
          </cell>
          <cell r="D2168" t="e">
            <v>#N/A</v>
          </cell>
          <cell r="F2168">
            <v>0</v>
          </cell>
          <cell r="G2168">
            <v>0</v>
          </cell>
          <cell r="I2168">
            <v>0</v>
          </cell>
        </row>
        <row r="2169">
          <cell r="A2169" t="str">
            <v>B2166</v>
          </cell>
          <cell r="B2169" t="e">
            <v>#N/A</v>
          </cell>
          <cell r="D2169" t="e">
            <v>#N/A</v>
          </cell>
          <cell r="F2169">
            <v>0</v>
          </cell>
          <cell r="G2169">
            <v>0</v>
          </cell>
          <cell r="I2169">
            <v>0</v>
          </cell>
        </row>
        <row r="2170">
          <cell r="A2170" t="str">
            <v>B2167</v>
          </cell>
          <cell r="B2170" t="e">
            <v>#N/A</v>
          </cell>
          <cell r="D2170" t="e">
            <v>#N/A</v>
          </cell>
          <cell r="F2170">
            <v>0</v>
          </cell>
          <cell r="G2170">
            <v>0</v>
          </cell>
          <cell r="I2170">
            <v>0</v>
          </cell>
        </row>
        <row r="2171">
          <cell r="A2171" t="str">
            <v>B2168</v>
          </cell>
          <cell r="B2171" t="e">
            <v>#N/A</v>
          </cell>
          <cell r="D2171" t="e">
            <v>#N/A</v>
          </cell>
          <cell r="F2171">
            <v>0</v>
          </cell>
          <cell r="G2171">
            <v>0</v>
          </cell>
          <cell r="I2171">
            <v>0</v>
          </cell>
        </row>
        <row r="2172">
          <cell r="A2172" t="str">
            <v>B2169</v>
          </cell>
          <cell r="B2172" t="e">
            <v>#N/A</v>
          </cell>
          <cell r="D2172" t="e">
            <v>#N/A</v>
          </cell>
          <cell r="F2172">
            <v>0</v>
          </cell>
          <cell r="G2172">
            <v>0</v>
          </cell>
          <cell r="I2172">
            <v>0</v>
          </cell>
        </row>
        <row r="2173">
          <cell r="A2173" t="str">
            <v>B2170</v>
          </cell>
          <cell r="B2173" t="e">
            <v>#N/A</v>
          </cell>
          <cell r="D2173" t="e">
            <v>#N/A</v>
          </cell>
          <cell r="F2173">
            <v>0</v>
          </cell>
          <cell r="G2173">
            <v>0</v>
          </cell>
          <cell r="I2173">
            <v>0</v>
          </cell>
        </row>
        <row r="2174">
          <cell r="A2174" t="str">
            <v>B2171</v>
          </cell>
          <cell r="B2174" t="e">
            <v>#N/A</v>
          </cell>
          <cell r="D2174" t="e">
            <v>#N/A</v>
          </cell>
          <cell r="F2174">
            <v>0</v>
          </cell>
          <cell r="G2174">
            <v>0</v>
          </cell>
          <cell r="I2174">
            <v>0</v>
          </cell>
        </row>
        <row r="2175">
          <cell r="A2175" t="str">
            <v>B2172</v>
          </cell>
          <cell r="B2175" t="e">
            <v>#N/A</v>
          </cell>
          <cell r="D2175" t="e">
            <v>#N/A</v>
          </cell>
          <cell r="F2175">
            <v>0</v>
          </cell>
          <cell r="G2175">
            <v>0</v>
          </cell>
          <cell r="I2175">
            <v>0</v>
          </cell>
        </row>
        <row r="2176">
          <cell r="A2176" t="str">
            <v>B2173</v>
          </cell>
          <cell r="B2176" t="e">
            <v>#N/A</v>
          </cell>
          <cell r="D2176" t="e">
            <v>#N/A</v>
          </cell>
          <cell r="F2176">
            <v>0</v>
          </cell>
          <cell r="G2176">
            <v>0</v>
          </cell>
          <cell r="I2176">
            <v>0</v>
          </cell>
        </row>
        <row r="2177">
          <cell r="A2177" t="str">
            <v>B2174</v>
          </cell>
          <cell r="B2177" t="e">
            <v>#N/A</v>
          </cell>
          <cell r="D2177" t="e">
            <v>#N/A</v>
          </cell>
          <cell r="F2177">
            <v>0</v>
          </cell>
          <cell r="G2177">
            <v>0</v>
          </cell>
          <cell r="I2177">
            <v>0</v>
          </cell>
        </row>
        <row r="2178">
          <cell r="A2178" t="str">
            <v>B2175</v>
          </cell>
          <cell r="B2178" t="e">
            <v>#N/A</v>
          </cell>
          <cell r="D2178" t="e">
            <v>#N/A</v>
          </cell>
          <cell r="F2178">
            <v>0</v>
          </cell>
          <cell r="G2178">
            <v>0</v>
          </cell>
          <cell r="I2178">
            <v>0</v>
          </cell>
        </row>
        <row r="2179">
          <cell r="A2179" t="str">
            <v>B2176</v>
          </cell>
          <cell r="B2179" t="e">
            <v>#N/A</v>
          </cell>
          <cell r="D2179" t="e">
            <v>#N/A</v>
          </cell>
          <cell r="F2179">
            <v>0</v>
          </cell>
          <cell r="G2179">
            <v>0</v>
          </cell>
          <cell r="I2179">
            <v>0</v>
          </cell>
        </row>
        <row r="2180">
          <cell r="A2180" t="str">
            <v>B2177</v>
          </cell>
          <cell r="B2180" t="e">
            <v>#N/A</v>
          </cell>
          <cell r="D2180" t="e">
            <v>#N/A</v>
          </cell>
          <cell r="F2180">
            <v>0</v>
          </cell>
          <cell r="G2180">
            <v>0</v>
          </cell>
          <cell r="I2180">
            <v>0</v>
          </cell>
        </row>
        <row r="2181">
          <cell r="A2181" t="str">
            <v>B2178</v>
          </cell>
          <cell r="B2181" t="e">
            <v>#N/A</v>
          </cell>
          <cell r="D2181" t="e">
            <v>#N/A</v>
          </cell>
          <cell r="F2181">
            <v>0</v>
          </cell>
          <cell r="G2181">
            <v>0</v>
          </cell>
          <cell r="I2181">
            <v>0</v>
          </cell>
        </row>
        <row r="2182">
          <cell r="A2182" t="str">
            <v>B2179</v>
          </cell>
          <cell r="B2182" t="e">
            <v>#N/A</v>
          </cell>
          <cell r="D2182" t="e">
            <v>#N/A</v>
          </cell>
          <cell r="F2182">
            <v>0</v>
          </cell>
          <cell r="G2182">
            <v>0</v>
          </cell>
          <cell r="I2182">
            <v>0</v>
          </cell>
        </row>
        <row r="2183">
          <cell r="A2183" t="str">
            <v>B2180</v>
          </cell>
          <cell r="B2183" t="e">
            <v>#N/A</v>
          </cell>
          <cell r="D2183" t="e">
            <v>#N/A</v>
          </cell>
          <cell r="F2183">
            <v>0</v>
          </cell>
          <cell r="G2183">
            <v>0</v>
          </cell>
          <cell r="I2183">
            <v>0</v>
          </cell>
        </row>
        <row r="2184">
          <cell r="A2184" t="str">
            <v>B2181</v>
          </cell>
          <cell r="B2184" t="e">
            <v>#N/A</v>
          </cell>
          <cell r="D2184" t="e">
            <v>#N/A</v>
          </cell>
          <cell r="F2184">
            <v>0</v>
          </cell>
          <cell r="G2184">
            <v>0</v>
          </cell>
          <cell r="I2184">
            <v>0</v>
          </cell>
        </row>
        <row r="2185">
          <cell r="A2185" t="str">
            <v>B2182</v>
          </cell>
          <cell r="B2185" t="e">
            <v>#N/A</v>
          </cell>
          <cell r="D2185" t="e">
            <v>#N/A</v>
          </cell>
          <cell r="F2185">
            <v>0</v>
          </cell>
          <cell r="G2185">
            <v>0</v>
          </cell>
          <cell r="I2185">
            <v>0</v>
          </cell>
        </row>
        <row r="2186">
          <cell r="A2186" t="str">
            <v>B2183</v>
          </cell>
          <cell r="B2186" t="e">
            <v>#N/A</v>
          </cell>
          <cell r="D2186" t="e">
            <v>#N/A</v>
          </cell>
          <cell r="F2186">
            <v>0</v>
          </cell>
          <cell r="G2186">
            <v>0</v>
          </cell>
          <cell r="I2186">
            <v>0</v>
          </cell>
        </row>
        <row r="2187">
          <cell r="A2187" t="str">
            <v>B2184</v>
          </cell>
          <cell r="B2187" t="e">
            <v>#N/A</v>
          </cell>
          <cell r="D2187" t="e">
            <v>#N/A</v>
          </cell>
          <cell r="F2187">
            <v>0</v>
          </cell>
          <cell r="G2187">
            <v>0</v>
          </cell>
          <cell r="I2187">
            <v>0</v>
          </cell>
        </row>
        <row r="2188">
          <cell r="A2188" t="str">
            <v>B2185</v>
          </cell>
          <cell r="B2188" t="e">
            <v>#N/A</v>
          </cell>
          <cell r="D2188" t="e">
            <v>#N/A</v>
          </cell>
          <cell r="F2188">
            <v>0</v>
          </cell>
          <cell r="G2188">
            <v>0</v>
          </cell>
          <cell r="I2188">
            <v>0</v>
          </cell>
        </row>
        <row r="2189">
          <cell r="A2189" t="str">
            <v>B2186</v>
          </cell>
          <cell r="B2189" t="e">
            <v>#N/A</v>
          </cell>
          <cell r="D2189" t="e">
            <v>#N/A</v>
          </cell>
          <cell r="F2189">
            <v>0</v>
          </cell>
          <cell r="G2189">
            <v>0</v>
          </cell>
          <cell r="I2189">
            <v>0</v>
          </cell>
        </row>
        <row r="2190">
          <cell r="A2190" t="str">
            <v>B2187</v>
          </cell>
          <cell r="B2190" t="e">
            <v>#N/A</v>
          </cell>
          <cell r="D2190" t="e">
            <v>#N/A</v>
          </cell>
          <cell r="F2190">
            <v>0</v>
          </cell>
          <cell r="G2190">
            <v>0</v>
          </cell>
          <cell r="I2190">
            <v>0</v>
          </cell>
        </row>
        <row r="2191">
          <cell r="A2191" t="str">
            <v>B2188</v>
          </cell>
          <cell r="B2191" t="e">
            <v>#N/A</v>
          </cell>
          <cell r="D2191" t="e">
            <v>#N/A</v>
          </cell>
          <cell r="F2191">
            <v>0</v>
          </cell>
          <cell r="G2191">
            <v>0</v>
          </cell>
          <cell r="I2191">
            <v>0</v>
          </cell>
        </row>
        <row r="2192">
          <cell r="A2192" t="str">
            <v>B2189</v>
          </cell>
          <cell r="B2192" t="e">
            <v>#N/A</v>
          </cell>
          <cell r="D2192" t="e">
            <v>#N/A</v>
          </cell>
          <cell r="F2192">
            <v>0</v>
          </cell>
          <cell r="G2192">
            <v>0</v>
          </cell>
          <cell r="I2192">
            <v>0</v>
          </cell>
        </row>
        <row r="2193">
          <cell r="A2193" t="str">
            <v>B2190</v>
          </cell>
          <cell r="B2193" t="e">
            <v>#N/A</v>
          </cell>
          <cell r="D2193" t="e">
            <v>#N/A</v>
          </cell>
          <cell r="F2193">
            <v>0</v>
          </cell>
          <cell r="G2193">
            <v>0</v>
          </cell>
          <cell r="I2193">
            <v>0</v>
          </cell>
        </row>
        <row r="2194">
          <cell r="A2194" t="str">
            <v>B2191</v>
          </cell>
          <cell r="B2194" t="e">
            <v>#N/A</v>
          </cell>
          <cell r="D2194" t="e">
            <v>#N/A</v>
          </cell>
          <cell r="F2194">
            <v>0</v>
          </cell>
          <cell r="G2194">
            <v>0</v>
          </cell>
          <cell r="I2194">
            <v>0</v>
          </cell>
        </row>
        <row r="2195">
          <cell r="A2195" t="str">
            <v>B2192</v>
          </cell>
          <cell r="B2195" t="e">
            <v>#N/A</v>
          </cell>
          <cell r="D2195" t="e">
            <v>#N/A</v>
          </cell>
          <cell r="F2195">
            <v>0</v>
          </cell>
          <cell r="G2195">
            <v>0</v>
          </cell>
          <cell r="I2195">
            <v>0</v>
          </cell>
        </row>
        <row r="2196">
          <cell r="A2196" t="str">
            <v>B2193</v>
          </cell>
          <cell r="B2196" t="e">
            <v>#N/A</v>
          </cell>
          <cell r="D2196" t="e">
            <v>#N/A</v>
          </cell>
          <cell r="F2196">
            <v>0</v>
          </cell>
          <cell r="G2196">
            <v>0</v>
          </cell>
          <cell r="I2196">
            <v>0</v>
          </cell>
        </row>
        <row r="2197">
          <cell r="A2197" t="str">
            <v>B2194</v>
          </cell>
          <cell r="B2197" t="e">
            <v>#N/A</v>
          </cell>
          <cell r="D2197" t="e">
            <v>#N/A</v>
          </cell>
          <cell r="F2197">
            <v>0</v>
          </cell>
          <cell r="G2197">
            <v>0</v>
          </cell>
          <cell r="I2197">
            <v>0</v>
          </cell>
        </row>
        <row r="2198">
          <cell r="A2198" t="str">
            <v>B2195</v>
          </cell>
          <cell r="B2198" t="e">
            <v>#N/A</v>
          </cell>
          <cell r="D2198" t="e">
            <v>#N/A</v>
          </cell>
          <cell r="F2198">
            <v>0</v>
          </cell>
          <cell r="G2198">
            <v>0</v>
          </cell>
          <cell r="I2198">
            <v>0</v>
          </cell>
        </row>
        <row r="2199">
          <cell r="A2199" t="str">
            <v>B2196</v>
          </cell>
          <cell r="B2199" t="e">
            <v>#N/A</v>
          </cell>
          <cell r="D2199" t="e">
            <v>#N/A</v>
          </cell>
          <cell r="F2199">
            <v>0</v>
          </cell>
          <cell r="G2199">
            <v>0</v>
          </cell>
          <cell r="I2199">
            <v>0</v>
          </cell>
        </row>
        <row r="2200">
          <cell r="A2200" t="str">
            <v>B2197</v>
          </cell>
          <cell r="B2200" t="e">
            <v>#N/A</v>
          </cell>
          <cell r="D2200" t="e">
            <v>#N/A</v>
          </cell>
          <cell r="F2200">
            <v>0</v>
          </cell>
          <cell r="G2200">
            <v>0</v>
          </cell>
          <cell r="I2200">
            <v>0</v>
          </cell>
        </row>
        <row r="2201">
          <cell r="A2201" t="str">
            <v>B2198</v>
          </cell>
          <cell r="B2201" t="e">
            <v>#N/A</v>
          </cell>
          <cell r="D2201" t="e">
            <v>#N/A</v>
          </cell>
          <cell r="F2201">
            <v>0</v>
          </cell>
          <cell r="G2201">
            <v>0</v>
          </cell>
          <cell r="I2201">
            <v>0</v>
          </cell>
        </row>
        <row r="2202">
          <cell r="A2202" t="str">
            <v>B2199</v>
          </cell>
          <cell r="B2202" t="e">
            <v>#N/A</v>
          </cell>
          <cell r="D2202" t="e">
            <v>#N/A</v>
          </cell>
          <cell r="F2202">
            <v>0</v>
          </cell>
          <cell r="G2202">
            <v>0</v>
          </cell>
          <cell r="I2202">
            <v>0</v>
          </cell>
        </row>
        <row r="2203">
          <cell r="A2203" t="str">
            <v>B2200</v>
          </cell>
          <cell r="B2203" t="e">
            <v>#N/A</v>
          </cell>
          <cell r="D2203" t="e">
            <v>#N/A</v>
          </cell>
          <cell r="F2203">
            <v>0</v>
          </cell>
          <cell r="G2203">
            <v>0</v>
          </cell>
          <cell r="I2203">
            <v>0</v>
          </cell>
        </row>
        <row r="2204">
          <cell r="A2204" t="str">
            <v>B2201</v>
          </cell>
          <cell r="B2204" t="e">
            <v>#N/A</v>
          </cell>
          <cell r="D2204" t="e">
            <v>#N/A</v>
          </cell>
          <cell r="F2204">
            <v>0</v>
          </cell>
          <cell r="G2204">
            <v>0</v>
          </cell>
          <cell r="I2204">
            <v>0</v>
          </cell>
        </row>
        <row r="2205">
          <cell r="A2205" t="str">
            <v>B2202</v>
          </cell>
          <cell r="B2205" t="e">
            <v>#N/A</v>
          </cell>
          <cell r="D2205" t="e">
            <v>#N/A</v>
          </cell>
          <cell r="F2205">
            <v>0</v>
          </cell>
          <cell r="G2205">
            <v>0</v>
          </cell>
          <cell r="I2205">
            <v>0</v>
          </cell>
        </row>
        <row r="2206">
          <cell r="A2206" t="str">
            <v>B2203</v>
          </cell>
          <cell r="B2206" t="e">
            <v>#N/A</v>
          </cell>
          <cell r="D2206" t="e">
            <v>#N/A</v>
          </cell>
          <cell r="F2206">
            <v>0</v>
          </cell>
          <cell r="G2206">
            <v>0</v>
          </cell>
          <cell r="I2206">
            <v>0</v>
          </cell>
        </row>
        <row r="2207">
          <cell r="A2207" t="str">
            <v>B2204</v>
          </cell>
          <cell r="B2207" t="e">
            <v>#N/A</v>
          </cell>
          <cell r="D2207" t="e">
            <v>#N/A</v>
          </cell>
          <cell r="F2207">
            <v>0</v>
          </cell>
          <cell r="G2207">
            <v>0</v>
          </cell>
          <cell r="I2207">
            <v>0</v>
          </cell>
        </row>
        <row r="2208">
          <cell r="A2208" t="str">
            <v>B2205</v>
          </cell>
          <cell r="B2208" t="e">
            <v>#N/A</v>
          </cell>
          <cell r="D2208" t="e">
            <v>#N/A</v>
          </cell>
          <cell r="F2208">
            <v>0</v>
          </cell>
          <cell r="G2208">
            <v>0</v>
          </cell>
          <cell r="I2208">
            <v>0</v>
          </cell>
        </row>
        <row r="2209">
          <cell r="A2209" t="str">
            <v>B2206</v>
          </cell>
          <cell r="B2209" t="e">
            <v>#N/A</v>
          </cell>
          <cell r="D2209" t="e">
            <v>#N/A</v>
          </cell>
          <cell r="F2209">
            <v>0</v>
          </cell>
          <cell r="G2209">
            <v>0</v>
          </cell>
          <cell r="I2209">
            <v>0</v>
          </cell>
        </row>
        <row r="2210">
          <cell r="A2210" t="str">
            <v>B2207</v>
          </cell>
          <cell r="B2210" t="e">
            <v>#N/A</v>
          </cell>
          <cell r="D2210" t="e">
            <v>#N/A</v>
          </cell>
          <cell r="F2210">
            <v>0</v>
          </cell>
          <cell r="G2210">
            <v>0</v>
          </cell>
          <cell r="I2210">
            <v>0</v>
          </cell>
        </row>
        <row r="2211">
          <cell r="A2211" t="str">
            <v>B2208</v>
          </cell>
          <cell r="B2211" t="e">
            <v>#N/A</v>
          </cell>
          <cell r="D2211" t="e">
            <v>#N/A</v>
          </cell>
          <cell r="F2211">
            <v>0</v>
          </cell>
          <cell r="G2211">
            <v>0</v>
          </cell>
          <cell r="I2211">
            <v>0</v>
          </cell>
        </row>
        <row r="2212">
          <cell r="A2212" t="str">
            <v>B2209</v>
          </cell>
          <cell r="B2212" t="e">
            <v>#N/A</v>
          </cell>
          <cell r="D2212" t="e">
            <v>#N/A</v>
          </cell>
          <cell r="F2212">
            <v>0</v>
          </cell>
          <cell r="G2212">
            <v>0</v>
          </cell>
          <cell r="I2212">
            <v>0</v>
          </cell>
        </row>
        <row r="2213">
          <cell r="A2213" t="str">
            <v>B2210</v>
          </cell>
          <cell r="B2213" t="e">
            <v>#N/A</v>
          </cell>
          <cell r="D2213" t="e">
            <v>#N/A</v>
          </cell>
          <cell r="F2213">
            <v>0</v>
          </cell>
          <cell r="G2213">
            <v>0</v>
          </cell>
          <cell r="I2213">
            <v>0</v>
          </cell>
        </row>
        <row r="2214">
          <cell r="A2214" t="str">
            <v>B2211</v>
          </cell>
          <cell r="B2214" t="e">
            <v>#N/A</v>
          </cell>
          <cell r="D2214" t="e">
            <v>#N/A</v>
          </cell>
          <cell r="F2214">
            <v>0</v>
          </cell>
          <cell r="G2214">
            <v>0</v>
          </cell>
          <cell r="I2214">
            <v>0</v>
          </cell>
        </row>
        <row r="2215">
          <cell r="A2215" t="str">
            <v>B2212</v>
          </cell>
          <cell r="B2215" t="e">
            <v>#N/A</v>
          </cell>
          <cell r="D2215" t="e">
            <v>#N/A</v>
          </cell>
          <cell r="F2215">
            <v>0</v>
          </cell>
          <cell r="G2215">
            <v>0</v>
          </cell>
          <cell r="I2215">
            <v>0</v>
          </cell>
        </row>
        <row r="2216">
          <cell r="A2216" t="str">
            <v>B2213</v>
          </cell>
          <cell r="B2216" t="e">
            <v>#N/A</v>
          </cell>
          <cell r="D2216" t="e">
            <v>#N/A</v>
          </cell>
          <cell r="F2216">
            <v>0</v>
          </cell>
          <cell r="G2216">
            <v>0</v>
          </cell>
          <cell r="I2216">
            <v>0</v>
          </cell>
        </row>
        <row r="2217">
          <cell r="A2217" t="str">
            <v>B2214</v>
          </cell>
          <cell r="B2217" t="e">
            <v>#N/A</v>
          </cell>
          <cell r="D2217" t="e">
            <v>#N/A</v>
          </cell>
          <cell r="F2217">
            <v>0</v>
          </cell>
          <cell r="G2217">
            <v>0</v>
          </cell>
          <cell r="I2217">
            <v>0</v>
          </cell>
        </row>
        <row r="2218">
          <cell r="A2218" t="str">
            <v>B2215</v>
          </cell>
          <cell r="B2218" t="e">
            <v>#N/A</v>
          </cell>
          <cell r="D2218" t="e">
            <v>#N/A</v>
          </cell>
          <cell r="F2218">
            <v>0</v>
          </cell>
          <cell r="G2218">
            <v>0</v>
          </cell>
          <cell r="I2218">
            <v>0</v>
          </cell>
        </row>
        <row r="2219">
          <cell r="A2219" t="str">
            <v>B2216</v>
          </cell>
          <cell r="B2219" t="e">
            <v>#N/A</v>
          </cell>
          <cell r="D2219" t="e">
            <v>#N/A</v>
          </cell>
          <cell r="F2219">
            <v>0</v>
          </cell>
          <cell r="G2219">
            <v>0</v>
          </cell>
          <cell r="I2219">
            <v>0</v>
          </cell>
        </row>
        <row r="2220">
          <cell r="A2220" t="str">
            <v>B2217</v>
          </cell>
          <cell r="B2220" t="e">
            <v>#N/A</v>
          </cell>
          <cell r="D2220" t="e">
            <v>#N/A</v>
          </cell>
          <cell r="F2220">
            <v>0</v>
          </cell>
          <cell r="G2220">
            <v>0</v>
          </cell>
          <cell r="I2220">
            <v>0</v>
          </cell>
        </row>
        <row r="2221">
          <cell r="A2221" t="str">
            <v>B2218</v>
          </cell>
          <cell r="B2221" t="e">
            <v>#N/A</v>
          </cell>
          <cell r="D2221" t="e">
            <v>#N/A</v>
          </cell>
          <cell r="F2221">
            <v>0</v>
          </cell>
          <cell r="G2221">
            <v>0</v>
          </cell>
          <cell r="I2221">
            <v>0</v>
          </cell>
        </row>
        <row r="2222">
          <cell r="A2222" t="str">
            <v>B2219</v>
          </cell>
          <cell r="B2222" t="e">
            <v>#N/A</v>
          </cell>
          <cell r="D2222" t="e">
            <v>#N/A</v>
          </cell>
          <cell r="F2222">
            <v>0</v>
          </cell>
          <cell r="G2222">
            <v>0</v>
          </cell>
          <cell r="I2222">
            <v>0</v>
          </cell>
        </row>
        <row r="2223">
          <cell r="A2223" t="str">
            <v>B2220</v>
          </cell>
          <cell r="B2223" t="e">
            <v>#N/A</v>
          </cell>
          <cell r="D2223" t="e">
            <v>#N/A</v>
          </cell>
          <cell r="F2223">
            <v>0</v>
          </cell>
          <cell r="G2223">
            <v>0</v>
          </cell>
          <cell r="I2223">
            <v>0</v>
          </cell>
        </row>
        <row r="2224">
          <cell r="A2224" t="str">
            <v>B2221</v>
          </cell>
          <cell r="B2224" t="e">
            <v>#N/A</v>
          </cell>
          <cell r="D2224" t="e">
            <v>#N/A</v>
          </cell>
          <cell r="F2224">
            <v>0</v>
          </cell>
          <cell r="G2224">
            <v>0</v>
          </cell>
          <cell r="I2224">
            <v>0</v>
          </cell>
        </row>
        <row r="2225">
          <cell r="A2225" t="str">
            <v>B2222</v>
          </cell>
          <cell r="B2225" t="e">
            <v>#N/A</v>
          </cell>
          <cell r="D2225" t="e">
            <v>#N/A</v>
          </cell>
          <cell r="F2225">
            <v>0</v>
          </cell>
          <cell r="G2225">
            <v>0</v>
          </cell>
          <cell r="I2225">
            <v>0</v>
          </cell>
        </row>
        <row r="2226">
          <cell r="A2226" t="str">
            <v>B2223</v>
          </cell>
          <cell r="B2226" t="e">
            <v>#N/A</v>
          </cell>
          <cell r="D2226" t="e">
            <v>#N/A</v>
          </cell>
          <cell r="F2226">
            <v>0</v>
          </cell>
          <cell r="G2226">
            <v>0</v>
          </cell>
          <cell r="I2226">
            <v>0</v>
          </cell>
        </row>
        <row r="2227">
          <cell r="A2227" t="str">
            <v>B2224</v>
          </cell>
          <cell r="B2227" t="e">
            <v>#N/A</v>
          </cell>
          <cell r="D2227" t="e">
            <v>#N/A</v>
          </cell>
          <cell r="F2227">
            <v>0</v>
          </cell>
          <cell r="G2227">
            <v>0</v>
          </cell>
          <cell r="I2227">
            <v>0</v>
          </cell>
        </row>
        <row r="2228">
          <cell r="A2228" t="str">
            <v>B2225</v>
          </cell>
          <cell r="B2228" t="e">
            <v>#N/A</v>
          </cell>
          <cell r="D2228" t="e">
            <v>#N/A</v>
          </cell>
          <cell r="F2228">
            <v>0</v>
          </cell>
          <cell r="G2228">
            <v>0</v>
          </cell>
          <cell r="I2228">
            <v>0</v>
          </cell>
        </row>
        <row r="2229">
          <cell r="A2229" t="str">
            <v>B2226</v>
          </cell>
          <cell r="B2229" t="e">
            <v>#N/A</v>
          </cell>
          <cell r="D2229" t="e">
            <v>#N/A</v>
          </cell>
          <cell r="F2229">
            <v>0</v>
          </cell>
          <cell r="G2229">
            <v>0</v>
          </cell>
          <cell r="I2229">
            <v>0</v>
          </cell>
        </row>
        <row r="2230">
          <cell r="A2230" t="str">
            <v>B2227</v>
          </cell>
          <cell r="B2230" t="e">
            <v>#N/A</v>
          </cell>
          <cell r="D2230" t="e">
            <v>#N/A</v>
          </cell>
          <cell r="F2230">
            <v>0</v>
          </cell>
          <cell r="G2230">
            <v>0</v>
          </cell>
          <cell r="I2230">
            <v>0</v>
          </cell>
        </row>
        <row r="2231">
          <cell r="A2231" t="str">
            <v>B2228</v>
          </cell>
          <cell r="B2231" t="e">
            <v>#N/A</v>
          </cell>
          <cell r="D2231" t="e">
            <v>#N/A</v>
          </cell>
          <cell r="F2231">
            <v>0</v>
          </cell>
          <cell r="G2231">
            <v>0</v>
          </cell>
          <cell r="I2231">
            <v>0</v>
          </cell>
        </row>
        <row r="2232">
          <cell r="A2232" t="str">
            <v>B2229</v>
          </cell>
          <cell r="B2232" t="e">
            <v>#N/A</v>
          </cell>
          <cell r="D2232" t="e">
            <v>#N/A</v>
          </cell>
          <cell r="F2232">
            <v>0</v>
          </cell>
          <cell r="G2232">
            <v>0</v>
          </cell>
          <cell r="I2232">
            <v>0</v>
          </cell>
        </row>
        <row r="2233">
          <cell r="A2233" t="str">
            <v>B2230</v>
          </cell>
          <cell r="B2233" t="e">
            <v>#N/A</v>
          </cell>
          <cell r="D2233" t="e">
            <v>#N/A</v>
          </cell>
          <cell r="F2233">
            <v>0</v>
          </cell>
          <cell r="G2233">
            <v>0</v>
          </cell>
          <cell r="I2233">
            <v>0</v>
          </cell>
        </row>
        <row r="2234">
          <cell r="A2234" t="str">
            <v>B2231</v>
          </cell>
          <cell r="B2234" t="e">
            <v>#N/A</v>
          </cell>
          <cell r="D2234" t="e">
            <v>#N/A</v>
          </cell>
          <cell r="F2234">
            <v>0</v>
          </cell>
          <cell r="G2234">
            <v>0</v>
          </cell>
          <cell r="I2234">
            <v>0</v>
          </cell>
        </row>
        <row r="2235">
          <cell r="A2235" t="str">
            <v>B2232</v>
          </cell>
          <cell r="B2235" t="e">
            <v>#N/A</v>
          </cell>
          <cell r="D2235" t="e">
            <v>#N/A</v>
          </cell>
          <cell r="F2235">
            <v>0</v>
          </cell>
          <cell r="G2235">
            <v>0</v>
          </cell>
          <cell r="I2235">
            <v>0</v>
          </cell>
        </row>
        <row r="2236">
          <cell r="A2236" t="str">
            <v>B2233</v>
          </cell>
          <cell r="B2236" t="e">
            <v>#N/A</v>
          </cell>
          <cell r="D2236" t="e">
            <v>#N/A</v>
          </cell>
          <cell r="F2236">
            <v>0</v>
          </cell>
          <cell r="G2236">
            <v>0</v>
          </cell>
          <cell r="I2236">
            <v>0</v>
          </cell>
        </row>
        <row r="2237">
          <cell r="A2237" t="str">
            <v>B2234</v>
          </cell>
          <cell r="B2237" t="e">
            <v>#N/A</v>
          </cell>
          <cell r="D2237" t="e">
            <v>#N/A</v>
          </cell>
          <cell r="F2237">
            <v>0</v>
          </cell>
          <cell r="G2237">
            <v>0</v>
          </cell>
          <cell r="I2237">
            <v>0</v>
          </cell>
        </row>
        <row r="2238">
          <cell r="A2238" t="str">
            <v>B2235</v>
          </cell>
          <cell r="B2238" t="e">
            <v>#N/A</v>
          </cell>
          <cell r="D2238" t="e">
            <v>#N/A</v>
          </cell>
          <cell r="F2238">
            <v>0</v>
          </cell>
          <cell r="G2238">
            <v>0</v>
          </cell>
          <cell r="I2238">
            <v>0</v>
          </cell>
        </row>
        <row r="2239">
          <cell r="A2239" t="str">
            <v>B2236</v>
          </cell>
          <cell r="B2239" t="e">
            <v>#N/A</v>
          </cell>
          <cell r="D2239" t="e">
            <v>#N/A</v>
          </cell>
          <cell r="F2239">
            <v>0</v>
          </cell>
          <cell r="G2239">
            <v>0</v>
          </cell>
          <cell r="I2239">
            <v>0</v>
          </cell>
        </row>
        <row r="2240">
          <cell r="A2240" t="str">
            <v>B2237</v>
          </cell>
          <cell r="B2240" t="e">
            <v>#N/A</v>
          </cell>
          <cell r="D2240" t="e">
            <v>#N/A</v>
          </cell>
          <cell r="F2240">
            <v>0</v>
          </cell>
          <cell r="G2240">
            <v>0</v>
          </cell>
          <cell r="I2240">
            <v>0</v>
          </cell>
        </row>
        <row r="2241">
          <cell r="A2241" t="str">
            <v>B2238</v>
          </cell>
          <cell r="B2241" t="e">
            <v>#N/A</v>
          </cell>
          <cell r="D2241" t="e">
            <v>#N/A</v>
          </cell>
          <cell r="F2241">
            <v>0</v>
          </cell>
          <cell r="G2241">
            <v>0</v>
          </cell>
          <cell r="I2241">
            <v>0</v>
          </cell>
        </row>
        <row r="2242">
          <cell r="A2242" t="str">
            <v>B2239</v>
          </cell>
          <cell r="B2242" t="e">
            <v>#N/A</v>
          </cell>
          <cell r="D2242" t="e">
            <v>#N/A</v>
          </cell>
          <cell r="F2242">
            <v>0</v>
          </cell>
          <cell r="G2242">
            <v>0</v>
          </cell>
          <cell r="I2242">
            <v>0</v>
          </cell>
        </row>
        <row r="2243">
          <cell r="A2243" t="str">
            <v>B2240</v>
          </cell>
          <cell r="B2243" t="e">
            <v>#N/A</v>
          </cell>
          <cell r="D2243" t="e">
            <v>#N/A</v>
          </cell>
          <cell r="F2243">
            <v>0</v>
          </cell>
          <cell r="G2243">
            <v>0</v>
          </cell>
          <cell r="I2243">
            <v>0</v>
          </cell>
        </row>
        <row r="2244">
          <cell r="A2244" t="str">
            <v>B2241</v>
          </cell>
          <cell r="B2244" t="e">
            <v>#N/A</v>
          </cell>
          <cell r="D2244" t="e">
            <v>#N/A</v>
          </cell>
          <cell r="F2244">
            <v>0</v>
          </cell>
          <cell r="G2244">
            <v>0</v>
          </cell>
          <cell r="I2244">
            <v>0</v>
          </cell>
        </row>
        <row r="2245">
          <cell r="A2245" t="str">
            <v>B2242</v>
          </cell>
          <cell r="B2245" t="e">
            <v>#N/A</v>
          </cell>
          <cell r="D2245" t="e">
            <v>#N/A</v>
          </cell>
          <cell r="F2245">
            <v>0</v>
          </cell>
          <cell r="G2245">
            <v>0</v>
          </cell>
          <cell r="I2245">
            <v>0</v>
          </cell>
        </row>
        <row r="2246">
          <cell r="A2246" t="str">
            <v>B2243</v>
          </cell>
          <cell r="B2246" t="e">
            <v>#N/A</v>
          </cell>
          <cell r="D2246" t="e">
            <v>#N/A</v>
          </cell>
          <cell r="F2246">
            <v>0</v>
          </cell>
          <cell r="G2246">
            <v>0</v>
          </cell>
          <cell r="I2246">
            <v>0</v>
          </cell>
        </row>
        <row r="2247">
          <cell r="A2247" t="str">
            <v>B2244</v>
          </cell>
          <cell r="B2247" t="e">
            <v>#N/A</v>
          </cell>
          <cell r="D2247" t="e">
            <v>#N/A</v>
          </cell>
          <cell r="F2247">
            <v>0</v>
          </cell>
          <cell r="G2247">
            <v>0</v>
          </cell>
          <cell r="I2247">
            <v>0</v>
          </cell>
        </row>
        <row r="2248">
          <cell r="A2248" t="str">
            <v>B2245</v>
          </cell>
          <cell r="B2248" t="e">
            <v>#N/A</v>
          </cell>
          <cell r="D2248" t="e">
            <v>#N/A</v>
          </cell>
          <cell r="F2248">
            <v>0</v>
          </cell>
          <cell r="G2248">
            <v>0</v>
          </cell>
          <cell r="I2248">
            <v>0</v>
          </cell>
        </row>
        <row r="2249">
          <cell r="A2249" t="str">
            <v>B2246</v>
          </cell>
          <cell r="B2249" t="e">
            <v>#N/A</v>
          </cell>
          <cell r="D2249" t="e">
            <v>#N/A</v>
          </cell>
          <cell r="F2249">
            <v>0</v>
          </cell>
          <cell r="G2249">
            <v>0</v>
          </cell>
          <cell r="I2249">
            <v>0</v>
          </cell>
        </row>
        <row r="2250">
          <cell r="A2250" t="str">
            <v>B2247</v>
          </cell>
          <cell r="B2250" t="e">
            <v>#N/A</v>
          </cell>
          <cell r="D2250" t="e">
            <v>#N/A</v>
          </cell>
          <cell r="F2250">
            <v>0</v>
          </cell>
          <cell r="G2250">
            <v>0</v>
          </cell>
          <cell r="I2250">
            <v>0</v>
          </cell>
        </row>
        <row r="2251">
          <cell r="A2251" t="str">
            <v>B2248</v>
          </cell>
          <cell r="B2251" t="e">
            <v>#N/A</v>
          </cell>
          <cell r="D2251" t="e">
            <v>#N/A</v>
          </cell>
          <cell r="F2251">
            <v>0</v>
          </cell>
          <cell r="G2251">
            <v>0</v>
          </cell>
          <cell r="I2251">
            <v>0</v>
          </cell>
        </row>
        <row r="2252">
          <cell r="A2252" t="str">
            <v>B2249</v>
          </cell>
          <cell r="B2252" t="e">
            <v>#N/A</v>
          </cell>
          <cell r="D2252" t="e">
            <v>#N/A</v>
          </cell>
          <cell r="F2252">
            <v>0</v>
          </cell>
          <cell r="G2252">
            <v>0</v>
          </cell>
          <cell r="I2252">
            <v>0</v>
          </cell>
        </row>
        <row r="2253">
          <cell r="A2253" t="str">
            <v>B2250</v>
          </cell>
          <cell r="B2253" t="e">
            <v>#N/A</v>
          </cell>
          <cell r="D2253" t="e">
            <v>#N/A</v>
          </cell>
          <cell r="F2253">
            <v>0</v>
          </cell>
          <cell r="G2253">
            <v>0</v>
          </cell>
          <cell r="I2253">
            <v>0</v>
          </cell>
        </row>
        <row r="2254">
          <cell r="A2254" t="str">
            <v>B2251</v>
          </cell>
          <cell r="B2254" t="e">
            <v>#N/A</v>
          </cell>
          <cell r="D2254" t="e">
            <v>#N/A</v>
          </cell>
          <cell r="F2254">
            <v>0</v>
          </cell>
          <cell r="G2254">
            <v>0</v>
          </cell>
          <cell r="I2254">
            <v>0</v>
          </cell>
        </row>
        <row r="2255">
          <cell r="A2255" t="str">
            <v>B2252</v>
          </cell>
          <cell r="B2255" t="e">
            <v>#N/A</v>
          </cell>
          <cell r="D2255" t="e">
            <v>#N/A</v>
          </cell>
          <cell r="F2255">
            <v>0</v>
          </cell>
          <cell r="G2255">
            <v>0</v>
          </cell>
          <cell r="I2255">
            <v>0</v>
          </cell>
        </row>
        <row r="2256">
          <cell r="A2256" t="str">
            <v>B2253</v>
          </cell>
          <cell r="B2256" t="e">
            <v>#N/A</v>
          </cell>
          <cell r="D2256" t="e">
            <v>#N/A</v>
          </cell>
          <cell r="F2256">
            <v>0</v>
          </cell>
          <cell r="G2256">
            <v>0</v>
          </cell>
          <cell r="I2256">
            <v>0</v>
          </cell>
        </row>
        <row r="2257">
          <cell r="A2257" t="str">
            <v>B2254</v>
          </cell>
          <cell r="B2257" t="e">
            <v>#N/A</v>
          </cell>
          <cell r="D2257" t="e">
            <v>#N/A</v>
          </cell>
          <cell r="F2257">
            <v>0</v>
          </cell>
          <cell r="G2257">
            <v>0</v>
          </cell>
          <cell r="I2257">
            <v>0</v>
          </cell>
        </row>
        <row r="2258">
          <cell r="A2258" t="str">
            <v>B2255</v>
          </cell>
          <cell r="B2258" t="e">
            <v>#N/A</v>
          </cell>
          <cell r="D2258" t="e">
            <v>#N/A</v>
          </cell>
          <cell r="F2258">
            <v>0</v>
          </cell>
          <cell r="G2258">
            <v>0</v>
          </cell>
          <cell r="I2258">
            <v>0</v>
          </cell>
        </row>
        <row r="2259">
          <cell r="A2259" t="str">
            <v>B2256</v>
          </cell>
          <cell r="B2259" t="e">
            <v>#N/A</v>
          </cell>
          <cell r="D2259" t="e">
            <v>#N/A</v>
          </cell>
          <cell r="F2259">
            <v>0</v>
          </cell>
          <cell r="G2259">
            <v>0</v>
          </cell>
          <cell r="I2259">
            <v>0</v>
          </cell>
        </row>
        <row r="2260">
          <cell r="A2260" t="str">
            <v>B2257</v>
          </cell>
          <cell r="B2260" t="e">
            <v>#N/A</v>
          </cell>
          <cell r="D2260" t="e">
            <v>#N/A</v>
          </cell>
          <cell r="F2260">
            <v>0</v>
          </cell>
          <cell r="G2260">
            <v>0</v>
          </cell>
          <cell r="I2260">
            <v>0</v>
          </cell>
        </row>
        <row r="2261">
          <cell r="A2261" t="str">
            <v>B2258</v>
          </cell>
          <cell r="B2261" t="e">
            <v>#N/A</v>
          </cell>
          <cell r="D2261" t="e">
            <v>#N/A</v>
          </cell>
          <cell r="F2261">
            <v>0</v>
          </cell>
          <cell r="G2261">
            <v>0</v>
          </cell>
          <cell r="I2261">
            <v>0</v>
          </cell>
        </row>
        <row r="2262">
          <cell r="A2262" t="str">
            <v>B2259</v>
          </cell>
          <cell r="B2262" t="e">
            <v>#N/A</v>
          </cell>
          <cell r="D2262" t="e">
            <v>#N/A</v>
          </cell>
          <cell r="F2262">
            <v>0</v>
          </cell>
          <cell r="G2262">
            <v>0</v>
          </cell>
          <cell r="I2262">
            <v>0</v>
          </cell>
        </row>
        <row r="2263">
          <cell r="A2263" t="str">
            <v>B2260</v>
          </cell>
          <cell r="B2263" t="e">
            <v>#N/A</v>
          </cell>
          <cell r="D2263" t="e">
            <v>#N/A</v>
          </cell>
          <cell r="F2263">
            <v>0</v>
          </cell>
          <cell r="G2263">
            <v>0</v>
          </cell>
          <cell r="I2263">
            <v>0</v>
          </cell>
        </row>
        <row r="2264">
          <cell r="A2264" t="str">
            <v>B2261</v>
          </cell>
          <cell r="B2264" t="e">
            <v>#N/A</v>
          </cell>
          <cell r="D2264" t="e">
            <v>#N/A</v>
          </cell>
          <cell r="F2264">
            <v>0</v>
          </cell>
          <cell r="G2264">
            <v>0</v>
          </cell>
          <cell r="I2264">
            <v>0</v>
          </cell>
        </row>
        <row r="2265">
          <cell r="A2265" t="str">
            <v>B2262</v>
          </cell>
          <cell r="B2265" t="e">
            <v>#N/A</v>
          </cell>
          <cell r="D2265" t="e">
            <v>#N/A</v>
          </cell>
          <cell r="F2265">
            <v>0</v>
          </cell>
          <cell r="G2265">
            <v>0</v>
          </cell>
          <cell r="I2265">
            <v>0</v>
          </cell>
        </row>
        <row r="2266">
          <cell r="A2266" t="str">
            <v>B2263</v>
          </cell>
          <cell r="B2266" t="e">
            <v>#N/A</v>
          </cell>
          <cell r="D2266" t="e">
            <v>#N/A</v>
          </cell>
          <cell r="F2266">
            <v>0</v>
          </cell>
          <cell r="G2266">
            <v>0</v>
          </cell>
          <cell r="I2266">
            <v>0</v>
          </cell>
        </row>
        <row r="2267">
          <cell r="A2267" t="str">
            <v>B2264</v>
          </cell>
          <cell r="B2267" t="e">
            <v>#N/A</v>
          </cell>
          <cell r="D2267" t="e">
            <v>#N/A</v>
          </cell>
          <cell r="F2267">
            <v>0</v>
          </cell>
          <cell r="G2267">
            <v>0</v>
          </cell>
          <cell r="I2267">
            <v>0</v>
          </cell>
        </row>
        <row r="2268">
          <cell r="A2268" t="str">
            <v>B2265</v>
          </cell>
          <cell r="B2268" t="e">
            <v>#N/A</v>
          </cell>
          <cell r="D2268" t="e">
            <v>#N/A</v>
          </cell>
          <cell r="F2268">
            <v>0</v>
          </cell>
          <cell r="G2268">
            <v>0</v>
          </cell>
          <cell r="I2268">
            <v>0</v>
          </cell>
        </row>
        <row r="2269">
          <cell r="A2269" t="str">
            <v>B2266</v>
          </cell>
          <cell r="B2269" t="e">
            <v>#N/A</v>
          </cell>
          <cell r="D2269" t="e">
            <v>#N/A</v>
          </cell>
          <cell r="F2269">
            <v>0</v>
          </cell>
          <cell r="G2269">
            <v>0</v>
          </cell>
          <cell r="I2269">
            <v>0</v>
          </cell>
        </row>
        <row r="2270">
          <cell r="A2270" t="str">
            <v>B2267</v>
          </cell>
          <cell r="B2270" t="e">
            <v>#N/A</v>
          </cell>
          <cell r="D2270" t="e">
            <v>#N/A</v>
          </cell>
          <cell r="F2270">
            <v>0</v>
          </cell>
          <cell r="G2270">
            <v>0</v>
          </cell>
          <cell r="I2270">
            <v>0</v>
          </cell>
        </row>
        <row r="2271">
          <cell r="A2271" t="str">
            <v>B2268</v>
          </cell>
          <cell r="B2271" t="e">
            <v>#N/A</v>
          </cell>
          <cell r="D2271" t="e">
            <v>#N/A</v>
          </cell>
          <cell r="F2271">
            <v>0</v>
          </cell>
          <cell r="G2271">
            <v>0</v>
          </cell>
          <cell r="I2271">
            <v>0</v>
          </cell>
        </row>
        <row r="2272">
          <cell r="A2272" t="str">
            <v>B2269</v>
          </cell>
          <cell r="B2272" t="e">
            <v>#N/A</v>
          </cell>
          <cell r="D2272" t="e">
            <v>#N/A</v>
          </cell>
          <cell r="F2272">
            <v>0</v>
          </cell>
          <cell r="G2272">
            <v>0</v>
          </cell>
          <cell r="I2272">
            <v>0</v>
          </cell>
        </row>
        <row r="2273">
          <cell r="A2273" t="str">
            <v>B2270</v>
          </cell>
          <cell r="B2273" t="e">
            <v>#N/A</v>
          </cell>
          <cell r="D2273" t="e">
            <v>#N/A</v>
          </cell>
          <cell r="F2273">
            <v>0</v>
          </cell>
          <cell r="G2273">
            <v>0</v>
          </cell>
          <cell r="I2273">
            <v>0</v>
          </cell>
        </row>
        <row r="2274">
          <cell r="A2274" t="str">
            <v>B2271</v>
          </cell>
          <cell r="B2274" t="e">
            <v>#N/A</v>
          </cell>
          <cell r="D2274" t="e">
            <v>#N/A</v>
          </cell>
          <cell r="F2274">
            <v>0</v>
          </cell>
          <cell r="G2274">
            <v>0</v>
          </cell>
          <cell r="I2274">
            <v>0</v>
          </cell>
        </row>
        <row r="2275">
          <cell r="A2275" t="str">
            <v>B2272</v>
          </cell>
          <cell r="B2275" t="e">
            <v>#N/A</v>
          </cell>
          <cell r="D2275" t="e">
            <v>#N/A</v>
          </cell>
          <cell r="F2275">
            <v>0</v>
          </cell>
          <cell r="G2275">
            <v>0</v>
          </cell>
          <cell r="I2275">
            <v>0</v>
          </cell>
        </row>
        <row r="2276">
          <cell r="A2276" t="str">
            <v>B2273</v>
          </cell>
          <cell r="B2276" t="e">
            <v>#N/A</v>
          </cell>
          <cell r="D2276" t="e">
            <v>#N/A</v>
          </cell>
          <cell r="F2276">
            <v>0</v>
          </cell>
          <cell r="G2276">
            <v>0</v>
          </cell>
          <cell r="I2276">
            <v>0</v>
          </cell>
        </row>
        <row r="2277">
          <cell r="A2277" t="str">
            <v>B2274</v>
          </cell>
          <cell r="B2277" t="e">
            <v>#N/A</v>
          </cell>
          <cell r="D2277" t="e">
            <v>#N/A</v>
          </cell>
          <cell r="F2277">
            <v>0</v>
          </cell>
          <cell r="G2277">
            <v>0</v>
          </cell>
          <cell r="I2277">
            <v>0</v>
          </cell>
        </row>
        <row r="2278">
          <cell r="A2278" t="str">
            <v>B2275</v>
          </cell>
          <cell r="B2278" t="e">
            <v>#N/A</v>
          </cell>
          <cell r="D2278" t="e">
            <v>#N/A</v>
          </cell>
          <cell r="F2278">
            <v>0</v>
          </cell>
          <cell r="G2278">
            <v>0</v>
          </cell>
          <cell r="I2278">
            <v>0</v>
          </cell>
        </row>
        <row r="2279">
          <cell r="A2279" t="str">
            <v>B2276</v>
          </cell>
          <cell r="B2279" t="e">
            <v>#N/A</v>
          </cell>
          <cell r="D2279" t="e">
            <v>#N/A</v>
          </cell>
          <cell r="F2279">
            <v>0</v>
          </cell>
          <cell r="G2279">
            <v>0</v>
          </cell>
          <cell r="I2279">
            <v>0</v>
          </cell>
        </row>
        <row r="2280">
          <cell r="A2280" t="str">
            <v>B2277</v>
          </cell>
          <cell r="B2280" t="e">
            <v>#N/A</v>
          </cell>
          <cell r="D2280" t="e">
            <v>#N/A</v>
          </cell>
          <cell r="F2280">
            <v>0</v>
          </cell>
          <cell r="G2280">
            <v>0</v>
          </cell>
          <cell r="I2280">
            <v>0</v>
          </cell>
        </row>
        <row r="2281">
          <cell r="A2281" t="str">
            <v>B2278</v>
          </cell>
          <cell r="B2281" t="e">
            <v>#N/A</v>
          </cell>
          <cell r="D2281" t="e">
            <v>#N/A</v>
          </cell>
          <cell r="F2281">
            <v>0</v>
          </cell>
          <cell r="G2281">
            <v>0</v>
          </cell>
          <cell r="I2281">
            <v>0</v>
          </cell>
        </row>
        <row r="2282">
          <cell r="A2282" t="str">
            <v>B2279</v>
          </cell>
          <cell r="B2282" t="e">
            <v>#N/A</v>
          </cell>
          <cell r="D2282" t="e">
            <v>#N/A</v>
          </cell>
          <cell r="F2282">
            <v>0</v>
          </cell>
          <cell r="G2282">
            <v>0</v>
          </cell>
          <cell r="I2282">
            <v>0</v>
          </cell>
        </row>
        <row r="2283">
          <cell r="A2283" t="str">
            <v>B2280</v>
          </cell>
          <cell r="B2283" t="e">
            <v>#N/A</v>
          </cell>
          <cell r="D2283" t="e">
            <v>#N/A</v>
          </cell>
          <cell r="F2283">
            <v>0</v>
          </cell>
          <cell r="G2283">
            <v>0</v>
          </cell>
          <cell r="I2283">
            <v>0</v>
          </cell>
        </row>
        <row r="2284">
          <cell r="A2284" t="str">
            <v>B2281</v>
          </cell>
          <cell r="B2284" t="e">
            <v>#N/A</v>
          </cell>
          <cell r="D2284" t="e">
            <v>#N/A</v>
          </cell>
          <cell r="F2284">
            <v>0</v>
          </cell>
          <cell r="G2284">
            <v>0</v>
          </cell>
          <cell r="I2284">
            <v>0</v>
          </cell>
        </row>
        <row r="2285">
          <cell r="A2285" t="str">
            <v>B2282</v>
          </cell>
          <cell r="B2285" t="e">
            <v>#N/A</v>
          </cell>
          <cell r="D2285" t="e">
            <v>#N/A</v>
          </cell>
          <cell r="F2285">
            <v>0</v>
          </cell>
          <cell r="G2285">
            <v>0</v>
          </cell>
          <cell r="I2285">
            <v>0</v>
          </cell>
        </row>
        <row r="2286">
          <cell r="A2286" t="str">
            <v>B2283</v>
          </cell>
          <cell r="B2286" t="e">
            <v>#N/A</v>
          </cell>
          <cell r="D2286" t="e">
            <v>#N/A</v>
          </cell>
          <cell r="F2286">
            <v>0</v>
          </cell>
          <cell r="G2286">
            <v>0</v>
          </cell>
          <cell r="I2286">
            <v>0</v>
          </cell>
        </row>
        <row r="2287">
          <cell r="A2287" t="str">
            <v>B2284</v>
          </cell>
          <cell r="B2287" t="e">
            <v>#N/A</v>
          </cell>
          <cell r="D2287" t="e">
            <v>#N/A</v>
          </cell>
          <cell r="F2287">
            <v>0</v>
          </cell>
          <cell r="G2287">
            <v>0</v>
          </cell>
          <cell r="I2287">
            <v>0</v>
          </cell>
        </row>
        <row r="2288">
          <cell r="A2288" t="str">
            <v>B2285</v>
          </cell>
          <cell r="B2288" t="e">
            <v>#N/A</v>
          </cell>
          <cell r="D2288" t="e">
            <v>#N/A</v>
          </cell>
          <cell r="F2288">
            <v>0</v>
          </cell>
          <cell r="G2288">
            <v>0</v>
          </cell>
          <cell r="I2288">
            <v>0</v>
          </cell>
        </row>
        <row r="2289">
          <cell r="A2289" t="str">
            <v>B2286</v>
          </cell>
          <cell r="B2289" t="e">
            <v>#N/A</v>
          </cell>
          <cell r="D2289" t="e">
            <v>#N/A</v>
          </cell>
          <cell r="F2289">
            <v>0</v>
          </cell>
          <cell r="G2289">
            <v>0</v>
          </cell>
          <cell r="I2289">
            <v>0</v>
          </cell>
        </row>
        <row r="2290">
          <cell r="A2290" t="str">
            <v>B2287</v>
          </cell>
          <cell r="B2290" t="e">
            <v>#N/A</v>
          </cell>
          <cell r="D2290" t="e">
            <v>#N/A</v>
          </cell>
          <cell r="F2290">
            <v>0</v>
          </cell>
          <cell r="G2290">
            <v>0</v>
          </cell>
          <cell r="I2290">
            <v>0</v>
          </cell>
        </row>
        <row r="2291">
          <cell r="A2291" t="str">
            <v>B2288</v>
          </cell>
          <cell r="B2291" t="e">
            <v>#N/A</v>
          </cell>
          <cell r="D2291" t="e">
            <v>#N/A</v>
          </cell>
          <cell r="F2291">
            <v>0</v>
          </cell>
          <cell r="G2291">
            <v>0</v>
          </cell>
          <cell r="I2291">
            <v>0</v>
          </cell>
        </row>
        <row r="2292">
          <cell r="A2292" t="str">
            <v>B2289</v>
          </cell>
          <cell r="B2292" t="e">
            <v>#N/A</v>
          </cell>
          <cell r="D2292" t="e">
            <v>#N/A</v>
          </cell>
          <cell r="F2292">
            <v>0</v>
          </cell>
          <cell r="G2292">
            <v>0</v>
          </cell>
          <cell r="I2292">
            <v>0</v>
          </cell>
        </row>
        <row r="2293">
          <cell r="A2293" t="str">
            <v>B2290</v>
          </cell>
          <cell r="B2293" t="e">
            <v>#N/A</v>
          </cell>
          <cell r="D2293" t="e">
            <v>#N/A</v>
          </cell>
          <cell r="F2293">
            <v>0</v>
          </cell>
          <cell r="G2293">
            <v>0</v>
          </cell>
          <cell r="I2293">
            <v>0</v>
          </cell>
        </row>
        <row r="2294">
          <cell r="A2294" t="str">
            <v>B2291</v>
          </cell>
          <cell r="B2294" t="e">
            <v>#N/A</v>
          </cell>
          <cell r="D2294" t="e">
            <v>#N/A</v>
          </cell>
          <cell r="F2294">
            <v>0</v>
          </cell>
          <cell r="G2294">
            <v>0</v>
          </cell>
          <cell r="I2294">
            <v>0</v>
          </cell>
        </row>
        <row r="2295">
          <cell r="A2295" t="str">
            <v>B2292</v>
          </cell>
          <cell r="B2295" t="e">
            <v>#N/A</v>
          </cell>
          <cell r="D2295" t="e">
            <v>#N/A</v>
          </cell>
          <cell r="F2295">
            <v>0</v>
          </cell>
          <cell r="G2295">
            <v>0</v>
          </cell>
          <cell r="I2295">
            <v>0</v>
          </cell>
        </row>
        <row r="2296">
          <cell r="A2296" t="str">
            <v>B2293</v>
          </cell>
          <cell r="B2296" t="e">
            <v>#N/A</v>
          </cell>
          <cell r="D2296" t="e">
            <v>#N/A</v>
          </cell>
          <cell r="F2296">
            <v>0</v>
          </cell>
          <cell r="G2296">
            <v>0</v>
          </cell>
          <cell r="I2296">
            <v>0</v>
          </cell>
        </row>
        <row r="2297">
          <cell r="A2297" t="str">
            <v>B2294</v>
          </cell>
          <cell r="B2297" t="e">
            <v>#N/A</v>
          </cell>
          <cell r="D2297" t="e">
            <v>#N/A</v>
          </cell>
          <cell r="F2297">
            <v>0</v>
          </cell>
          <cell r="G2297">
            <v>0</v>
          </cell>
          <cell r="I2297">
            <v>0</v>
          </cell>
        </row>
        <row r="2298">
          <cell r="A2298" t="str">
            <v>B2295</v>
          </cell>
          <cell r="B2298" t="e">
            <v>#N/A</v>
          </cell>
          <cell r="D2298" t="e">
            <v>#N/A</v>
          </cell>
          <cell r="F2298">
            <v>0</v>
          </cell>
          <cell r="G2298">
            <v>0</v>
          </cell>
          <cell r="I2298">
            <v>0</v>
          </cell>
        </row>
        <row r="2299">
          <cell r="A2299" t="str">
            <v>B2296</v>
          </cell>
          <cell r="B2299" t="e">
            <v>#N/A</v>
          </cell>
          <cell r="D2299" t="e">
            <v>#N/A</v>
          </cell>
          <cell r="F2299">
            <v>0</v>
          </cell>
          <cell r="G2299">
            <v>0</v>
          </cell>
          <cell r="I2299">
            <v>0</v>
          </cell>
        </row>
        <row r="2300">
          <cell r="A2300" t="str">
            <v>B2297</v>
          </cell>
          <cell r="B2300" t="e">
            <v>#N/A</v>
          </cell>
          <cell r="D2300" t="e">
            <v>#N/A</v>
          </cell>
          <cell r="F2300">
            <v>0</v>
          </cell>
          <cell r="G2300">
            <v>0</v>
          </cell>
          <cell r="I2300">
            <v>0</v>
          </cell>
        </row>
        <row r="2301">
          <cell r="A2301" t="str">
            <v>B2298</v>
          </cell>
          <cell r="B2301" t="e">
            <v>#N/A</v>
          </cell>
          <cell r="D2301" t="e">
            <v>#N/A</v>
          </cell>
          <cell r="F2301">
            <v>0</v>
          </cell>
          <cell r="G2301">
            <v>0</v>
          </cell>
          <cell r="I2301">
            <v>0</v>
          </cell>
        </row>
        <row r="2302">
          <cell r="A2302" t="str">
            <v>A----</v>
          </cell>
          <cell r="D2302" t="e">
            <v>#N/A</v>
          </cell>
          <cell r="F2302">
            <v>0</v>
          </cell>
          <cell r="G2302">
            <v>0</v>
          </cell>
          <cell r="I2302">
            <v>0</v>
          </cell>
        </row>
        <row r="2303">
          <cell r="A2303" t="str">
            <v>A0031</v>
          </cell>
          <cell r="D2303" t="str">
            <v>A0031</v>
          </cell>
          <cell r="F2303">
            <v>173.16</v>
          </cell>
          <cell r="G2303">
            <v>129.87</v>
          </cell>
          <cell r="H2303" t="str">
            <v>0-ecoCool</v>
          </cell>
          <cell r="I2303">
            <v>0.25</v>
          </cell>
        </row>
        <row r="2304">
          <cell r="A2304" t="str">
            <v>AM0011</v>
          </cell>
          <cell r="D2304" t="str">
            <v>AM0011</v>
          </cell>
          <cell r="F2304">
            <v>296.36999999999995</v>
          </cell>
          <cell r="G2304">
            <v>222.27749999999997</v>
          </cell>
          <cell r="H2304" t="str">
            <v>0-ecoCool</v>
          </cell>
          <cell r="I2304">
            <v>0.25</v>
          </cell>
        </row>
        <row r="2305">
          <cell r="A2305" t="str">
            <v>AM0012</v>
          </cell>
          <cell r="D2305" t="str">
            <v>AM0012</v>
          </cell>
          <cell r="F2305">
            <v>106.66666666666667</v>
          </cell>
          <cell r="G2305">
            <v>80</v>
          </cell>
          <cell r="H2305" t="str">
            <v>0-ecoCool</v>
          </cell>
          <cell r="I2305">
            <v>0.25</v>
          </cell>
        </row>
        <row r="2306">
          <cell r="A2306" t="str">
            <v>AM0013</v>
          </cell>
          <cell r="D2306" t="str">
            <v>AM0013</v>
          </cell>
          <cell r="F2306">
            <v>126.66666666666667</v>
          </cell>
          <cell r="G2306">
            <v>95</v>
          </cell>
          <cell r="H2306" t="str">
            <v>0-ecoCool</v>
          </cell>
          <cell r="I2306">
            <v>0.25</v>
          </cell>
        </row>
        <row r="2307">
          <cell r="A2307" t="str">
            <v>C----</v>
          </cell>
          <cell r="D2307" t="e">
            <v>#N/A</v>
          </cell>
          <cell r="F2307">
            <v>0</v>
          </cell>
          <cell r="G2307">
            <v>0</v>
          </cell>
          <cell r="I2307">
            <v>0</v>
          </cell>
        </row>
        <row r="2308">
          <cell r="A2308" t="str">
            <v>C0016</v>
          </cell>
          <cell r="D2308" t="str">
            <v>C0016</v>
          </cell>
          <cell r="F2308">
            <v>0</v>
          </cell>
          <cell r="G2308">
            <v>0</v>
          </cell>
          <cell r="H2308" t="str">
            <v>0-ecoCool</v>
          </cell>
          <cell r="I2308">
            <v>0</v>
          </cell>
        </row>
        <row r="2309">
          <cell r="A2309" t="str">
            <v>C0052</v>
          </cell>
          <cell r="D2309" t="str">
            <v>C0052</v>
          </cell>
          <cell r="F2309">
            <v>0</v>
          </cell>
          <cell r="G2309">
            <v>0</v>
          </cell>
          <cell r="H2309" t="str">
            <v>0-ecoCool</v>
          </cell>
          <cell r="I2309">
            <v>0</v>
          </cell>
        </row>
        <row r="2310">
          <cell r="A2310" t="str">
            <v>E----</v>
          </cell>
          <cell r="D2310" t="e">
            <v>#N/A</v>
          </cell>
          <cell r="F2310">
            <v>0</v>
          </cell>
          <cell r="G2310">
            <v>0</v>
          </cell>
          <cell r="I2310">
            <v>0</v>
          </cell>
        </row>
        <row r="2311">
          <cell r="A2311" t="str">
            <v>E30.300.01</v>
          </cell>
          <cell r="D2311" t="str">
            <v>E30.300.01</v>
          </cell>
          <cell r="F2311">
            <v>546.15384615384619</v>
          </cell>
          <cell r="G2311">
            <v>355</v>
          </cell>
          <cell r="H2311" t="str">
            <v>0-ecoCool</v>
          </cell>
          <cell r="I2311">
            <v>0.35</v>
          </cell>
        </row>
        <row r="2312">
          <cell r="A2312" t="str">
            <v>E30.400.01</v>
          </cell>
          <cell r="D2312" t="str">
            <v>E30.400.01</v>
          </cell>
          <cell r="F2312">
            <v>546.15384615384619</v>
          </cell>
          <cell r="G2312">
            <v>355</v>
          </cell>
          <cell r="H2312" t="str">
            <v>0-ecoCool</v>
          </cell>
          <cell r="I2312">
            <v>0.35</v>
          </cell>
        </row>
        <row r="2313">
          <cell r="A2313" t="str">
            <v>E30.500.01</v>
          </cell>
          <cell r="D2313" t="str">
            <v>E30.500.01</v>
          </cell>
          <cell r="F2313">
            <v>0</v>
          </cell>
          <cell r="G2313">
            <v>0</v>
          </cell>
          <cell r="H2313" t="str">
            <v>0-ecoCool</v>
          </cell>
          <cell r="I2313">
            <v>0</v>
          </cell>
        </row>
        <row r="2314">
          <cell r="A2314" t="str">
            <v>i----</v>
          </cell>
          <cell r="D2314" t="e">
            <v>#N/A</v>
          </cell>
          <cell r="F2314">
            <v>0</v>
          </cell>
          <cell r="G2314">
            <v>0</v>
          </cell>
          <cell r="I2314">
            <v>0</v>
          </cell>
        </row>
        <row r="2315">
          <cell r="A2315" t="str">
            <v>i36.01.01</v>
          </cell>
          <cell r="B2315" t="str">
            <v>ecoCool 4G Modem 1-port, 48v embedded</v>
          </cell>
          <cell r="D2315" t="str">
            <v>i36.01.01</v>
          </cell>
          <cell r="F2315">
            <v>433.52727272727276</v>
          </cell>
          <cell r="G2315">
            <v>238.44000000000003</v>
          </cell>
          <cell r="H2315" t="str">
            <v>0-ecoCool</v>
          </cell>
          <cell r="I2315">
            <v>0.45</v>
          </cell>
        </row>
        <row r="2316">
          <cell r="A2316" t="str">
            <v>i36.01.02</v>
          </cell>
          <cell r="B2316" t="str">
            <v>ecoCool 4G Modem-router Wifi-2-Port, 48v, embedded</v>
          </cell>
          <cell r="D2316" t="str">
            <v>i36.01.02</v>
          </cell>
          <cell r="F2316">
            <v>610.07272727272721</v>
          </cell>
          <cell r="G2316">
            <v>335.54</v>
          </cell>
          <cell r="H2316" t="str">
            <v>0-ecoCool</v>
          </cell>
          <cell r="I2316">
            <v>0.45</v>
          </cell>
        </row>
        <row r="2317">
          <cell r="A2317" t="str">
            <v>i36.02.01</v>
          </cell>
          <cell r="B2317" t="str">
            <v>ecoCool 4G Modem 1-port, 12-48v, IP-Enclosure</v>
          </cell>
          <cell r="D2317" t="str">
            <v>i36.02.01</v>
          </cell>
          <cell r="F2317">
            <v>555.98181818181808</v>
          </cell>
          <cell r="G2317">
            <v>305.78999999999996</v>
          </cell>
          <cell r="H2317" t="str">
            <v>0-ecoCool</v>
          </cell>
          <cell r="I2317">
            <v>0.45</v>
          </cell>
        </row>
        <row r="2318">
          <cell r="A2318" t="str">
            <v>i36.02.02</v>
          </cell>
          <cell r="B2318" t="str">
            <v>ecoCool 4G Modem-router Wifi-2-Port, 12-48v, IP-Enclosure</v>
          </cell>
          <cell r="D2318" t="str">
            <v>i36.02.02</v>
          </cell>
          <cell r="F2318">
            <v>714.16363636363633</v>
          </cell>
          <cell r="G2318">
            <v>392.79</v>
          </cell>
          <cell r="H2318" t="str">
            <v>0-ecoCool</v>
          </cell>
          <cell r="I2318">
            <v>0.45</v>
          </cell>
        </row>
        <row r="2319">
          <cell r="A2319" t="str">
            <v>i36.02.03</v>
          </cell>
          <cell r="B2319" t="str">
            <v>ecoCool 4G Modem-router Wifi-4-port, 12-48v, IP-Enclosure</v>
          </cell>
          <cell r="D2319" t="str">
            <v>i36.02.03</v>
          </cell>
          <cell r="F2319">
            <v>745.80000000000007</v>
          </cell>
          <cell r="G2319">
            <v>410.19000000000005</v>
          </cell>
          <cell r="H2319" t="str">
            <v>0-ecoCool</v>
          </cell>
          <cell r="I2319">
            <v>0.45</v>
          </cell>
        </row>
        <row r="2320">
          <cell r="A2320" t="str">
            <v>J----</v>
          </cell>
          <cell r="D2320" t="e">
            <v>#N/A</v>
          </cell>
          <cell r="F2320">
            <v>0</v>
          </cell>
          <cell r="G2320">
            <v>0</v>
          </cell>
          <cell r="I2320">
            <v>0</v>
          </cell>
        </row>
        <row r="2321">
          <cell r="A2321" t="str">
            <v>J0010</v>
          </cell>
          <cell r="D2321" t="str">
            <v>J0010</v>
          </cell>
          <cell r="F2321">
            <v>39.999999999999993</v>
          </cell>
          <cell r="G2321">
            <v>6</v>
          </cell>
          <cell r="H2321" t="str">
            <v>0-ecoCool</v>
          </cell>
          <cell r="I2321">
            <v>0.85</v>
          </cell>
        </row>
        <row r="2322">
          <cell r="A2322" t="str">
            <v>K----</v>
          </cell>
          <cell r="D2322" t="e">
            <v>#N/A</v>
          </cell>
          <cell r="F2322">
            <v>0</v>
          </cell>
          <cell r="G2322">
            <v>0</v>
          </cell>
          <cell r="I2322">
            <v>0</v>
          </cell>
        </row>
        <row r="2323">
          <cell r="A2323" t="str">
            <v>K28.1200.G.24</v>
          </cell>
          <cell r="B2323" t="str">
            <v>ecoCool Backup+Remote Power 1200VA output, 2.4KWh Battery</v>
          </cell>
          <cell r="D2323" t="str">
            <v>K28.1200.G.24</v>
          </cell>
          <cell r="F2323">
            <v>3392.3076923076924</v>
          </cell>
          <cell r="G2323">
            <v>2205</v>
          </cell>
          <cell r="H2323" t="str">
            <v>0-ecoCool</v>
          </cell>
          <cell r="I2323">
            <v>0.35</v>
          </cell>
        </row>
        <row r="2324">
          <cell r="A2324" t="str">
            <v>K28.1200.G.29</v>
          </cell>
          <cell r="B2324" t="str">
            <v>ecoCool Backup+Remote Power 1200VA output, 2.88KWh Battery</v>
          </cell>
          <cell r="D2324" t="str">
            <v>K28.1200.G.29</v>
          </cell>
          <cell r="F2324">
            <v>3702.4615384615381</v>
          </cell>
          <cell r="G2324">
            <v>2406.6</v>
          </cell>
          <cell r="H2324" t="str">
            <v>0-ecoCool</v>
          </cell>
          <cell r="I2324">
            <v>0.35</v>
          </cell>
        </row>
        <row r="2325">
          <cell r="A2325" t="str">
            <v>K28.1200.G.38</v>
          </cell>
          <cell r="B2325" t="str">
            <v>ecoCool Backup+Remote Power 1200VA output, 3.84KWh Battery</v>
          </cell>
          <cell r="D2325" t="str">
            <v>K28.1200.G.38</v>
          </cell>
          <cell r="F2325">
            <v>4750.8461538461543</v>
          </cell>
          <cell r="G2325">
            <v>3088.05</v>
          </cell>
          <cell r="H2325" t="str">
            <v>0-ecoCool</v>
          </cell>
          <cell r="I2325">
            <v>0.35</v>
          </cell>
        </row>
        <row r="2326">
          <cell r="A2326" t="str">
            <v>K28.1600.G.38</v>
          </cell>
          <cell r="B2326" t="str">
            <v>ecoCool Backup+Remote Power 1600VA output, 3.84KWh Battery</v>
          </cell>
          <cell r="D2326" t="str">
            <v>K28.1600.G.38</v>
          </cell>
          <cell r="F2326">
            <v>4920.461538461539</v>
          </cell>
          <cell r="G2326">
            <v>3198.3</v>
          </cell>
          <cell r="H2326" t="str">
            <v>0-ecoCool</v>
          </cell>
          <cell r="I2326">
            <v>0.35</v>
          </cell>
        </row>
        <row r="2327">
          <cell r="A2327" t="str">
            <v>K28.1200.G.48</v>
          </cell>
          <cell r="B2327" t="str">
            <v>ecoCool Backup+Remote Power 1200VA output, 4.8KWh Battery</v>
          </cell>
          <cell r="D2327" t="str">
            <v>K28.1200.G.48</v>
          </cell>
          <cell r="F2327">
            <v>5351.7692307692305</v>
          </cell>
          <cell r="G2327">
            <v>3478.65</v>
          </cell>
          <cell r="H2327" t="str">
            <v>0-ecoCool</v>
          </cell>
          <cell r="I2327">
            <v>0.35</v>
          </cell>
        </row>
        <row r="2328">
          <cell r="A2328" t="str">
            <v>K28.1600.G.48</v>
          </cell>
          <cell r="B2328" t="str">
            <v>ecoCool Backup+Remote Power 1600VA output, 4.8KWh Battery</v>
          </cell>
          <cell r="D2328" t="str">
            <v>K28.1600.G.48</v>
          </cell>
          <cell r="F2328">
            <v>5529.4615384615381</v>
          </cell>
          <cell r="G2328">
            <v>3594.15</v>
          </cell>
          <cell r="H2328" t="str">
            <v>0-ecoCool</v>
          </cell>
          <cell r="I2328">
            <v>0.35</v>
          </cell>
        </row>
        <row r="2329">
          <cell r="A2329" t="str">
            <v>K28.1200.G.58</v>
          </cell>
          <cell r="B2329" t="str">
            <v>ecoCool Backup+Remote Power 1200VA output, 5.76KWh Battery</v>
          </cell>
          <cell r="D2329" t="str">
            <v>K28.1200.G.58</v>
          </cell>
          <cell r="F2329">
            <v>5552.0769230769238</v>
          </cell>
          <cell r="G2329">
            <v>3608.8500000000004</v>
          </cell>
          <cell r="H2329" t="str">
            <v>0-ecoCool</v>
          </cell>
          <cell r="I2329">
            <v>0.35</v>
          </cell>
        </row>
        <row r="2330">
          <cell r="A2330" t="str">
            <v>K28.2000.G.48</v>
          </cell>
          <cell r="B2330" t="str">
            <v>ecoCool Backup+Remote Power 2000VA output, 4.8KWh Battery</v>
          </cell>
          <cell r="D2330" t="str">
            <v>K28.2000.G.48</v>
          </cell>
          <cell r="F2330">
            <v>5815.3846153846152</v>
          </cell>
          <cell r="G2330">
            <v>3780</v>
          </cell>
          <cell r="H2330" t="str">
            <v>0-ecoCool</v>
          </cell>
          <cell r="I2330">
            <v>0.35</v>
          </cell>
        </row>
        <row r="2331">
          <cell r="A2331" t="str">
            <v>K28.2000.G.58</v>
          </cell>
          <cell r="B2331" t="str">
            <v>ecoCool Backup+Remote Power 1600VA output, 9.6KWh Battery</v>
          </cell>
          <cell r="D2331" t="str">
            <v>K28.2000.G.58</v>
          </cell>
          <cell r="F2331">
            <v>0</v>
          </cell>
          <cell r="G2331">
            <v>0</v>
          </cell>
          <cell r="H2331" t="str">
            <v>0-ecoCool</v>
          </cell>
          <cell r="I2331">
            <v>0</v>
          </cell>
        </row>
        <row r="2332">
          <cell r="A2332" t="str">
            <v>K28.3000.G.58</v>
          </cell>
          <cell r="B2332" t="str">
            <v>ecoCool Backup+Remote Power 3000VA output, 5.76KWh Battery</v>
          </cell>
          <cell r="D2332" t="str">
            <v>K28.3000.G.58</v>
          </cell>
          <cell r="F2332">
            <v>6424.3846153846162</v>
          </cell>
          <cell r="G2332">
            <v>4175.8500000000004</v>
          </cell>
          <cell r="H2332" t="str">
            <v>0-ecoCool</v>
          </cell>
          <cell r="I2332">
            <v>0.35</v>
          </cell>
        </row>
        <row r="2333">
          <cell r="A2333" t="str">
            <v>K28.3000.G.96</v>
          </cell>
          <cell r="B2333" t="str">
            <v>ecoCool Backup+Remote Power 3000VA output, 9.6KWh Battery</v>
          </cell>
          <cell r="D2333" t="str">
            <v>K28.3000.G.96</v>
          </cell>
          <cell r="F2333">
            <v>7631.0769230769229</v>
          </cell>
          <cell r="G2333">
            <v>4960.2</v>
          </cell>
          <cell r="H2333" t="str">
            <v>0-ecoCool</v>
          </cell>
          <cell r="I2333">
            <v>0.35</v>
          </cell>
        </row>
        <row r="2334">
          <cell r="A2334" t="str">
            <v>K28.5000.G.96</v>
          </cell>
          <cell r="B2334" t="str">
            <v>ecoCool Backup+Remote Power 5000VA output, 9.6KWh Battery</v>
          </cell>
          <cell r="D2334" t="str">
            <v>K28.5000.G.96</v>
          </cell>
          <cell r="F2334">
            <v>8766.6923076923085</v>
          </cell>
          <cell r="G2334">
            <v>5698.35</v>
          </cell>
          <cell r="H2334" t="str">
            <v>0-ecoCool</v>
          </cell>
          <cell r="I2334">
            <v>0.35</v>
          </cell>
        </row>
        <row r="2335">
          <cell r="A2335" t="str">
            <v>K28.3000.G.115</v>
          </cell>
          <cell r="B2335" t="str">
            <v>ecoCool Backup+Remote Power 3000VA output, 11.52KWh Battery</v>
          </cell>
          <cell r="D2335" t="str">
            <v>K28.3000.G.115</v>
          </cell>
          <cell r="F2335">
            <v>8033.3076923076933</v>
          </cell>
          <cell r="G2335">
            <v>5221.6500000000005</v>
          </cell>
          <cell r="H2335" t="str">
            <v>0-ecoCool</v>
          </cell>
          <cell r="I2335">
            <v>0.35</v>
          </cell>
        </row>
        <row r="2336">
          <cell r="A2336" t="str">
            <v>K28.5000.G.115</v>
          </cell>
          <cell r="B2336" t="str">
            <v>ecoCool Backup+Remote Power 5000VA output, 11.52KWh Battery</v>
          </cell>
          <cell r="D2336" t="str">
            <v>K28.5000.G.115</v>
          </cell>
          <cell r="F2336">
            <v>9167.3076923076915</v>
          </cell>
          <cell r="G2336">
            <v>5958.75</v>
          </cell>
          <cell r="H2336" t="str">
            <v>0-ecoCool</v>
          </cell>
          <cell r="I2336">
            <v>0.35</v>
          </cell>
        </row>
        <row r="2337">
          <cell r="A2337" t="str">
            <v>K28.5000.G.211</v>
          </cell>
          <cell r="B2337" t="str">
            <v>ecoCool Backup+Remote Power 5000VA output, 21.1KWh Battery</v>
          </cell>
          <cell r="D2337" t="str">
            <v>K28.5000.G.211</v>
          </cell>
          <cell r="F2337">
            <v>14475.461538461539</v>
          </cell>
          <cell r="G2337">
            <v>9409.0500000000011</v>
          </cell>
          <cell r="H2337" t="str">
            <v>0-ecoCool</v>
          </cell>
          <cell r="I2337">
            <v>0.35</v>
          </cell>
        </row>
        <row r="2338">
          <cell r="A2338" t="str">
            <v>K28.4800-3.G.96</v>
          </cell>
          <cell r="B2338" t="str">
            <v>ecoCool Backup+Remote Power 4800VA 3Ph output, 9.6KWh Battery</v>
          </cell>
          <cell r="D2338" t="str">
            <v>K28.4800-3.G.96</v>
          </cell>
          <cell r="F2338">
            <v>11209.153846153848</v>
          </cell>
          <cell r="G2338">
            <v>7285.9500000000007</v>
          </cell>
          <cell r="H2338" t="str">
            <v>0-ecoCool</v>
          </cell>
          <cell r="I2338">
            <v>0.35</v>
          </cell>
        </row>
        <row r="2339">
          <cell r="A2339" t="str">
            <v>K28.4800-3.G.115</v>
          </cell>
          <cell r="B2339" t="str">
            <v>ecoCool Backup+Remote Power 4800VA 3Ph output, 11.52KWh Battery</v>
          </cell>
          <cell r="D2339" t="str">
            <v>K28.4800-3.G.115</v>
          </cell>
          <cell r="F2339">
            <v>11609.76923076923</v>
          </cell>
          <cell r="G2339">
            <v>7546.35</v>
          </cell>
          <cell r="H2339" t="str">
            <v>0-ecoCool</v>
          </cell>
          <cell r="I2339">
            <v>0.35</v>
          </cell>
        </row>
        <row r="2340">
          <cell r="A2340" t="str">
            <v>K28.9000-3.G.115</v>
          </cell>
          <cell r="B2340" t="str">
            <v>ecoCool Backup+Remote Power 9000VA 3Ph output, 11.52KWh Battery</v>
          </cell>
          <cell r="D2340" t="str">
            <v>K28.9000-3.G.115</v>
          </cell>
          <cell r="F2340">
            <v>12734.076923076922</v>
          </cell>
          <cell r="G2340">
            <v>8277.15</v>
          </cell>
          <cell r="H2340" t="str">
            <v>0-ecoCool</v>
          </cell>
          <cell r="I2340">
            <v>0.35</v>
          </cell>
        </row>
        <row r="2341">
          <cell r="A2341" t="str">
            <v>K28.800.48</v>
          </cell>
          <cell r="B2341" t="str">
            <v>ecoCool Remote Power System 800VA Inverter, 4.8 KWh Battery</v>
          </cell>
          <cell r="D2341" t="str">
            <v>K28.800.48</v>
          </cell>
          <cell r="F2341">
            <v>3776.8897369297365</v>
          </cell>
          <cell r="G2341">
            <v>2454.9783290043288</v>
          </cell>
          <cell r="H2341" t="str">
            <v>0-ecoCool</v>
          </cell>
          <cell r="I2341">
            <v>0.35</v>
          </cell>
        </row>
        <row r="2342">
          <cell r="A2342" t="str">
            <v>K28.1200.24</v>
          </cell>
          <cell r="B2342" t="str">
            <v>ecoCool Remote Power System 1200VA Inverter, 2.4 KWh Battery</v>
          </cell>
          <cell r="D2342" t="str">
            <v>K28.1200.24</v>
          </cell>
          <cell r="F2342">
            <v>3017.5384615384614</v>
          </cell>
          <cell r="G2342">
            <v>1961.4</v>
          </cell>
          <cell r="H2342" t="str">
            <v>0-ecoCool</v>
          </cell>
          <cell r="I2342">
            <v>0.35</v>
          </cell>
        </row>
        <row r="2343">
          <cell r="A2343" t="str">
            <v>K28.1200.29</v>
          </cell>
          <cell r="B2343" t="str">
            <v>ecoCool Remote Power System 1200VA Inverter, 2.9 KWh Battery</v>
          </cell>
          <cell r="D2343" t="str">
            <v>K28.1200.29</v>
          </cell>
          <cell r="F2343">
            <v>3112.8461538461538</v>
          </cell>
          <cell r="G2343">
            <v>2023.3500000000001</v>
          </cell>
          <cell r="H2343" t="str">
            <v>0-ecoCool</v>
          </cell>
          <cell r="I2343">
            <v>0.35</v>
          </cell>
        </row>
        <row r="2344">
          <cell r="A2344" t="str">
            <v>K28.1200.38</v>
          </cell>
          <cell r="B2344" t="str">
            <v>ecoCool Remote Power System 1200VA Inverter, 3.8 KWh Battery</v>
          </cell>
          <cell r="D2344" t="str">
            <v>K28.1200.38</v>
          </cell>
          <cell r="F2344">
            <v>4161.2307692307695</v>
          </cell>
          <cell r="G2344">
            <v>2704.8</v>
          </cell>
          <cell r="H2344" t="str">
            <v>0-ecoCool</v>
          </cell>
          <cell r="I2344">
            <v>0.35</v>
          </cell>
        </row>
        <row r="2345">
          <cell r="A2345" t="str">
            <v>K28.1600.38</v>
          </cell>
          <cell r="B2345" t="str">
            <v>ecoCool Remote Power System 1600VA Inverter, 3.8 KWh Battery</v>
          </cell>
          <cell r="D2345" t="str">
            <v>K28.1600.38</v>
          </cell>
          <cell r="F2345">
            <v>4665.2307692307695</v>
          </cell>
          <cell r="G2345">
            <v>3032.4</v>
          </cell>
          <cell r="H2345" t="str">
            <v>0-ecoCool</v>
          </cell>
          <cell r="I2345">
            <v>0.35</v>
          </cell>
        </row>
        <row r="2346">
          <cell r="A2346" t="str">
            <v>K28.1200.48</v>
          </cell>
          <cell r="B2346" t="str">
            <v>ecoCool Remote Power System 1200VA Inverter, 4.8 KWh Battery</v>
          </cell>
          <cell r="D2346" t="str">
            <v>K28.1200.48</v>
          </cell>
          <cell r="F2346">
            <v>4532.7692307692305</v>
          </cell>
          <cell r="G2346">
            <v>2946.3</v>
          </cell>
          <cell r="H2346" t="str">
            <v>0-ecoCool</v>
          </cell>
          <cell r="I2346">
            <v>0.35</v>
          </cell>
        </row>
        <row r="2347">
          <cell r="A2347" t="str">
            <v>K28.1600.48</v>
          </cell>
          <cell r="B2347" t="str">
            <v>ecoCool Remote Power System 1600VA Inverter, 4.8 KWh Battery</v>
          </cell>
          <cell r="D2347" t="str">
            <v>K28.1600.48</v>
          </cell>
          <cell r="F2347">
            <v>5036.7692307692305</v>
          </cell>
          <cell r="G2347">
            <v>3273.9</v>
          </cell>
          <cell r="H2347" t="str">
            <v>0-ecoCool</v>
          </cell>
          <cell r="I2347">
            <v>0.35</v>
          </cell>
        </row>
        <row r="2348">
          <cell r="A2348" t="str">
            <v>K28.2000.48</v>
          </cell>
          <cell r="B2348" t="str">
            <v>ecoCool Remote Power System 2000VA Inverter, 4.8 KWh Battery</v>
          </cell>
          <cell r="D2348" t="str">
            <v>K28.2000.48</v>
          </cell>
          <cell r="F2348">
            <v>5195.0769230769229</v>
          </cell>
          <cell r="G2348">
            <v>3376.8</v>
          </cell>
          <cell r="H2348" t="str">
            <v>0-ecoCool</v>
          </cell>
          <cell r="I2348">
            <v>0.35</v>
          </cell>
        </row>
        <row r="2349">
          <cell r="A2349" t="str">
            <v>K28.1200.58</v>
          </cell>
          <cell r="B2349" t="str">
            <v>ecoCool Remote Power System 1200VA Inverter, 5.8 KWh Battery</v>
          </cell>
          <cell r="D2349" t="str">
            <v>K28.1200.58</v>
          </cell>
          <cell r="F2349">
            <v>4733.0769230769229</v>
          </cell>
          <cell r="G2349">
            <v>3076.5</v>
          </cell>
          <cell r="H2349" t="str">
            <v>0-ecoCool</v>
          </cell>
          <cell r="I2349">
            <v>0.35</v>
          </cell>
        </row>
        <row r="2350">
          <cell r="A2350" t="str">
            <v>K28.1600.58</v>
          </cell>
          <cell r="B2350" t="str">
            <v>ecoCool Remote Power System 1600VA Inverter, 5.8 KWh Battery</v>
          </cell>
          <cell r="D2350" t="str">
            <v>K28.1600.58</v>
          </cell>
          <cell r="F2350">
            <v>5237.0769230769238</v>
          </cell>
          <cell r="G2350">
            <v>3404.1000000000004</v>
          </cell>
          <cell r="H2350" t="str">
            <v>0-ecoCool</v>
          </cell>
          <cell r="I2350">
            <v>0.35</v>
          </cell>
        </row>
        <row r="2351">
          <cell r="A2351" t="str">
            <v>K28.1600.96</v>
          </cell>
          <cell r="B2351" t="str">
            <v>ecoCool Remote Power System 1600VA Inverter, 9.6 KWh Battery</v>
          </cell>
          <cell r="D2351" t="str">
            <v>K28.1600.96</v>
          </cell>
          <cell r="F2351">
            <v>6765.2307692307695</v>
          </cell>
          <cell r="G2351">
            <v>4397.4000000000005</v>
          </cell>
          <cell r="H2351" t="str">
            <v>0-ecoCool</v>
          </cell>
          <cell r="I2351">
            <v>0.35</v>
          </cell>
        </row>
        <row r="2352">
          <cell r="A2352" t="str">
            <v>K28.2000.58</v>
          </cell>
          <cell r="B2352" t="str">
            <v>ecoCool Remote Power System 2000VA Inverter, 5.8 KWh Battery</v>
          </cell>
          <cell r="D2352" t="str">
            <v>K28.2000.58</v>
          </cell>
          <cell r="F2352">
            <v>5395.3846153846152</v>
          </cell>
          <cell r="G2352">
            <v>3507</v>
          </cell>
          <cell r="H2352" t="str">
            <v>0-ecoCool</v>
          </cell>
          <cell r="I2352">
            <v>0.35</v>
          </cell>
        </row>
        <row r="2353">
          <cell r="A2353" t="str">
            <v>K28.2000.96</v>
          </cell>
          <cell r="B2353" t="str">
            <v>ecoCool Remote Power System 2000VA Inverter, 9.6 KWh Battery</v>
          </cell>
          <cell r="D2353" t="str">
            <v>K28.2000.96</v>
          </cell>
          <cell r="F2353">
            <v>6923.5384615384619</v>
          </cell>
          <cell r="G2353">
            <v>4500.3</v>
          </cell>
          <cell r="H2353" t="str">
            <v>0-ecoCool</v>
          </cell>
          <cell r="I2353">
            <v>0.35</v>
          </cell>
        </row>
        <row r="2354">
          <cell r="A2354" t="str">
            <v>K28.3000.58</v>
          </cell>
          <cell r="B2354" t="str">
            <v>ecoCool Remote Power System 3000VA Inverter, 5.8 KWh Battery</v>
          </cell>
          <cell r="D2354" t="str">
            <v>K28.3000.58</v>
          </cell>
          <cell r="F2354">
            <v>5687.7692307692305</v>
          </cell>
          <cell r="G2354">
            <v>3697.05</v>
          </cell>
          <cell r="H2354" t="str">
            <v>0-ecoCool</v>
          </cell>
          <cell r="I2354">
            <v>0.35</v>
          </cell>
        </row>
        <row r="2355">
          <cell r="A2355" t="str">
            <v>K28.3000.96</v>
          </cell>
          <cell r="B2355" t="str">
            <v>ecoCool Remote Power System 3000VA Inverter, 9.6 KWh Battery</v>
          </cell>
          <cell r="D2355" t="str">
            <v>K28.3000.96</v>
          </cell>
          <cell r="F2355">
            <v>7215.9230769230771</v>
          </cell>
          <cell r="G2355">
            <v>4690.3500000000004</v>
          </cell>
          <cell r="H2355" t="str">
            <v>0-ecoCool</v>
          </cell>
          <cell r="I2355">
            <v>0.35</v>
          </cell>
        </row>
        <row r="2356">
          <cell r="A2356" t="str">
            <v>K28.5000.96</v>
          </cell>
          <cell r="B2356" t="str">
            <v>ecoCool Remote Power System 5000VA Inverter, 9.6 KWh Battery</v>
          </cell>
          <cell r="D2356" t="str">
            <v>K28.5000.96</v>
          </cell>
          <cell r="F2356">
            <v>7700.5384615384619</v>
          </cell>
          <cell r="G2356">
            <v>5005.3500000000004</v>
          </cell>
          <cell r="H2356" t="str">
            <v>0-ecoCool</v>
          </cell>
          <cell r="I2356">
            <v>0.35</v>
          </cell>
        </row>
        <row r="2357">
          <cell r="A2357" t="str">
            <v>K28.3000.115</v>
          </cell>
          <cell r="B2357" t="str">
            <v>ecoCool Remote Power System 3000VA Inverter, 11.5 KWh Battery</v>
          </cell>
          <cell r="D2357" t="str">
            <v>K28.3000.115</v>
          </cell>
          <cell r="F2357">
            <v>7616.538461538461</v>
          </cell>
          <cell r="G2357">
            <v>4950.75</v>
          </cell>
          <cell r="H2357" t="str">
            <v>0-ecoCool</v>
          </cell>
          <cell r="I2357">
            <v>0.35</v>
          </cell>
        </row>
        <row r="2358">
          <cell r="A2358" t="str">
            <v>K28.5000.115</v>
          </cell>
          <cell r="B2358" t="str">
            <v>ecoCool Remote Power System 5000VA Inverter, 11.5 KWh Battery</v>
          </cell>
          <cell r="D2358" t="str">
            <v>K28.5000.115</v>
          </cell>
          <cell r="F2358">
            <v>8101.1538461538457</v>
          </cell>
          <cell r="G2358">
            <v>5265.75</v>
          </cell>
          <cell r="H2358" t="str">
            <v>0-ecoCool</v>
          </cell>
          <cell r="I2358">
            <v>0.35</v>
          </cell>
        </row>
        <row r="2359">
          <cell r="A2359" t="str">
            <v>K28.3000.G.144</v>
          </cell>
          <cell r="B2359" t="str">
            <v>ecoCool Remote Power System 3000VA Inverter, 14.4 KWh Battery</v>
          </cell>
          <cell r="D2359" t="str">
            <v>K28.3000.G.144</v>
          </cell>
          <cell r="F2359">
            <v>9259.3846153846152</v>
          </cell>
          <cell r="G2359">
            <v>6018.6</v>
          </cell>
          <cell r="H2359" t="str">
            <v>0-ecoCool</v>
          </cell>
          <cell r="I2359">
            <v>0.35</v>
          </cell>
        </row>
        <row r="2360">
          <cell r="A2360" t="str">
            <v>K28.5000.G.144</v>
          </cell>
          <cell r="B2360" t="str">
            <v>ecoCool Remote Power System 5000VA Inverter, 14.4 KWh Battery</v>
          </cell>
          <cell r="D2360" t="str">
            <v>K28.5000.G.144</v>
          </cell>
          <cell r="F2360">
            <v>10391.76923076923</v>
          </cell>
          <cell r="G2360">
            <v>6754.6500000000005</v>
          </cell>
          <cell r="H2360" t="str">
            <v>0-ecoCool</v>
          </cell>
          <cell r="I2360">
            <v>0.35</v>
          </cell>
        </row>
        <row r="2361">
          <cell r="A2361" t="str">
            <v>K28.3000.G.173</v>
          </cell>
          <cell r="B2361" t="str">
            <v>ecoCool Remote Power System 3000VA Inverter, 17.3 KWh Battery</v>
          </cell>
          <cell r="D2361" t="str">
            <v>K28.3000.G.173</v>
          </cell>
          <cell r="F2361">
            <v>9860.3076923076915</v>
          </cell>
          <cell r="G2361">
            <v>6409.2</v>
          </cell>
          <cell r="H2361" t="str">
            <v>0-ecoCool</v>
          </cell>
          <cell r="I2361">
            <v>0.35</v>
          </cell>
        </row>
        <row r="2362">
          <cell r="A2362" t="str">
            <v>K28.5000.G.173</v>
          </cell>
          <cell r="B2362" t="str">
            <v>ecoCool Remote Power System 5000VA Inverter, 17.3 KWh Battery</v>
          </cell>
          <cell r="D2362" t="str">
            <v>K28.5000.G.173</v>
          </cell>
          <cell r="F2362">
            <v>10992.692307692307</v>
          </cell>
          <cell r="G2362">
            <v>7145.25</v>
          </cell>
          <cell r="H2362" t="str">
            <v>0-ecoCool</v>
          </cell>
          <cell r="I2362">
            <v>0.35</v>
          </cell>
        </row>
        <row r="2363">
          <cell r="A2363" t="str">
            <v>K28L.1600.G.30</v>
          </cell>
          <cell r="B2363" t="str">
            <v>ecoCool Lithium Battery 3 KWh, 1600VA Output</v>
          </cell>
          <cell r="D2363" t="str">
            <v>K28L.1600.G.30</v>
          </cell>
          <cell r="F2363">
            <v>6775.7102874331558</v>
          </cell>
          <cell r="G2363">
            <v>4607.4829954545457</v>
          </cell>
          <cell r="H2363" t="str">
            <v>0-ecoCool</v>
          </cell>
          <cell r="I2363">
            <v>0.32</v>
          </cell>
        </row>
        <row r="2364">
          <cell r="A2364" t="str">
            <v>K28L.1600.G.60</v>
          </cell>
          <cell r="B2364" t="str">
            <v>ecoCool Lithium Battery 6 KWh, 1600VA Output</v>
          </cell>
          <cell r="D2364" t="str">
            <v>K28L.1600.G.60</v>
          </cell>
          <cell r="F2364">
            <v>9447.0338168449216</v>
          </cell>
          <cell r="G2364">
            <v>6423.9829954545457</v>
          </cell>
          <cell r="H2364" t="str">
            <v>0-ecoCool</v>
          </cell>
          <cell r="I2364">
            <v>0.32</v>
          </cell>
        </row>
        <row r="2365">
          <cell r="A2365" t="str">
            <v>K28L.2000.G.30</v>
          </cell>
          <cell r="B2365" t="str">
            <v>ecoCool Lithium Battery 3 KWh, 2000VA Output</v>
          </cell>
          <cell r="D2365" t="str">
            <v>K28L.2000.G.30</v>
          </cell>
          <cell r="F2365">
            <v>7214.5904344919809</v>
          </cell>
          <cell r="G2365">
            <v>4905.9214954545469</v>
          </cell>
          <cell r="H2365" t="str">
            <v>0-ecoCool</v>
          </cell>
          <cell r="I2365">
            <v>0.32</v>
          </cell>
        </row>
        <row r="2366">
          <cell r="A2366" t="str">
            <v>K28L.2000.G.60</v>
          </cell>
          <cell r="B2366" t="str">
            <v>ecoCool Lithium Battery 6 KWh, 2000VA Output</v>
          </cell>
          <cell r="D2366" t="str">
            <v>K28L.2000.G.60</v>
          </cell>
          <cell r="F2366">
            <v>9885.9139639037458</v>
          </cell>
          <cell r="G2366">
            <v>6722.4214954545469</v>
          </cell>
          <cell r="H2366" t="str">
            <v>0-ecoCool</v>
          </cell>
          <cell r="I2366">
            <v>0.32</v>
          </cell>
        </row>
        <row r="2367">
          <cell r="A2367" t="str">
            <v>K28L.2000.G.90</v>
          </cell>
          <cell r="B2367" t="str">
            <v>ecoCool Lithium Battery 9 KWh, 2000VA Output</v>
          </cell>
          <cell r="D2367" t="str">
            <v>K28L.2000.G.90</v>
          </cell>
          <cell r="F2367">
            <v>12557.23749331551</v>
          </cell>
          <cell r="G2367">
            <v>8538.9214954545459</v>
          </cell>
          <cell r="H2367" t="str">
            <v>0-ecoCool</v>
          </cell>
          <cell r="I2367">
            <v>0.32</v>
          </cell>
        </row>
        <row r="2368">
          <cell r="A2368" t="str">
            <v>K28L.3000.G.30</v>
          </cell>
          <cell r="B2368" t="str">
            <v>ecoCool Lithium Battery 3 KWh, 3000VA Output</v>
          </cell>
          <cell r="D2368" t="str">
            <v>K28L.3000.G.30</v>
          </cell>
          <cell r="F2368">
            <v>7435.1676403743331</v>
          </cell>
          <cell r="G2368">
            <v>5055.9139954545462</v>
          </cell>
          <cell r="H2368" t="str">
            <v>0-ecoCool</v>
          </cell>
          <cell r="I2368">
            <v>0.32</v>
          </cell>
        </row>
        <row r="2369">
          <cell r="A2369" t="str">
            <v>K28L.3000.G.60</v>
          </cell>
          <cell r="B2369" t="str">
            <v>ecoCool Lithium Battery 6 KWh, 3000VA Output</v>
          </cell>
          <cell r="D2369" t="str">
            <v>K28L.3000.G.60</v>
          </cell>
          <cell r="F2369">
            <v>10106.491169786099</v>
          </cell>
          <cell r="G2369">
            <v>6872.4139954545462</v>
          </cell>
          <cell r="H2369" t="str">
            <v>0-ecoCool</v>
          </cell>
          <cell r="I2369">
            <v>0.32</v>
          </cell>
        </row>
        <row r="2370">
          <cell r="A2370" t="str">
            <v>K28L.3000.G.90</v>
          </cell>
          <cell r="B2370" t="str">
            <v>ecoCool Lithium Battery 9 KWh, 3000VA Output</v>
          </cell>
          <cell r="D2370" t="str">
            <v>K28L.3000.G.90</v>
          </cell>
          <cell r="F2370">
            <v>12777.814699197861</v>
          </cell>
          <cell r="G2370">
            <v>8688.9139954545444</v>
          </cell>
          <cell r="H2370" t="str">
            <v>0-ecoCool</v>
          </cell>
          <cell r="I2370">
            <v>0.32</v>
          </cell>
        </row>
        <row r="2371">
          <cell r="A2371" t="str">
            <v>K28L.3000.G.120</v>
          </cell>
          <cell r="B2371" t="str">
            <v>ecoCool Lithium Battery 12 KWh, 3000VA Output</v>
          </cell>
          <cell r="D2371" t="str">
            <v>K28L.3000.G.120</v>
          </cell>
          <cell r="F2371">
            <v>15449.138228609625</v>
          </cell>
          <cell r="G2371">
            <v>10505.413995454544</v>
          </cell>
          <cell r="H2371" t="str">
            <v>0-ecoCool</v>
          </cell>
          <cell r="I2371">
            <v>0.32</v>
          </cell>
        </row>
        <row r="2372">
          <cell r="A2372" t="str">
            <v>K28L.5000.G.60</v>
          </cell>
          <cell r="B2372" t="str">
            <v>ecoCool Lithium Battery 6 KWh, 5000VA Output</v>
          </cell>
          <cell r="D2372" t="str">
            <v>K28L.5000.G.60</v>
          </cell>
          <cell r="F2372">
            <v>11653.698890374333</v>
          </cell>
          <cell r="G2372">
            <v>7924.5152454545459</v>
          </cell>
          <cell r="H2372" t="str">
            <v>0-ecoCool</v>
          </cell>
          <cell r="I2372">
            <v>0.32</v>
          </cell>
        </row>
        <row r="2373">
          <cell r="A2373" t="str">
            <v>K28L.5000.G.90</v>
          </cell>
          <cell r="B2373" t="str">
            <v>ecoCool Lithium Battery 9 KWh, 5000VA Output</v>
          </cell>
          <cell r="D2373" t="str">
            <v>K28L.5000.G.90</v>
          </cell>
          <cell r="F2373">
            <v>14325.022419786101</v>
          </cell>
          <cell r="G2373">
            <v>9741.0152454545478</v>
          </cell>
          <cell r="H2373" t="str">
            <v>0-ecoCool</v>
          </cell>
          <cell r="I2373">
            <v>0.32</v>
          </cell>
        </row>
        <row r="2374">
          <cell r="A2374" t="str">
            <v>K28L.5000.G.120</v>
          </cell>
          <cell r="B2374" t="str">
            <v>ecoCool Lithium Battery 12 KWh, 5000VA Output</v>
          </cell>
          <cell r="D2374" t="str">
            <v>K28L.5000.G.120</v>
          </cell>
          <cell r="F2374">
            <v>16996.345949197865</v>
          </cell>
          <cell r="G2374">
            <v>11557.515245454548</v>
          </cell>
          <cell r="H2374" t="str">
            <v>0-ecoCool</v>
          </cell>
          <cell r="I2374">
            <v>0.32</v>
          </cell>
        </row>
        <row r="2375">
          <cell r="A2375" t="str">
            <v>K28L.5000.G.150</v>
          </cell>
          <cell r="B2375" t="str">
            <v>ecoCool Lithium Battery 15 KWh, 5000VA Output</v>
          </cell>
          <cell r="D2375" t="str">
            <v>K28L.5000.G.150</v>
          </cell>
          <cell r="F2375">
            <v>20848.193743315511</v>
          </cell>
          <cell r="G2375">
            <v>14176.771745454545</v>
          </cell>
          <cell r="H2375" t="str">
            <v>0-ecoCool</v>
          </cell>
          <cell r="I2375">
            <v>0.32</v>
          </cell>
        </row>
        <row r="2376">
          <cell r="A2376" t="str">
            <v>K28L.5000.G.180</v>
          </cell>
          <cell r="B2376" t="str">
            <v>ecoCool Lithium Battery 18 KWh, 5000VA Output</v>
          </cell>
          <cell r="D2376" t="str">
            <v>K28L.5000.G.180</v>
          </cell>
          <cell r="F2376">
            <v>23519.517272727277</v>
          </cell>
          <cell r="G2376">
            <v>15993.271745454545</v>
          </cell>
          <cell r="H2376" t="str">
            <v>0-ecoCool</v>
          </cell>
          <cell r="I2376">
            <v>0.32</v>
          </cell>
        </row>
        <row r="2377">
          <cell r="A2377" t="str">
            <v>K28L.5000.G.210</v>
          </cell>
          <cell r="B2377" t="str">
            <v>ecoCool Lithium Battery 21 KWh, 5000VA Output</v>
          </cell>
          <cell r="D2377" t="str">
            <v>K28L.5000.G.210</v>
          </cell>
          <cell r="F2377">
            <v>26190.840802139039</v>
          </cell>
          <cell r="G2377">
            <v>17809.771745454545</v>
          </cell>
          <cell r="H2377" t="str">
            <v>0-ecoCool</v>
          </cell>
          <cell r="I2377">
            <v>0.32</v>
          </cell>
        </row>
        <row r="2378">
          <cell r="A2378" t="str">
            <v>K28L.5000.G.240</v>
          </cell>
          <cell r="B2378" t="str">
            <v>ecoCool Lithium Battery 24 KWh, 5000VA Output</v>
          </cell>
          <cell r="D2378" t="str">
            <v>K28L.5000.G.240</v>
          </cell>
          <cell r="F2378">
            <v>28862.164331550804</v>
          </cell>
          <cell r="G2378">
            <v>19626.271745454545</v>
          </cell>
          <cell r="H2378" t="str">
            <v>0-ecoCool</v>
          </cell>
          <cell r="I2378">
            <v>0.32</v>
          </cell>
        </row>
        <row r="2379">
          <cell r="A2379" t="str">
            <v>K28L.6000-3.G.60</v>
          </cell>
          <cell r="B2379" t="str">
            <v>ecoCool Lithium Battery 6 KWh, 6000VA Output</v>
          </cell>
          <cell r="D2379" t="str">
            <v>K28L.6000-3.G.60</v>
          </cell>
          <cell r="F2379">
            <v>13812.279411764708</v>
          </cell>
          <cell r="G2379">
            <v>9392.35</v>
          </cell>
          <cell r="H2379" t="str">
            <v>0-ecoCool</v>
          </cell>
          <cell r="I2379">
            <v>0.32</v>
          </cell>
        </row>
        <row r="2380">
          <cell r="A2380" t="str">
            <v>K28L.6000-3.G.90</v>
          </cell>
          <cell r="B2380" t="str">
            <v>ecoCool Lithium Battery 9 KWh, 6000VA Output</v>
          </cell>
          <cell r="D2380" t="str">
            <v>K28L.6000-3.G.90</v>
          </cell>
          <cell r="F2380">
            <v>16459.338228927936</v>
          </cell>
          <cell r="G2380">
            <v>11192.349995670997</v>
          </cell>
          <cell r="H2380" t="str">
            <v>0-ecoCool</v>
          </cell>
          <cell r="I2380">
            <v>0.32</v>
          </cell>
        </row>
        <row r="2381">
          <cell r="A2381" t="str">
            <v>K28L.6000-3.G.120</v>
          </cell>
          <cell r="B2381" t="str">
            <v>ecoCool Lithium Battery 12 KWh, 6000VA Output</v>
          </cell>
          <cell r="D2381" t="str">
            <v>K28L.6000-3.G.120</v>
          </cell>
          <cell r="F2381">
            <v>19106.397052457349</v>
          </cell>
          <cell r="G2381">
            <v>12992.349995670997</v>
          </cell>
          <cell r="H2381" t="str">
            <v>0-ecoCool</v>
          </cell>
          <cell r="I2381">
            <v>0.32</v>
          </cell>
        </row>
        <row r="2382">
          <cell r="A2382" t="str">
            <v>K28L.6000-3.G.150</v>
          </cell>
          <cell r="B2382" t="str">
            <v>ecoCool Lithium Battery 15 KWh, 6000VA Output</v>
          </cell>
          <cell r="D2382" t="str">
            <v>K28L.6000-3.G.150</v>
          </cell>
          <cell r="F2382">
            <v>22731.073523045587</v>
          </cell>
          <cell r="G2382">
            <v>15457.129995670997</v>
          </cell>
          <cell r="H2382" t="str">
            <v>0-ecoCool</v>
          </cell>
          <cell r="I2382">
            <v>0.32</v>
          </cell>
        </row>
        <row r="2383">
          <cell r="A2383" t="str">
            <v>K28L.6000-3.G.180</v>
          </cell>
          <cell r="B2383" t="str">
            <v>ecoCool Lithium Battery 18 KWh, 6000VA Output</v>
          </cell>
          <cell r="D2383" t="str">
            <v>K28L.6000-3.G.180</v>
          </cell>
          <cell r="F2383">
            <v>25378.132346574999</v>
          </cell>
          <cell r="G2383">
            <v>17257.129995670999</v>
          </cell>
          <cell r="H2383" t="str">
            <v>0-ecoCool</v>
          </cell>
          <cell r="I2383">
            <v>0.32</v>
          </cell>
        </row>
        <row r="2384">
          <cell r="A2384" t="str">
            <v>K28L.6000-3.G.210</v>
          </cell>
          <cell r="B2384" t="str">
            <v>ecoCool Lithium Battery 21 KWh, 6000VA Output</v>
          </cell>
          <cell r="D2384" t="str">
            <v>K28L.6000-3.G.210</v>
          </cell>
          <cell r="F2384">
            <v>28025.191170104412</v>
          </cell>
          <cell r="G2384">
            <v>19057.129995670999</v>
          </cell>
          <cell r="H2384" t="str">
            <v>0-ecoCool</v>
          </cell>
          <cell r="I2384">
            <v>0.32</v>
          </cell>
        </row>
        <row r="2385">
          <cell r="A2385" t="str">
            <v>K28L.6000-3.G.240</v>
          </cell>
          <cell r="B2385" t="str">
            <v>ecoCool Lithium Battery 24 KWh, 6000VA Output</v>
          </cell>
          <cell r="D2385" t="str">
            <v>K28L.6000-3.G.240</v>
          </cell>
          <cell r="F2385">
            <v>30672.249993633824</v>
          </cell>
          <cell r="G2385">
            <v>20857.129995670999</v>
          </cell>
          <cell r="H2385" t="str">
            <v>0-ecoCool</v>
          </cell>
          <cell r="I2385">
            <v>0.32</v>
          </cell>
        </row>
        <row r="2386">
          <cell r="A2386" t="str">
            <v>K28L.9000-3.G.90</v>
          </cell>
          <cell r="B2386" t="str">
            <v>ecoCool Lithium Battery 12 KWh, 9000VA 3-Ph Output</v>
          </cell>
          <cell r="D2386" t="str">
            <v>K28L.9000-3.G.90</v>
          </cell>
          <cell r="F2386">
            <v>17364.941170104408</v>
          </cell>
          <cell r="G2386">
            <v>11808.159995670996</v>
          </cell>
          <cell r="H2386" t="str">
            <v>0-ecoCool</v>
          </cell>
          <cell r="I2386">
            <v>0.32</v>
          </cell>
        </row>
        <row r="2387">
          <cell r="A2387" t="str">
            <v>K28L.9000-3.G.120</v>
          </cell>
          <cell r="B2387" t="str">
            <v>ecoCool Lithium Battery 12 KWh, 9000VA 3-Ph Output</v>
          </cell>
          <cell r="D2387" t="str">
            <v>K28L.9000-3.G.120</v>
          </cell>
          <cell r="F2387">
            <v>20011.999993633821</v>
          </cell>
          <cell r="G2387">
            <v>13608.159995670996</v>
          </cell>
          <cell r="H2387" t="str">
            <v>0-ecoCool</v>
          </cell>
          <cell r="I2387">
            <v>0.32</v>
          </cell>
        </row>
        <row r="2388">
          <cell r="A2388" t="str">
            <v>K28L.9000-3.G.150</v>
          </cell>
          <cell r="B2388" t="str">
            <v>ecoCool Lithium Battery 15 KWh, 9000VA 3-Ph Output</v>
          </cell>
          <cell r="D2388" t="str">
            <v>K28L.9000-3.G.150</v>
          </cell>
          <cell r="F2388">
            <v>22659.05881716323</v>
          </cell>
          <cell r="G2388">
            <v>15408.159995670996</v>
          </cell>
          <cell r="H2388" t="str">
            <v>0-ecoCool</v>
          </cell>
          <cell r="I2388">
            <v>0.32</v>
          </cell>
        </row>
        <row r="2389">
          <cell r="A2389" t="str">
            <v>K28L.15000-3.G.90</v>
          </cell>
          <cell r="B2389" t="str">
            <v>ecoCool Lithium Battery 8 KWh, 15000VA 3-Ph Output</v>
          </cell>
          <cell r="D2389" t="str">
            <v>K28L.15000-3.G.90</v>
          </cell>
          <cell r="F2389">
            <v>18937.647052457349</v>
          </cell>
          <cell r="G2389">
            <v>12877.599995670995</v>
          </cell>
          <cell r="H2389" t="str">
            <v>0-ecoCool</v>
          </cell>
          <cell r="I2389">
            <v>0.32</v>
          </cell>
        </row>
        <row r="2390">
          <cell r="A2390" t="str">
            <v>K28L.15000-3.G.120</v>
          </cell>
          <cell r="B2390" t="str">
            <v>ecoCool Lithium Battery 12 KWh, 15000VA 3-Ph Output</v>
          </cell>
          <cell r="D2390" t="str">
            <v>K28L.15000-3.G.120</v>
          </cell>
          <cell r="F2390">
            <v>21584.705875986758</v>
          </cell>
          <cell r="G2390">
            <v>14677.599995670995</v>
          </cell>
          <cell r="H2390" t="str">
            <v>0-ecoCool</v>
          </cell>
          <cell r="I2390">
            <v>0.32</v>
          </cell>
        </row>
        <row r="2391">
          <cell r="A2391" t="str">
            <v>K28L.15000-3.G.150</v>
          </cell>
          <cell r="B2391" t="str">
            <v>ecoCool Lithium Battery 16 KWh, 15000VA 3-Ph Output</v>
          </cell>
          <cell r="D2391" t="str">
            <v>K28L.15000-3.G.150</v>
          </cell>
          <cell r="F2391">
            <v>27116.242640692642</v>
          </cell>
          <cell r="G2391">
            <v>18439.044995670996</v>
          </cell>
          <cell r="H2391" t="str">
            <v>0-ecoCool</v>
          </cell>
          <cell r="I2391">
            <v>0.32</v>
          </cell>
        </row>
        <row r="2392">
          <cell r="A2392" t="str">
            <v>K28L.15000-3.G</v>
          </cell>
          <cell r="B2392" t="str">
            <v>ecoCool Batteryless, 15000VA 3-Ph Output</v>
          </cell>
          <cell r="D2392" t="str">
            <v>K28L.15000-3.G</v>
          </cell>
          <cell r="F2392">
            <v>0</v>
          </cell>
          <cell r="G2392">
            <v>0</v>
          </cell>
          <cell r="H2392" t="str">
            <v>0-ecoCool</v>
          </cell>
          <cell r="I2392">
            <v>0</v>
          </cell>
        </row>
        <row r="2393">
          <cell r="A2393" t="str">
            <v>K28L.9000-3.G</v>
          </cell>
          <cell r="B2393" t="str">
            <v>ecoCool Batteryless, 9000VA 3-Ph Output</v>
          </cell>
          <cell r="D2393" t="str">
            <v>K28L.9000-3.G</v>
          </cell>
          <cell r="F2393">
            <v>0</v>
          </cell>
          <cell r="G2393">
            <v>0</v>
          </cell>
          <cell r="H2393" t="str">
            <v>0-ecoCool</v>
          </cell>
          <cell r="I2393">
            <v>0</v>
          </cell>
        </row>
        <row r="2394">
          <cell r="A2394" t="str">
            <v>K32.3000.G.50-45</v>
          </cell>
          <cell r="B2394" t="str">
            <v>ecoCool K32 Lithium Battery 5 KWh, 3000VA, 150/45 MPPT</v>
          </cell>
          <cell r="D2394" t="str">
            <v>K32.3000.G.50-45</v>
          </cell>
          <cell r="F2394">
            <v>10190.634082644627</v>
          </cell>
          <cell r="G2394">
            <v>5604.8487454545448</v>
          </cell>
          <cell r="H2394" t="str">
            <v>0-ecoCool</v>
          </cell>
          <cell r="I2394">
            <v>0.45</v>
          </cell>
        </row>
        <row r="2395">
          <cell r="A2395" t="str">
            <v>K32.3000.G.100-45</v>
          </cell>
          <cell r="B2395" t="str">
            <v>ecoCool K32 Lithium Battery 10 KWh, 3000VA, 150/45 MPPT</v>
          </cell>
          <cell r="D2395" t="str">
            <v>K32.3000.G.100-45</v>
          </cell>
          <cell r="F2395">
            <v>14008.815900826445</v>
          </cell>
          <cell r="G2395">
            <v>7704.8487454545448</v>
          </cell>
          <cell r="H2395" t="str">
            <v>0-ecoCool</v>
          </cell>
          <cell r="I2395">
            <v>0.45</v>
          </cell>
        </row>
        <row r="2396">
          <cell r="A2396" t="str">
            <v>K32.3000.G.150-45</v>
          </cell>
          <cell r="B2396" t="str">
            <v>ecoCool K32 Lithium Battery 15 KWh, 3000VA, 150/45 MPPT</v>
          </cell>
          <cell r="D2396" t="str">
            <v>K32.3000.G.150-45</v>
          </cell>
          <cell r="F2396">
            <v>17826.997719008261</v>
          </cell>
          <cell r="G2396">
            <v>9804.8487454545448</v>
          </cell>
          <cell r="H2396" t="str">
            <v>0-ecoCool</v>
          </cell>
          <cell r="I2396">
            <v>0.45</v>
          </cell>
        </row>
        <row r="2397">
          <cell r="A2397" t="str">
            <v>K32.5000.G.100-45</v>
          </cell>
          <cell r="B2397" t="str">
            <v>ecoCool K32 Lithium Battery 10 KWh, 5000VA, 150/45 MPPT</v>
          </cell>
          <cell r="D2397" t="str">
            <v>K32.5000.G.100-45</v>
          </cell>
          <cell r="F2397">
            <v>15098.848264462807</v>
          </cell>
          <cell r="G2397">
            <v>8304.3665454545444</v>
          </cell>
          <cell r="H2397" t="str">
            <v>0-ecoCool</v>
          </cell>
          <cell r="I2397">
            <v>0.45</v>
          </cell>
        </row>
        <row r="2398">
          <cell r="A2398" t="str">
            <v>K32.5000.G.150-45</v>
          </cell>
          <cell r="B2398" t="str">
            <v>ecoCool K32 Lithium Battery 15 KWh, 5000VA, 150/45 MPPT</v>
          </cell>
          <cell r="D2398" t="str">
            <v>K32.5000.G.150-45</v>
          </cell>
          <cell r="F2398">
            <v>18917.030082644626</v>
          </cell>
          <cell r="G2398">
            <v>10404.366545454544</v>
          </cell>
          <cell r="H2398" t="str">
            <v>0-ecoCool</v>
          </cell>
          <cell r="I2398">
            <v>0.45</v>
          </cell>
        </row>
        <row r="2399">
          <cell r="A2399" t="str">
            <v>K32A.2000.50</v>
          </cell>
          <cell r="B2399" t="str">
            <v>ecoCool K32A Lithium Battery 5 KWh, 2000VA Output</v>
          </cell>
          <cell r="D2399" t="str">
            <v>K32A.2000.50</v>
          </cell>
          <cell r="F2399">
            <v>7657.3145757575767</v>
          </cell>
          <cell r="G2399">
            <v>4594.3887454545456</v>
          </cell>
          <cell r="H2399" t="str">
            <v>0-ecoCool</v>
          </cell>
          <cell r="I2399">
            <v>0.4</v>
          </cell>
        </row>
        <row r="2400">
          <cell r="A2400" t="str">
            <v>K32A.2000.100</v>
          </cell>
          <cell r="B2400" t="str">
            <v>ecoCool K32A Lithium Battery 10 KWh, 2000VA Output</v>
          </cell>
          <cell r="D2400" t="str">
            <v>K32A.2000.100</v>
          </cell>
          <cell r="F2400">
            <v>11157.314575757577</v>
          </cell>
          <cell r="G2400">
            <v>6694.3887454545456</v>
          </cell>
          <cell r="H2400" t="str">
            <v>0-ecoCool</v>
          </cell>
          <cell r="I2400">
            <v>0.4</v>
          </cell>
        </row>
        <row r="2401">
          <cell r="A2401" t="str">
            <v>K32A.3000.50</v>
          </cell>
          <cell r="B2401" t="str">
            <v>ecoCool K32A Lithium Battery 5 KWh, 3000VA Output</v>
          </cell>
          <cell r="D2401" t="str">
            <v>K32A.3000.50</v>
          </cell>
          <cell r="F2401">
            <v>9861.9068099173546</v>
          </cell>
          <cell r="G2401">
            <v>5424.0487454545455</v>
          </cell>
          <cell r="H2401" t="str">
            <v>0-ecoCool</v>
          </cell>
          <cell r="I2401">
            <v>0.45</v>
          </cell>
        </row>
        <row r="2402">
          <cell r="A2402" t="str">
            <v>K32A.3000.100</v>
          </cell>
          <cell r="B2402" t="str">
            <v>ecoCool K32A Lithium Battery 10KWh, 3000VA Output</v>
          </cell>
          <cell r="D2402" t="str">
            <v>K32A.3000.100</v>
          </cell>
          <cell r="F2402">
            <v>13680.088628099173</v>
          </cell>
          <cell r="G2402">
            <v>7524.0487454545455</v>
          </cell>
          <cell r="H2402" t="str">
            <v>0-ecoCool</v>
          </cell>
          <cell r="I2402">
            <v>0.45</v>
          </cell>
        </row>
        <row r="2403">
          <cell r="A2403" t="str">
            <v>K32A.3000.150</v>
          </cell>
          <cell r="B2403" t="str">
            <v>ecoCool K32A Lithium Battery 15 KWh, 3000VA Output</v>
          </cell>
          <cell r="D2403" t="str">
            <v>K32A.3000.150</v>
          </cell>
          <cell r="F2403">
            <v>17498.270446280989</v>
          </cell>
          <cell r="G2403">
            <v>9624.0487454545455</v>
          </cell>
          <cell r="H2403" t="str">
            <v>0-ecoCool</v>
          </cell>
          <cell r="I2403">
            <v>0.45</v>
          </cell>
        </row>
        <row r="2404">
          <cell r="A2404" t="str">
            <v>K32A.5000.100</v>
          </cell>
          <cell r="B2404" t="str">
            <v>ecoCool K32A Lithium Battery 10 KWh, 5000VA Output</v>
          </cell>
          <cell r="D2404" t="str">
            <v>K32A.5000.100</v>
          </cell>
          <cell r="F2404">
            <v>14770.120991735535</v>
          </cell>
          <cell r="G2404">
            <v>8123.5665454545451</v>
          </cell>
          <cell r="H2404" t="str">
            <v>0-ecoCool</v>
          </cell>
          <cell r="I2404">
            <v>0.45</v>
          </cell>
        </row>
        <row r="2405">
          <cell r="A2405" t="str">
            <v>K32A.5000.150</v>
          </cell>
          <cell r="B2405" t="str">
            <v>ecoCool K32A Lithium Battery 15 KWh, 5000VA Output</v>
          </cell>
          <cell r="D2405" t="str">
            <v>K32A.5000.150</v>
          </cell>
          <cell r="F2405">
            <v>18588.302809917353</v>
          </cell>
          <cell r="G2405">
            <v>10223.566545454545</v>
          </cell>
          <cell r="H2405" t="str">
            <v>0-ecoCool</v>
          </cell>
          <cell r="I2405">
            <v>0.45</v>
          </cell>
        </row>
        <row r="2406">
          <cell r="A2406" t="str">
            <v>K32C.1200.29</v>
          </cell>
          <cell r="B2406" t="str">
            <v>ecoCool K32C AGM Battery 2.9KWh, 1200VA UPS</v>
          </cell>
          <cell r="D2406" t="str">
            <v>K32C.1200.29</v>
          </cell>
          <cell r="F2406">
            <v>4116.924242424242</v>
          </cell>
          <cell r="G2406">
            <v>2264.3083333333334</v>
          </cell>
          <cell r="H2406" t="str">
            <v>0-ecoCool</v>
          </cell>
          <cell r="I2406">
            <v>0.45</v>
          </cell>
        </row>
        <row r="2407">
          <cell r="A2407" t="str">
            <v>K32C.2000.58</v>
          </cell>
          <cell r="B2407" t="str">
            <v>ecoCool K32C AGM Battery 5.8KWh, 2000VA UPS</v>
          </cell>
          <cell r="D2407" t="str">
            <v>K32C.2000.58</v>
          </cell>
          <cell r="F2407">
            <v>5586.6704462809921</v>
          </cell>
          <cell r="G2407">
            <v>3072.6687454545458</v>
          </cell>
          <cell r="H2407" t="str">
            <v>0-ecoCool</v>
          </cell>
          <cell r="I2407">
            <v>0.45</v>
          </cell>
        </row>
        <row r="2408">
          <cell r="A2408" t="str">
            <v>K32C.3000.58</v>
          </cell>
          <cell r="B2408" t="str">
            <v>ecoCool K32C AGM Battery 5.8KWh, 3000VA UPS</v>
          </cell>
          <cell r="D2408" t="str">
            <v>K32C.3000.58</v>
          </cell>
          <cell r="F2408">
            <v>6490.597719008264</v>
          </cell>
          <cell r="G2408">
            <v>3569.8287454545452</v>
          </cell>
          <cell r="H2408" t="str">
            <v>0-ecoCool</v>
          </cell>
          <cell r="I2408">
            <v>0.45</v>
          </cell>
        </row>
        <row r="2409">
          <cell r="A2409" t="str">
            <v>K32C.5000.82</v>
          </cell>
          <cell r="B2409" t="str">
            <v>ecoCool K32C AGM Battery 8.2KWh, 5000VA UPS</v>
          </cell>
          <cell r="D2409" t="str">
            <v>K32C.5000.82</v>
          </cell>
          <cell r="F2409">
            <v>10867.684628099172</v>
          </cell>
          <cell r="G2409">
            <v>5977.226545454545</v>
          </cell>
          <cell r="H2409" t="str">
            <v>0-ecoCool</v>
          </cell>
          <cell r="I2409">
            <v>0.45</v>
          </cell>
        </row>
        <row r="2410">
          <cell r="A2410" t="str">
            <v>K32C.8000.82</v>
          </cell>
          <cell r="B2410" t="str">
            <v>ecoCool K32C AGM Battery 8.2KWh, 8000VA UPS</v>
          </cell>
          <cell r="D2410" t="str">
            <v>K32C.8000.82</v>
          </cell>
          <cell r="F2410">
            <v>12814.604628099172</v>
          </cell>
          <cell r="G2410">
            <v>7048.0325454545455</v>
          </cell>
          <cell r="H2410" t="str">
            <v>0-ecoCool</v>
          </cell>
          <cell r="I2410">
            <v>0.45</v>
          </cell>
        </row>
        <row r="2411">
          <cell r="A2411" t="str">
            <v>K32.EXP.00</v>
          </cell>
          <cell r="B2411" t="str">
            <v>ecoCool K32 0KWh Expansion 3 Module Enclosure</v>
          </cell>
          <cell r="D2411" t="str">
            <v>K32.EXP.00</v>
          </cell>
          <cell r="F2411">
            <v>982.6545454545452</v>
          </cell>
          <cell r="G2411">
            <v>540.45999999999992</v>
          </cell>
          <cell r="H2411" t="str">
            <v>0-ecoCool</v>
          </cell>
          <cell r="I2411">
            <v>0.45</v>
          </cell>
        </row>
        <row r="2412">
          <cell r="A2412" t="str">
            <v>K32.EXP.50</v>
          </cell>
          <cell r="B2412" t="str">
            <v>ecoCool K32 5KWh Expansion 3 Module Enclosure</v>
          </cell>
          <cell r="D2412" t="str">
            <v>K32.EXP.50</v>
          </cell>
          <cell r="F2412">
            <v>4800.8363636363629</v>
          </cell>
          <cell r="G2412">
            <v>2640.46</v>
          </cell>
          <cell r="H2412" t="str">
            <v>0-ecoCool</v>
          </cell>
          <cell r="I2412">
            <v>0.45</v>
          </cell>
        </row>
        <row r="2413">
          <cell r="A2413" t="str">
            <v>K32.EXP.100</v>
          </cell>
          <cell r="B2413" t="str">
            <v>ecoCool K32 10KWh Expansion 3 Module Enclosure</v>
          </cell>
          <cell r="D2413" t="str">
            <v>K32.EXP.100</v>
          </cell>
          <cell r="F2413">
            <v>8619.0181818181809</v>
          </cell>
          <cell r="G2413">
            <v>4740.46</v>
          </cell>
          <cell r="H2413" t="str">
            <v>0-ecoCool</v>
          </cell>
          <cell r="I2413">
            <v>0.45</v>
          </cell>
        </row>
        <row r="2414">
          <cell r="A2414" t="str">
            <v>K32.EXP.150</v>
          </cell>
          <cell r="B2414" t="str">
            <v>ecoCool K32 15KWh Expansion 3 Module Enclosure</v>
          </cell>
          <cell r="D2414" t="str">
            <v>K32.EXP.150</v>
          </cell>
          <cell r="F2414">
            <v>12437.199999999999</v>
          </cell>
          <cell r="G2414">
            <v>6840.46</v>
          </cell>
          <cell r="H2414" t="str">
            <v>0-ecoCool</v>
          </cell>
          <cell r="I2414">
            <v>0.45</v>
          </cell>
        </row>
        <row r="2415">
          <cell r="A2415" t="str">
            <v>K33.3000.G.50</v>
          </cell>
          <cell r="B2415" t="str">
            <v>ecoCool K33 Lithium Battery 5 KWh, 3000VA</v>
          </cell>
          <cell r="D2415" t="str">
            <v>K33.3000.G.50</v>
          </cell>
          <cell r="F2415">
            <v>9941.9068099173546</v>
          </cell>
          <cell r="G2415">
            <v>5468.0487454545455</v>
          </cell>
          <cell r="H2415" t="str">
            <v>0-ecoCool</v>
          </cell>
          <cell r="I2415">
            <v>0.45</v>
          </cell>
        </row>
        <row r="2416">
          <cell r="A2416" t="str">
            <v>K33.3000.G.100</v>
          </cell>
          <cell r="B2416" t="str">
            <v>ecoCool K33 Lithium Battery 10 KWh, 3000VA</v>
          </cell>
          <cell r="D2416" t="str">
            <v>K33.3000.G.100</v>
          </cell>
          <cell r="F2416">
            <v>13760.088628099173</v>
          </cell>
          <cell r="G2416">
            <v>7568.0487454545455</v>
          </cell>
          <cell r="H2416" t="str">
            <v>0-ecoCool</v>
          </cell>
          <cell r="I2416">
            <v>0.45</v>
          </cell>
        </row>
        <row r="2417">
          <cell r="A2417" t="str">
            <v>K33.5000.G.100</v>
          </cell>
          <cell r="B2417" t="str">
            <v>ecoCool K33 Lithium Battery 10 KWh, 5000VA</v>
          </cell>
          <cell r="D2417" t="str">
            <v>K33.5000.G.100</v>
          </cell>
          <cell r="F2417">
            <v>14852.528264462808</v>
          </cell>
          <cell r="G2417">
            <v>8168.8905454545447</v>
          </cell>
          <cell r="H2417" t="str">
            <v>0-ecoCool</v>
          </cell>
          <cell r="I2417">
            <v>0.45</v>
          </cell>
        </row>
        <row r="2418">
          <cell r="A2418" t="str">
            <v>K33.5000.G.150</v>
          </cell>
          <cell r="B2418" t="str">
            <v>ecoCool K33 Lithium Battery 15 KWh, 5000VA</v>
          </cell>
          <cell r="D2418" t="str">
            <v>K33.5000.G.150</v>
          </cell>
          <cell r="F2418">
            <v>18670.710082644626</v>
          </cell>
          <cell r="G2418">
            <v>10268.890545454546</v>
          </cell>
          <cell r="H2418" t="str">
            <v>0-ecoCool</v>
          </cell>
          <cell r="I2418">
            <v>0.45</v>
          </cell>
        </row>
        <row r="2419">
          <cell r="A2419" t="str">
            <v>K33.8000.G.150</v>
          </cell>
          <cell r="B2419" t="str">
            <v>ecoCool K33 Lithium Battery 15 KWh, 8000VA</v>
          </cell>
          <cell r="D2419" t="str">
            <v>K33.8000.G.150</v>
          </cell>
          <cell r="F2419">
            <v>20994.895537190081</v>
          </cell>
          <cell r="G2419">
            <v>11547.192545454545</v>
          </cell>
          <cell r="H2419" t="str">
            <v>0-ecoCool</v>
          </cell>
          <cell r="I2419">
            <v>0.45</v>
          </cell>
        </row>
        <row r="2420">
          <cell r="A2420" t="str">
            <v>K33.10000.G.200</v>
          </cell>
          <cell r="B2420" t="str">
            <v>ecoCool K33 Lithium Battery 20 KWh, 10000VA</v>
          </cell>
          <cell r="D2420" t="str">
            <v>K33.10000.G.200</v>
          </cell>
          <cell r="F2420">
            <v>33446.809790209794</v>
          </cell>
          <cell r="G2420">
            <v>17392.341090909093</v>
          </cell>
          <cell r="H2420" t="str">
            <v>0-ecoCool</v>
          </cell>
          <cell r="I2420">
            <v>0.48</v>
          </cell>
        </row>
        <row r="2421">
          <cell r="A2421" t="str">
            <v>K33.15000.G.250</v>
          </cell>
          <cell r="B2421" t="str">
            <v>ecoCool K33 Lithium Battery 25 KWh, 15000VA</v>
          </cell>
          <cell r="D2421" t="str">
            <v>K33.15000.G.250</v>
          </cell>
          <cell r="F2421">
            <v>39653.540559440553</v>
          </cell>
          <cell r="G2421">
            <v>20619.841090909089</v>
          </cell>
          <cell r="H2421" t="str">
            <v>0-ecoCool</v>
          </cell>
          <cell r="I2421">
            <v>0.48</v>
          </cell>
        </row>
        <row r="2422">
          <cell r="A2422" t="str">
            <v>K33.15000-3.G.250</v>
          </cell>
          <cell r="B2422" t="str">
            <v>ecoCool K33 Lithium Battery 25 KWh, 15000VA 3ph</v>
          </cell>
          <cell r="D2422" t="str">
            <v>K33.15000-3.G.250</v>
          </cell>
          <cell r="F2422">
            <v>62603.391841491837</v>
          </cell>
          <cell r="G2422">
            <v>32553.763757575758</v>
          </cell>
          <cell r="H2422" t="str">
            <v>0-ecoCool</v>
          </cell>
          <cell r="I2422">
            <v>0.48</v>
          </cell>
        </row>
        <row r="2423">
          <cell r="A2423" t="str">
            <v>K33.30000-3.G.300</v>
          </cell>
          <cell r="B2423" t="str">
            <v>ecoCool K33 Lithium Battery 30 KWh, 30000VA 3ph</v>
          </cell>
          <cell r="D2423" t="str">
            <v>K33.30000-3.G.300</v>
          </cell>
          <cell r="F2423">
            <v>60137.045687645696</v>
          </cell>
          <cell r="G2423">
            <v>31271.263757575762</v>
          </cell>
          <cell r="H2423" t="str">
            <v>0-ecoCool</v>
          </cell>
          <cell r="I2423">
            <v>0.48</v>
          </cell>
        </row>
        <row r="2424">
          <cell r="A2424" t="str">
            <v>K33.45000-3.G.500</v>
          </cell>
          <cell r="B2424" t="str">
            <v>ecoCool K33 Lithium Battery 50 KWh, 45000VA 3ph</v>
          </cell>
          <cell r="D2424" t="str">
            <v>K33.45000-3.G.500</v>
          </cell>
          <cell r="F2424">
            <v>84391.521212121195</v>
          </cell>
          <cell r="G2424">
            <v>43883.591030303025</v>
          </cell>
          <cell r="H2424" t="str">
            <v>0-ecoCool</v>
          </cell>
          <cell r="I2424">
            <v>0.48</v>
          </cell>
        </row>
        <row r="2425">
          <cell r="A2425" t="str">
            <v>M----</v>
          </cell>
          <cell r="D2425" t="e">
            <v>#N/A</v>
          </cell>
          <cell r="F2425">
            <v>0</v>
          </cell>
          <cell r="G2425">
            <v>0</v>
          </cell>
          <cell r="I2425">
            <v>0</v>
          </cell>
        </row>
        <row r="2426">
          <cell r="A2426" t="str">
            <v>M0001</v>
          </cell>
          <cell r="D2426">
            <v>0</v>
          </cell>
          <cell r="F2426">
            <v>0</v>
          </cell>
          <cell r="G2426">
            <v>0</v>
          </cell>
          <cell r="I2426">
            <v>0</v>
          </cell>
        </row>
        <row r="2427">
          <cell r="A2427" t="str">
            <v>M0002</v>
          </cell>
          <cell r="D2427" t="str">
            <v>Fig8-0.75</v>
          </cell>
          <cell r="F2427">
            <v>0.30769230769230771</v>
          </cell>
          <cell r="G2427">
            <v>0.2</v>
          </cell>
          <cell r="H2427" t="str">
            <v>6-Various</v>
          </cell>
          <cell r="I2427">
            <v>0.35</v>
          </cell>
        </row>
        <row r="2428">
          <cell r="A2428" t="str">
            <v>M0003</v>
          </cell>
          <cell r="D2428">
            <v>0</v>
          </cell>
          <cell r="F2428">
            <v>0</v>
          </cell>
          <cell r="G2428">
            <v>0</v>
          </cell>
          <cell r="I2428">
            <v>0</v>
          </cell>
        </row>
        <row r="2429">
          <cell r="A2429" t="str">
            <v>M0004</v>
          </cell>
          <cell r="D2429">
            <v>0</v>
          </cell>
          <cell r="F2429">
            <v>0</v>
          </cell>
          <cell r="G2429">
            <v>0</v>
          </cell>
          <cell r="I2429">
            <v>0</v>
          </cell>
        </row>
        <row r="2430">
          <cell r="A2430" t="str">
            <v>M0005</v>
          </cell>
          <cell r="D2430">
            <v>0</v>
          </cell>
          <cell r="F2430">
            <v>0</v>
          </cell>
          <cell r="G2430">
            <v>0</v>
          </cell>
          <cell r="I2430">
            <v>0</v>
          </cell>
        </row>
        <row r="2431">
          <cell r="A2431" t="str">
            <v>M0006</v>
          </cell>
          <cell r="D2431">
            <v>0</v>
          </cell>
          <cell r="F2431">
            <v>0</v>
          </cell>
          <cell r="G2431">
            <v>0</v>
          </cell>
          <cell r="H2431" t="str">
            <v>6-Various</v>
          </cell>
          <cell r="I2431">
            <v>0</v>
          </cell>
        </row>
        <row r="2432">
          <cell r="A2432" t="str">
            <v>M0007</v>
          </cell>
          <cell r="D2432">
            <v>0</v>
          </cell>
          <cell r="F2432">
            <v>0</v>
          </cell>
          <cell r="G2432">
            <v>0</v>
          </cell>
          <cell r="I2432">
            <v>0</v>
          </cell>
        </row>
        <row r="2433">
          <cell r="A2433" t="str">
            <v>M0008</v>
          </cell>
          <cell r="D2433">
            <v>0</v>
          </cell>
          <cell r="F2433">
            <v>0</v>
          </cell>
          <cell r="G2433">
            <v>0</v>
          </cell>
          <cell r="I2433">
            <v>0</v>
          </cell>
        </row>
        <row r="2434">
          <cell r="A2434" t="str">
            <v>M0009</v>
          </cell>
          <cell r="D2434">
            <v>0</v>
          </cell>
          <cell r="F2434">
            <v>0</v>
          </cell>
          <cell r="G2434">
            <v>0</v>
          </cell>
          <cell r="I2434">
            <v>0</v>
          </cell>
        </row>
        <row r="2435">
          <cell r="A2435" t="str">
            <v>M0010</v>
          </cell>
          <cell r="D2435">
            <v>0</v>
          </cell>
          <cell r="F2435">
            <v>0</v>
          </cell>
          <cell r="G2435">
            <v>0</v>
          </cell>
          <cell r="I2435">
            <v>0</v>
          </cell>
        </row>
        <row r="2436">
          <cell r="A2436" t="str">
            <v>M0011</v>
          </cell>
          <cell r="D2436">
            <v>0</v>
          </cell>
          <cell r="F2436">
            <v>0</v>
          </cell>
          <cell r="G2436">
            <v>0</v>
          </cell>
          <cell r="I2436">
            <v>0</v>
          </cell>
        </row>
        <row r="2437">
          <cell r="A2437" t="str">
            <v>M0012</v>
          </cell>
          <cell r="D2437">
            <v>0</v>
          </cell>
          <cell r="F2437">
            <v>0</v>
          </cell>
          <cell r="G2437">
            <v>0</v>
          </cell>
          <cell r="I2437">
            <v>0</v>
          </cell>
        </row>
        <row r="2438">
          <cell r="A2438" t="str">
            <v>M0013</v>
          </cell>
          <cell r="D2438" t="str">
            <v>WH3080</v>
          </cell>
          <cell r="F2438">
            <v>4.1258741258741258</v>
          </cell>
          <cell r="G2438">
            <v>2.6818181818181817</v>
          </cell>
          <cell r="H2438" t="str">
            <v>6-Various</v>
          </cell>
          <cell r="I2438">
            <v>0.35</v>
          </cell>
        </row>
        <row r="2439">
          <cell r="A2439" t="str">
            <v>M0014</v>
          </cell>
          <cell r="D2439">
            <v>0</v>
          </cell>
          <cell r="F2439">
            <v>0</v>
          </cell>
          <cell r="G2439">
            <v>0</v>
          </cell>
          <cell r="I2439">
            <v>0</v>
          </cell>
        </row>
        <row r="2440">
          <cell r="A2440" t="str">
            <v>M0015</v>
          </cell>
          <cell r="D2440">
            <v>0</v>
          </cell>
          <cell r="F2440">
            <v>0</v>
          </cell>
          <cell r="G2440">
            <v>0</v>
          </cell>
          <cell r="I2440">
            <v>0</v>
          </cell>
        </row>
        <row r="2441">
          <cell r="A2441" t="str">
            <v>M0016</v>
          </cell>
          <cell r="D2441">
            <v>0</v>
          </cell>
          <cell r="F2441">
            <v>0</v>
          </cell>
          <cell r="G2441">
            <v>0</v>
          </cell>
          <cell r="I2441">
            <v>0</v>
          </cell>
        </row>
        <row r="2442">
          <cell r="A2442" t="str">
            <v>M0017</v>
          </cell>
          <cell r="D2442">
            <v>0</v>
          </cell>
          <cell r="F2442">
            <v>0</v>
          </cell>
          <cell r="G2442">
            <v>0</v>
          </cell>
          <cell r="I2442">
            <v>0</v>
          </cell>
        </row>
        <row r="2443">
          <cell r="A2443" t="str">
            <v>M0018</v>
          </cell>
          <cell r="D2443">
            <v>0</v>
          </cell>
          <cell r="F2443">
            <v>0</v>
          </cell>
          <cell r="G2443">
            <v>0</v>
          </cell>
          <cell r="I2443">
            <v>0</v>
          </cell>
        </row>
        <row r="2444">
          <cell r="A2444" t="str">
            <v>M0019</v>
          </cell>
          <cell r="D2444">
            <v>0</v>
          </cell>
          <cell r="F2444">
            <v>0</v>
          </cell>
          <cell r="G2444">
            <v>0</v>
          </cell>
          <cell r="I2444">
            <v>0</v>
          </cell>
        </row>
        <row r="2445">
          <cell r="A2445" t="str">
            <v>M0020</v>
          </cell>
          <cell r="D2445">
            <v>0</v>
          </cell>
          <cell r="F2445">
            <v>0</v>
          </cell>
          <cell r="G2445">
            <v>0</v>
          </cell>
          <cell r="I2445">
            <v>0</v>
          </cell>
        </row>
        <row r="2446">
          <cell r="A2446" t="str">
            <v>M0021</v>
          </cell>
          <cell r="D2446">
            <v>0</v>
          </cell>
          <cell r="F2446">
            <v>0</v>
          </cell>
          <cell r="G2446">
            <v>0</v>
          </cell>
          <cell r="I2446">
            <v>0</v>
          </cell>
        </row>
        <row r="2447">
          <cell r="A2447" t="str">
            <v>M0022</v>
          </cell>
          <cell r="D2447">
            <v>0</v>
          </cell>
          <cell r="F2447">
            <v>0</v>
          </cell>
          <cell r="G2447">
            <v>0</v>
          </cell>
          <cell r="I2447">
            <v>0</v>
          </cell>
        </row>
        <row r="2448">
          <cell r="A2448" t="str">
            <v>M0023</v>
          </cell>
          <cell r="D2448">
            <v>0</v>
          </cell>
          <cell r="F2448">
            <v>0</v>
          </cell>
          <cell r="G2448">
            <v>0</v>
          </cell>
          <cell r="I2448">
            <v>0</v>
          </cell>
        </row>
        <row r="2449">
          <cell r="A2449" t="str">
            <v>M0024</v>
          </cell>
          <cell r="D2449">
            <v>0</v>
          </cell>
          <cell r="F2449">
            <v>0</v>
          </cell>
          <cell r="G2449">
            <v>0</v>
          </cell>
          <cell r="I2449">
            <v>0</v>
          </cell>
        </row>
        <row r="2450">
          <cell r="A2450" t="str">
            <v>M0025</v>
          </cell>
          <cell r="D2450">
            <v>0</v>
          </cell>
          <cell r="F2450">
            <v>0</v>
          </cell>
          <cell r="G2450">
            <v>0</v>
          </cell>
          <cell r="I2450">
            <v>0</v>
          </cell>
        </row>
        <row r="2451">
          <cell r="A2451" t="str">
            <v>M0026</v>
          </cell>
          <cell r="D2451">
            <v>0</v>
          </cell>
          <cell r="F2451">
            <v>0</v>
          </cell>
          <cell r="G2451">
            <v>0</v>
          </cell>
          <cell r="I2451">
            <v>0</v>
          </cell>
        </row>
        <row r="2452">
          <cell r="A2452" t="str">
            <v>M0027</v>
          </cell>
          <cell r="D2452">
            <v>0</v>
          </cell>
          <cell r="F2452">
            <v>0</v>
          </cell>
          <cell r="G2452">
            <v>0</v>
          </cell>
          <cell r="I2452">
            <v>0</v>
          </cell>
        </row>
        <row r="2453">
          <cell r="A2453" t="str">
            <v>M0028</v>
          </cell>
          <cell r="D2453">
            <v>0</v>
          </cell>
          <cell r="F2453">
            <v>0</v>
          </cell>
          <cell r="G2453">
            <v>0</v>
          </cell>
          <cell r="I2453">
            <v>0</v>
          </cell>
        </row>
        <row r="2454">
          <cell r="A2454" t="str">
            <v>M0029</v>
          </cell>
          <cell r="D2454">
            <v>0</v>
          </cell>
          <cell r="F2454">
            <v>0</v>
          </cell>
          <cell r="G2454">
            <v>0</v>
          </cell>
          <cell r="I2454">
            <v>0</v>
          </cell>
        </row>
        <row r="2455">
          <cell r="A2455" t="str">
            <v>M0030</v>
          </cell>
          <cell r="D2455">
            <v>0</v>
          </cell>
          <cell r="F2455">
            <v>0</v>
          </cell>
          <cell r="G2455">
            <v>0</v>
          </cell>
          <cell r="I2455">
            <v>0</v>
          </cell>
        </row>
        <row r="2456">
          <cell r="A2456" t="str">
            <v>M0031</v>
          </cell>
          <cell r="D2456">
            <v>0</v>
          </cell>
          <cell r="F2456">
            <v>0</v>
          </cell>
          <cell r="G2456">
            <v>0</v>
          </cell>
          <cell r="I2456">
            <v>0</v>
          </cell>
        </row>
        <row r="2457">
          <cell r="A2457" t="str">
            <v>M0032</v>
          </cell>
          <cell r="D2457">
            <v>0</v>
          </cell>
          <cell r="F2457">
            <v>0</v>
          </cell>
          <cell r="G2457">
            <v>0</v>
          </cell>
          <cell r="I2457">
            <v>0</v>
          </cell>
        </row>
        <row r="2458">
          <cell r="A2458" t="str">
            <v>M0033</v>
          </cell>
          <cell r="D2458">
            <v>0</v>
          </cell>
          <cell r="F2458">
            <v>0</v>
          </cell>
          <cell r="G2458">
            <v>0</v>
          </cell>
          <cell r="I2458">
            <v>0</v>
          </cell>
        </row>
        <row r="2459">
          <cell r="A2459" t="str">
            <v>M0034</v>
          </cell>
          <cell r="D2459">
            <v>0</v>
          </cell>
          <cell r="F2459">
            <v>0</v>
          </cell>
          <cell r="G2459">
            <v>0</v>
          </cell>
          <cell r="I2459">
            <v>0</v>
          </cell>
        </row>
        <row r="2460">
          <cell r="A2460" t="str">
            <v>M0035</v>
          </cell>
          <cell r="D2460">
            <v>0</v>
          </cell>
          <cell r="F2460">
            <v>0</v>
          </cell>
          <cell r="G2460">
            <v>0</v>
          </cell>
          <cell r="I2460">
            <v>0</v>
          </cell>
        </row>
        <row r="2461">
          <cell r="A2461" t="str">
            <v>M0036</v>
          </cell>
          <cell r="D2461" t="str">
            <v>Cab-RED-25</v>
          </cell>
          <cell r="F2461">
            <v>8.2461538461538471</v>
          </cell>
          <cell r="G2461">
            <v>5.36</v>
          </cell>
          <cell r="H2461" t="str">
            <v>6-Various</v>
          </cell>
          <cell r="I2461">
            <v>0.35</v>
          </cell>
        </row>
        <row r="2462">
          <cell r="A2462" t="str">
            <v>M0037</v>
          </cell>
          <cell r="D2462" t="str">
            <v>Cab-BLK-25</v>
          </cell>
          <cell r="F2462">
            <v>8.2461538461538471</v>
          </cell>
          <cell r="G2462">
            <v>5.36</v>
          </cell>
          <cell r="H2462" t="str">
            <v>6-Various</v>
          </cell>
          <cell r="I2462">
            <v>0.35</v>
          </cell>
        </row>
        <row r="2463">
          <cell r="A2463" t="str">
            <v>M0038</v>
          </cell>
          <cell r="D2463">
            <v>0</v>
          </cell>
          <cell r="F2463">
            <v>0</v>
          </cell>
          <cell r="G2463">
            <v>0</v>
          </cell>
          <cell r="I2463">
            <v>0</v>
          </cell>
        </row>
        <row r="2464">
          <cell r="A2464" t="str">
            <v>M0039</v>
          </cell>
          <cell r="D2464">
            <v>0</v>
          </cell>
          <cell r="F2464">
            <v>0</v>
          </cell>
          <cell r="G2464">
            <v>0</v>
          </cell>
          <cell r="I2464">
            <v>0</v>
          </cell>
        </row>
        <row r="2465">
          <cell r="A2465" t="str">
            <v>M0040</v>
          </cell>
          <cell r="D2465" t="str">
            <v>4MMTWINDC</v>
          </cell>
          <cell r="F2465">
            <v>167.64705882352942</v>
          </cell>
          <cell r="G2465">
            <v>114</v>
          </cell>
          <cell r="H2465" t="str">
            <v>3-Tradezone</v>
          </cell>
          <cell r="I2465">
            <v>0.32</v>
          </cell>
        </row>
        <row r="2466">
          <cell r="A2466" t="str">
            <v>M0041</v>
          </cell>
          <cell r="D2466">
            <v>0</v>
          </cell>
          <cell r="F2466">
            <v>0</v>
          </cell>
          <cell r="G2466">
            <v>0</v>
          </cell>
          <cell r="I2466">
            <v>0</v>
          </cell>
        </row>
        <row r="2467">
          <cell r="A2467" t="str">
            <v>M0042</v>
          </cell>
          <cell r="D2467">
            <v>0</v>
          </cell>
          <cell r="F2467">
            <v>0</v>
          </cell>
          <cell r="G2467">
            <v>0</v>
          </cell>
          <cell r="I2467">
            <v>0</v>
          </cell>
        </row>
        <row r="2468">
          <cell r="A2468" t="str">
            <v>M0043</v>
          </cell>
          <cell r="D2468" t="str">
            <v>Cab-BLK-16</v>
          </cell>
          <cell r="F2468">
            <v>0</v>
          </cell>
          <cell r="G2468">
            <v>0</v>
          </cell>
          <cell r="H2468" t="str">
            <v>6-Various</v>
          </cell>
          <cell r="I2468">
            <v>0</v>
          </cell>
        </row>
        <row r="2469">
          <cell r="A2469" t="str">
            <v>M0044</v>
          </cell>
          <cell r="D2469" t="str">
            <v>EBS2</v>
          </cell>
          <cell r="F2469">
            <v>10.938461538461539</v>
          </cell>
          <cell r="G2469">
            <v>7.11</v>
          </cell>
          <cell r="H2469" t="str">
            <v>3-Tradezone</v>
          </cell>
          <cell r="I2469">
            <v>0.35</v>
          </cell>
        </row>
        <row r="2470">
          <cell r="A2470" t="str">
            <v>M0045</v>
          </cell>
          <cell r="D2470" t="str">
            <v>Elteca13-RD</v>
          </cell>
          <cell r="F2470">
            <v>4.615384615384615</v>
          </cell>
          <cell r="G2470">
            <v>3</v>
          </cell>
          <cell r="H2470" t="str">
            <v>6-Various</v>
          </cell>
          <cell r="I2470">
            <v>0.35</v>
          </cell>
        </row>
        <row r="2471">
          <cell r="A2471" t="str">
            <v>M0046</v>
          </cell>
          <cell r="D2471" t="e">
            <v>#N/A</v>
          </cell>
          <cell r="F2471">
            <v>0</v>
          </cell>
          <cell r="G2471">
            <v>0</v>
          </cell>
          <cell r="H2471" t="str">
            <v>6-Various</v>
          </cell>
          <cell r="I2471">
            <v>0</v>
          </cell>
        </row>
        <row r="2472">
          <cell r="A2472" t="str">
            <v>M0047</v>
          </cell>
          <cell r="D2472" t="e">
            <v>#N/A</v>
          </cell>
          <cell r="F2472">
            <v>0</v>
          </cell>
          <cell r="G2472">
            <v>0</v>
          </cell>
          <cell r="I2472">
            <v>0</v>
          </cell>
        </row>
        <row r="2473">
          <cell r="A2473" t="str">
            <v>M0048</v>
          </cell>
          <cell r="D2473" t="e">
            <v>#N/A</v>
          </cell>
          <cell r="F2473">
            <v>0</v>
          </cell>
          <cell r="G2473">
            <v>0</v>
          </cell>
          <cell r="I2473">
            <v>0</v>
          </cell>
        </row>
        <row r="2474">
          <cell r="A2474" t="str">
            <v>M0049</v>
          </cell>
          <cell r="D2474" t="e">
            <v>#N/A</v>
          </cell>
          <cell r="F2474">
            <v>0</v>
          </cell>
          <cell r="G2474">
            <v>0</v>
          </cell>
          <cell r="I2474">
            <v>0</v>
          </cell>
        </row>
        <row r="2475">
          <cell r="A2475" t="str">
            <v>M0050</v>
          </cell>
          <cell r="D2475" t="str">
            <v>EBS0</v>
          </cell>
          <cell r="F2475">
            <v>16.523076923076921</v>
          </cell>
          <cell r="G2475">
            <v>10.74</v>
          </cell>
          <cell r="H2475" t="str">
            <v>3-Tradezone</v>
          </cell>
          <cell r="I2475">
            <v>0.35</v>
          </cell>
        </row>
        <row r="2476">
          <cell r="A2476" t="str">
            <v>M0051</v>
          </cell>
          <cell r="D2476" t="str">
            <v>TWO25Red-black</v>
          </cell>
          <cell r="F2476">
            <v>32.430379746835442</v>
          </cell>
          <cell r="G2476">
            <v>12.81</v>
          </cell>
          <cell r="H2476" t="str">
            <v>6-Various</v>
          </cell>
          <cell r="I2476">
            <v>0.35</v>
          </cell>
        </row>
        <row r="2477">
          <cell r="A2477" t="str">
            <v>M0052</v>
          </cell>
          <cell r="D2477" t="str">
            <v>Cab-ORA-95-DI</v>
          </cell>
          <cell r="F2477">
            <v>30.923076923076923</v>
          </cell>
          <cell r="G2477">
            <v>20.100000000000001</v>
          </cell>
          <cell r="H2477" t="str">
            <v>6-Various</v>
          </cell>
          <cell r="I2477">
            <v>0.35</v>
          </cell>
        </row>
        <row r="2478">
          <cell r="A2478" t="str">
            <v>M0053</v>
          </cell>
          <cell r="D2478">
            <v>0</v>
          </cell>
          <cell r="F2478">
            <v>0</v>
          </cell>
          <cell r="G2478">
            <v>0</v>
          </cell>
          <cell r="H2478" t="str">
            <v>6-Various</v>
          </cell>
          <cell r="I2478">
            <v>0</v>
          </cell>
        </row>
        <row r="2479">
          <cell r="A2479" t="str">
            <v>M0054</v>
          </cell>
          <cell r="D2479" t="str">
            <v>6DCST100</v>
          </cell>
          <cell r="F2479">
            <v>308.35294117647061</v>
          </cell>
          <cell r="G2479">
            <v>209.68</v>
          </cell>
          <cell r="H2479" t="str">
            <v>3-Tradezone</v>
          </cell>
          <cell r="I2479">
            <v>0.32</v>
          </cell>
        </row>
        <row r="2480">
          <cell r="A2480" t="str">
            <v>M0055</v>
          </cell>
          <cell r="D2480" t="str">
            <v>Elteca35-BL</v>
          </cell>
          <cell r="F2480">
            <v>10.461538461538462</v>
          </cell>
          <cell r="G2480">
            <v>6.8</v>
          </cell>
          <cell r="H2480" t="str">
            <v>6-Various</v>
          </cell>
          <cell r="I2480">
            <v>0.35</v>
          </cell>
        </row>
        <row r="2481">
          <cell r="A2481" t="str">
            <v>M0056</v>
          </cell>
          <cell r="D2481" t="str">
            <v>Elteca35-RD</v>
          </cell>
          <cell r="F2481">
            <v>10.461538461538462</v>
          </cell>
          <cell r="G2481">
            <v>6.8</v>
          </cell>
          <cell r="H2481" t="str">
            <v>6-Various</v>
          </cell>
          <cell r="I2481">
            <v>0.35</v>
          </cell>
        </row>
        <row r="2482">
          <cell r="A2482" t="str">
            <v>M0057</v>
          </cell>
          <cell r="D2482" t="str">
            <v>Cab-BLK-16-RD</v>
          </cell>
          <cell r="F2482">
            <v>4.9692307692307693</v>
          </cell>
          <cell r="G2482">
            <v>3.23</v>
          </cell>
          <cell r="H2482" t="str">
            <v>6-Various</v>
          </cell>
          <cell r="I2482">
            <v>0.35</v>
          </cell>
        </row>
        <row r="2483">
          <cell r="A2483" t="str">
            <v>M0058</v>
          </cell>
          <cell r="D2483" t="str">
            <v>Cab-ORA-16-DI</v>
          </cell>
          <cell r="F2483">
            <v>4.953846153846154</v>
          </cell>
          <cell r="G2483">
            <v>3.22</v>
          </cell>
          <cell r="H2483" t="str">
            <v>6-Various</v>
          </cell>
          <cell r="I2483">
            <v>0.35</v>
          </cell>
        </row>
        <row r="2484">
          <cell r="A2484" t="str">
            <v>M0059</v>
          </cell>
          <cell r="D2484" t="str">
            <v>Cab-ORA-25-DI</v>
          </cell>
          <cell r="F2484">
            <v>7.6615384615384619</v>
          </cell>
          <cell r="G2484">
            <v>4.9800000000000004</v>
          </cell>
          <cell r="H2484" t="str">
            <v>6-Various</v>
          </cell>
          <cell r="I2484">
            <v>0.35</v>
          </cell>
        </row>
        <row r="2485">
          <cell r="A2485" t="str">
            <v>M0060</v>
          </cell>
          <cell r="D2485" t="str">
            <v>Cab-ORA-35-DI</v>
          </cell>
          <cell r="F2485">
            <v>10.538461538461538</v>
          </cell>
          <cell r="G2485">
            <v>6.85</v>
          </cell>
          <cell r="H2485" t="str">
            <v>6-Various</v>
          </cell>
          <cell r="I2485">
            <v>0.35</v>
          </cell>
        </row>
        <row r="2486">
          <cell r="A2486" t="str">
            <v>M0061</v>
          </cell>
          <cell r="D2486" t="str">
            <v>Cab-ORA-50-DI</v>
          </cell>
          <cell r="F2486">
            <v>15.153846153846153</v>
          </cell>
          <cell r="G2486">
            <v>9.85</v>
          </cell>
          <cell r="H2486" t="str">
            <v>6-Various</v>
          </cell>
          <cell r="I2486">
            <v>0.35</v>
          </cell>
        </row>
        <row r="2487">
          <cell r="A2487" t="str">
            <v>M0062</v>
          </cell>
          <cell r="D2487" t="str">
            <v>Cab-ORA-70-DI</v>
          </cell>
          <cell r="F2487">
            <v>20.676923076923075</v>
          </cell>
          <cell r="G2487">
            <v>13.44</v>
          </cell>
          <cell r="H2487" t="str">
            <v>6-Various</v>
          </cell>
          <cell r="I2487">
            <v>0.35</v>
          </cell>
        </row>
        <row r="2488">
          <cell r="A2488" t="str">
            <v>M0063</v>
          </cell>
          <cell r="D2488" t="str">
            <v>4MMTWINDC</v>
          </cell>
          <cell r="F2488">
            <v>1.7538461538461536</v>
          </cell>
          <cell r="G2488">
            <v>1.1399999999999999</v>
          </cell>
          <cell r="H2488" t="str">
            <v>6-Various</v>
          </cell>
          <cell r="I2488">
            <v>0.35</v>
          </cell>
        </row>
        <row r="2489">
          <cell r="A2489" t="str">
            <v>M0064</v>
          </cell>
          <cell r="D2489" t="str">
            <v>Cab-ORA-95-DI</v>
          </cell>
          <cell r="F2489">
            <v>30.923076923076923</v>
          </cell>
          <cell r="G2489">
            <v>20.100000000000001</v>
          </cell>
          <cell r="H2489" t="str">
            <v>6-Various</v>
          </cell>
          <cell r="I2489">
            <v>0.35</v>
          </cell>
        </row>
        <row r="2490">
          <cell r="A2490" t="str">
            <v>PK----</v>
          </cell>
          <cell r="D2490" t="e">
            <v>#N/A</v>
          </cell>
          <cell r="F2490">
            <v>0</v>
          </cell>
          <cell r="G2490">
            <v>0</v>
          </cell>
          <cell r="I2490">
            <v>0</v>
          </cell>
        </row>
        <row r="2491">
          <cell r="A2491" t="str">
            <v>PK10.01</v>
          </cell>
          <cell r="D2491" t="e">
            <v>#N/A</v>
          </cell>
          <cell r="F2491">
            <v>0</v>
          </cell>
          <cell r="G2491">
            <v>0</v>
          </cell>
          <cell r="H2491" t="str">
            <v>0-ecoCool</v>
          </cell>
          <cell r="I2491">
            <v>0</v>
          </cell>
        </row>
        <row r="2492">
          <cell r="A2492" t="str">
            <v>PK10.02</v>
          </cell>
          <cell r="D2492" t="e">
            <v>#N/A</v>
          </cell>
          <cell r="F2492">
            <v>0</v>
          </cell>
          <cell r="G2492">
            <v>0</v>
          </cell>
          <cell r="H2492" t="str">
            <v>0-ecoCool</v>
          </cell>
          <cell r="I2492">
            <v>0</v>
          </cell>
        </row>
        <row r="2493">
          <cell r="A2493" t="str">
            <v>PK10.03</v>
          </cell>
          <cell r="D2493" t="e">
            <v>#N/A</v>
          </cell>
          <cell r="F2493">
            <v>0</v>
          </cell>
          <cell r="G2493">
            <v>0</v>
          </cell>
          <cell r="H2493" t="str">
            <v>0-ecoCool</v>
          </cell>
          <cell r="I2493">
            <v>0</v>
          </cell>
        </row>
        <row r="2494">
          <cell r="A2494" t="str">
            <v>PK10.04</v>
          </cell>
          <cell r="D2494" t="e">
            <v>#N/A</v>
          </cell>
          <cell r="F2494">
            <v>0</v>
          </cell>
          <cell r="G2494">
            <v>0</v>
          </cell>
          <cell r="H2494" t="str">
            <v>0-ecoCool</v>
          </cell>
          <cell r="I2494">
            <v>0</v>
          </cell>
        </row>
        <row r="2495">
          <cell r="A2495" t="str">
            <v>PK14.05</v>
          </cell>
          <cell r="D2495" t="e">
            <v>#N/A</v>
          </cell>
          <cell r="F2495">
            <v>0</v>
          </cell>
          <cell r="G2495">
            <v>0</v>
          </cell>
          <cell r="H2495" t="str">
            <v>0-ecoCool</v>
          </cell>
          <cell r="I2495">
            <v>0</v>
          </cell>
        </row>
        <row r="2496">
          <cell r="A2496" t="str">
            <v>PK17.10.05</v>
          </cell>
          <cell r="D2496" t="str">
            <v>PK17.10.05</v>
          </cell>
          <cell r="F2496">
            <v>0</v>
          </cell>
          <cell r="G2496">
            <v>7360</v>
          </cell>
          <cell r="H2496" t="str">
            <v>0-ecoCool</v>
          </cell>
          <cell r="I2496">
            <v>0</v>
          </cell>
        </row>
        <row r="2497">
          <cell r="A2497" t="str">
            <v>PK18.A01</v>
          </cell>
          <cell r="D2497" t="str">
            <v>PK18.A01</v>
          </cell>
          <cell r="F2497">
            <v>169.68053333333336</v>
          </cell>
          <cell r="G2497">
            <v>127.26040000000002</v>
          </cell>
          <cell r="H2497" t="str">
            <v>0-ecoCool</v>
          </cell>
          <cell r="I2497">
            <v>0.25</v>
          </cell>
        </row>
        <row r="2498">
          <cell r="A2498" t="str">
            <v>PK18.A02</v>
          </cell>
          <cell r="D2498" t="str">
            <v>PK18.A02</v>
          </cell>
          <cell r="F2498">
            <v>176.94841212121216</v>
          </cell>
          <cell r="G2498">
            <v>132.71130909090911</v>
          </cell>
          <cell r="H2498" t="str">
            <v>0-ecoCool</v>
          </cell>
          <cell r="I2498">
            <v>0.25</v>
          </cell>
        </row>
        <row r="2499">
          <cell r="A2499" t="str">
            <v>PK18.01</v>
          </cell>
          <cell r="D2499" t="str">
            <v>PK18.01</v>
          </cell>
          <cell r="F2499">
            <v>0</v>
          </cell>
          <cell r="G2499">
            <v>4673.8999999999996</v>
          </cell>
          <cell r="H2499" t="str">
            <v>0-ecoCool</v>
          </cell>
          <cell r="I2499">
            <v>0</v>
          </cell>
        </row>
        <row r="2500">
          <cell r="A2500" t="str">
            <v>PK18.02</v>
          </cell>
          <cell r="D2500" t="str">
            <v>PK18.02</v>
          </cell>
          <cell r="F2500">
            <v>0</v>
          </cell>
          <cell r="G2500">
            <v>6300</v>
          </cell>
          <cell r="H2500" t="str">
            <v>0-ecoCool</v>
          </cell>
          <cell r="I2500">
            <v>0</v>
          </cell>
        </row>
        <row r="2501">
          <cell r="A2501" t="str">
            <v>PK18.03</v>
          </cell>
          <cell r="D2501" t="str">
            <v>PK18.03</v>
          </cell>
          <cell r="F2501">
            <v>0</v>
          </cell>
          <cell r="G2501">
            <v>6783</v>
          </cell>
          <cell r="H2501" t="str">
            <v>0-ecoCool</v>
          </cell>
          <cell r="I2501">
            <v>0</v>
          </cell>
        </row>
        <row r="2502">
          <cell r="A2502" t="str">
            <v>PK18.04</v>
          </cell>
          <cell r="D2502" t="str">
            <v>PK18.04</v>
          </cell>
          <cell r="F2502">
            <v>0</v>
          </cell>
          <cell r="G2502">
            <v>10010</v>
          </cell>
          <cell r="H2502" t="str">
            <v>0-ecoCool</v>
          </cell>
          <cell r="I2502">
            <v>0</v>
          </cell>
        </row>
        <row r="2503">
          <cell r="A2503" t="str">
            <v>PK18.05</v>
          </cell>
          <cell r="D2503" t="str">
            <v>PK18.05</v>
          </cell>
          <cell r="F2503">
            <v>0</v>
          </cell>
          <cell r="G2503">
            <v>10920</v>
          </cell>
          <cell r="H2503" t="str">
            <v>0-ecoCool</v>
          </cell>
          <cell r="I2503">
            <v>0</v>
          </cell>
        </row>
        <row r="2504">
          <cell r="A2504" t="str">
            <v>PK18.06</v>
          </cell>
          <cell r="D2504" t="str">
            <v>PK18.06</v>
          </cell>
          <cell r="F2504">
            <v>0</v>
          </cell>
          <cell r="G2504">
            <v>13720</v>
          </cell>
          <cell r="H2504" t="str">
            <v>0-ecoCool</v>
          </cell>
          <cell r="I2504">
            <v>0</v>
          </cell>
        </row>
        <row r="2505">
          <cell r="A2505" t="str">
            <v>PK18.07</v>
          </cell>
          <cell r="D2505" t="str">
            <v>PK18.07</v>
          </cell>
          <cell r="F2505">
            <v>0</v>
          </cell>
          <cell r="G2505">
            <v>16372.999999999998</v>
          </cell>
          <cell r="H2505" t="str">
            <v>0-ecoCool</v>
          </cell>
          <cell r="I2505">
            <v>0</v>
          </cell>
        </row>
        <row r="2506">
          <cell r="A2506" t="str">
            <v>PK18.08</v>
          </cell>
          <cell r="D2506" t="str">
            <v>PK18.08</v>
          </cell>
          <cell r="F2506">
            <v>0</v>
          </cell>
          <cell r="G2506">
            <v>20221.2</v>
          </cell>
          <cell r="H2506" t="str">
            <v>0-ecoCool</v>
          </cell>
          <cell r="I2506">
            <v>0</v>
          </cell>
        </row>
        <row r="2507">
          <cell r="A2507" t="str">
            <v>PK18.09</v>
          </cell>
          <cell r="D2507" t="str">
            <v>PK18.09</v>
          </cell>
          <cell r="F2507">
            <v>0</v>
          </cell>
          <cell r="G2507">
            <v>4859.090909090909</v>
          </cell>
          <cell r="H2507" t="str">
            <v>0-ecoCool</v>
          </cell>
          <cell r="I2507">
            <v>0</v>
          </cell>
        </row>
        <row r="2508">
          <cell r="A2508" t="str">
            <v>PK18.10</v>
          </cell>
          <cell r="D2508" t="str">
            <v>PK18.10</v>
          </cell>
          <cell r="F2508">
            <v>0</v>
          </cell>
          <cell r="G2508">
            <v>7268.181818181818</v>
          </cell>
          <cell r="H2508" t="str">
            <v>0-ecoCool</v>
          </cell>
          <cell r="I2508">
            <v>0</v>
          </cell>
        </row>
        <row r="2509">
          <cell r="A2509" t="str">
            <v>PK18.11</v>
          </cell>
          <cell r="D2509" t="str">
            <v>PK18.11</v>
          </cell>
          <cell r="F2509">
            <v>0</v>
          </cell>
          <cell r="G2509">
            <v>10340.90909090909</v>
          </cell>
          <cell r="H2509" t="str">
            <v>0-ecoCool</v>
          </cell>
          <cell r="I2509">
            <v>0</v>
          </cell>
        </row>
        <row r="2510">
          <cell r="A2510" t="str">
            <v>PK18.12</v>
          </cell>
          <cell r="D2510" t="str">
            <v>PK18.12</v>
          </cell>
          <cell r="F2510">
            <v>0</v>
          </cell>
          <cell r="G2510">
            <v>12268.181818181818</v>
          </cell>
          <cell r="H2510" t="str">
            <v>0-ecoCool</v>
          </cell>
          <cell r="I2510">
            <v>0</v>
          </cell>
        </row>
        <row r="2511">
          <cell r="A2511" t="str">
            <v>PK18.13</v>
          </cell>
          <cell r="D2511" t="str">
            <v>PK18.13</v>
          </cell>
          <cell r="F2511">
            <v>0</v>
          </cell>
          <cell r="G2511">
            <v>0</v>
          </cell>
          <cell r="H2511" t="str">
            <v>0-ecoCool</v>
          </cell>
          <cell r="I2511">
            <v>0</v>
          </cell>
        </row>
        <row r="2512">
          <cell r="A2512" t="str">
            <v>PK18.14</v>
          </cell>
          <cell r="D2512" t="str">
            <v>PK18.14</v>
          </cell>
          <cell r="F2512">
            <v>0</v>
          </cell>
          <cell r="G2512">
            <v>0</v>
          </cell>
          <cell r="H2512" t="str">
            <v>0-ecoCool</v>
          </cell>
          <cell r="I2512">
            <v>0</v>
          </cell>
        </row>
        <row r="2513">
          <cell r="A2513" t="str">
            <v>PK18.15</v>
          </cell>
          <cell r="D2513" t="str">
            <v>PK18.15</v>
          </cell>
          <cell r="F2513">
            <v>0</v>
          </cell>
          <cell r="G2513">
            <v>11813.636363636364</v>
          </cell>
          <cell r="H2513" t="str">
            <v>0-ecoCool</v>
          </cell>
          <cell r="I2513">
            <v>0</v>
          </cell>
        </row>
        <row r="2514">
          <cell r="A2514" t="str">
            <v>PK18.16</v>
          </cell>
          <cell r="D2514" t="str">
            <v>PK18.16</v>
          </cell>
          <cell r="F2514">
            <v>0</v>
          </cell>
          <cell r="G2514">
            <v>17268.18181818182</v>
          </cell>
          <cell r="H2514" t="str">
            <v>0-ecoCool</v>
          </cell>
          <cell r="I2514">
            <v>0</v>
          </cell>
        </row>
        <row r="2515">
          <cell r="A2515" t="str">
            <v>PK18.17</v>
          </cell>
          <cell r="D2515" t="str">
            <v>PK18.17</v>
          </cell>
          <cell r="F2515">
            <v>0</v>
          </cell>
          <cell r="G2515">
            <v>23590.909090909092</v>
          </cell>
          <cell r="H2515" t="str">
            <v>0-ecoCool</v>
          </cell>
          <cell r="I2515">
            <v>0</v>
          </cell>
        </row>
        <row r="2516">
          <cell r="A2516" t="str">
            <v>PK18.18</v>
          </cell>
          <cell r="D2516" t="str">
            <v>PK18.18</v>
          </cell>
          <cell r="F2516">
            <v>0</v>
          </cell>
          <cell r="G2516">
            <v>23590.909090909092</v>
          </cell>
          <cell r="H2516" t="str">
            <v>0-ecoCool</v>
          </cell>
          <cell r="I2516">
            <v>0</v>
          </cell>
        </row>
        <row r="2517">
          <cell r="A2517" t="str">
            <v>PK18.19</v>
          </cell>
          <cell r="D2517" t="str">
            <v>PK18.19</v>
          </cell>
          <cell r="F2517">
            <v>0</v>
          </cell>
          <cell r="G2517">
            <v>32681.81818181818</v>
          </cell>
          <cell r="H2517" t="str">
            <v>0-ecoCool</v>
          </cell>
          <cell r="I2517">
            <v>0</v>
          </cell>
        </row>
        <row r="2518">
          <cell r="A2518" t="str">
            <v>PK18.20</v>
          </cell>
          <cell r="D2518" t="str">
            <v>PK18.20</v>
          </cell>
          <cell r="F2518">
            <v>0</v>
          </cell>
          <cell r="G2518">
            <v>37227.272727272728</v>
          </cell>
          <cell r="H2518" t="str">
            <v>0-ecoCool</v>
          </cell>
          <cell r="I2518">
            <v>0</v>
          </cell>
        </row>
        <row r="2519">
          <cell r="A2519" t="str">
            <v>PK18.21</v>
          </cell>
          <cell r="D2519" t="str">
            <v>PK18.21</v>
          </cell>
          <cell r="F2519">
            <v>0</v>
          </cell>
          <cell r="G2519">
            <v>33590.909090909088</v>
          </cell>
          <cell r="H2519" t="str">
            <v>0-ecoCool</v>
          </cell>
          <cell r="I2519">
            <v>0</v>
          </cell>
        </row>
        <row r="2520">
          <cell r="A2520" t="str">
            <v>PK18.22</v>
          </cell>
          <cell r="D2520" t="str">
            <v>PK18.22</v>
          </cell>
          <cell r="F2520">
            <v>0</v>
          </cell>
          <cell r="G2520">
            <v>51772.727272727272</v>
          </cell>
          <cell r="H2520" t="str">
            <v>0-ecoCool</v>
          </cell>
          <cell r="I2520">
            <v>0</v>
          </cell>
        </row>
        <row r="2521">
          <cell r="A2521" t="str">
            <v>PK18.23</v>
          </cell>
          <cell r="D2521" t="str">
            <v>PK18.23</v>
          </cell>
          <cell r="F2521">
            <v>0</v>
          </cell>
          <cell r="G2521">
            <v>95409.090909090912</v>
          </cell>
          <cell r="H2521" t="str">
            <v>0-ecoCool</v>
          </cell>
          <cell r="I2521">
            <v>0</v>
          </cell>
        </row>
        <row r="2522">
          <cell r="A2522" t="str">
            <v>W----</v>
          </cell>
          <cell r="D2522" t="e">
            <v>#N/A</v>
          </cell>
          <cell r="F2522">
            <v>0</v>
          </cell>
          <cell r="G2522">
            <v>0</v>
          </cell>
          <cell r="I2522">
            <v>0</v>
          </cell>
        </row>
        <row r="2523">
          <cell r="A2523" t="str">
            <v>W0010</v>
          </cell>
          <cell r="D2523" t="str">
            <v>SMA-EW-1</v>
          </cell>
          <cell r="F2523">
            <v>238.58823529411768</v>
          </cell>
          <cell r="G2523">
            <v>162.24</v>
          </cell>
          <cell r="H2523" t="str">
            <v>2-Krannich</v>
          </cell>
          <cell r="I2523">
            <v>0.32</v>
          </cell>
        </row>
        <row r="2524">
          <cell r="A2524" t="str">
            <v>W0011</v>
          </cell>
          <cell r="D2524" t="str">
            <v>SMA-EW-2</v>
          </cell>
          <cell r="F2524">
            <v>303.5</v>
          </cell>
          <cell r="G2524">
            <v>206.38</v>
          </cell>
          <cell r="H2524" t="str">
            <v>2-Krannich</v>
          </cell>
          <cell r="I2524">
            <v>0.32</v>
          </cell>
        </row>
        <row r="2525">
          <cell r="A2525" t="str">
            <v>W0012</v>
          </cell>
          <cell r="D2525" t="str">
            <v>SMA-EW-3</v>
          </cell>
          <cell r="F2525">
            <v>317.54411764705884</v>
          </cell>
          <cell r="G2525">
            <v>215.93</v>
          </cell>
          <cell r="H2525" t="str">
            <v>2-Krannich</v>
          </cell>
          <cell r="I2525">
            <v>0.32</v>
          </cell>
        </row>
        <row r="2526">
          <cell r="A2526" t="str">
            <v>W0013</v>
          </cell>
          <cell r="D2526" t="str">
            <v>SMA-EW-4</v>
          </cell>
          <cell r="F2526">
            <v>373.6764705882353</v>
          </cell>
          <cell r="G2526">
            <v>254.1</v>
          </cell>
          <cell r="H2526" t="str">
            <v>2-Krannich</v>
          </cell>
          <cell r="I2526">
            <v>0.32</v>
          </cell>
        </row>
        <row r="2527">
          <cell r="A2527" t="str">
            <v>X----</v>
          </cell>
          <cell r="D2527" t="e">
            <v>#N/A</v>
          </cell>
          <cell r="F2527">
            <v>0</v>
          </cell>
          <cell r="G2527">
            <v>0</v>
          </cell>
          <cell r="I2527">
            <v>0</v>
          </cell>
        </row>
        <row r="2528">
          <cell r="A2528" t="str">
            <v>X30.01</v>
          </cell>
          <cell r="D2528" t="e">
            <v>#N/A</v>
          </cell>
          <cell r="F2528">
            <v>0</v>
          </cell>
          <cell r="G2528">
            <v>0</v>
          </cell>
          <cell r="H2528" t="str">
            <v>6-Various</v>
          </cell>
          <cell r="I2528">
            <v>0</v>
          </cell>
        </row>
        <row r="2529">
          <cell r="A2529" t="str">
            <v>X0010</v>
          </cell>
          <cell r="D2529" t="e">
            <v>#N/A</v>
          </cell>
          <cell r="F2529">
            <v>0</v>
          </cell>
          <cell r="G2529">
            <v>0</v>
          </cell>
          <cell r="H2529" t="str">
            <v>0-ecoCool</v>
          </cell>
          <cell r="I2529">
            <v>0</v>
          </cell>
        </row>
        <row r="2530">
          <cell r="A2530" t="str">
            <v>L----</v>
          </cell>
          <cell r="D2530" t="e">
            <v>#N/A</v>
          </cell>
          <cell r="F2530">
            <v>0</v>
          </cell>
          <cell r="G2530">
            <v>0</v>
          </cell>
          <cell r="I2530">
            <v>0</v>
          </cell>
        </row>
        <row r="2531">
          <cell r="A2531" t="str">
            <v>L23.01</v>
          </cell>
          <cell r="D2531" t="e">
            <v>#N/A</v>
          </cell>
          <cell r="F2531">
            <v>0</v>
          </cell>
          <cell r="G2531">
            <v>0</v>
          </cell>
          <cell r="H2531" t="str">
            <v>6-Various</v>
          </cell>
          <cell r="I2531">
            <v>0</v>
          </cell>
        </row>
        <row r="2532">
          <cell r="A2532" t="str">
            <v>L23.02</v>
          </cell>
          <cell r="D2532" t="e">
            <v>#N/A</v>
          </cell>
          <cell r="F2532">
            <v>0</v>
          </cell>
          <cell r="G2532">
            <v>0</v>
          </cell>
          <cell r="H2532" t="str">
            <v>6-Various</v>
          </cell>
          <cell r="I2532">
            <v>0</v>
          </cell>
        </row>
        <row r="2533">
          <cell r="A2533" t="str">
            <v>L26.01</v>
          </cell>
          <cell r="D2533" t="e">
            <v>#N/A</v>
          </cell>
          <cell r="F2533">
            <v>0</v>
          </cell>
          <cell r="G2533">
            <v>0</v>
          </cell>
          <cell r="H2533" t="str">
            <v>6-Various</v>
          </cell>
          <cell r="I2533">
            <v>0</v>
          </cell>
        </row>
        <row r="2534">
          <cell r="A2534" t="str">
            <v>SE0001</v>
          </cell>
          <cell r="D2534" t="e">
            <v>#N/A</v>
          </cell>
          <cell r="F2534">
            <v>0</v>
          </cell>
          <cell r="G2534">
            <v>0</v>
          </cell>
          <cell r="H2534" t="str">
            <v>6-Various</v>
          </cell>
          <cell r="I253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Load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59Calculator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"/>
      <sheetName val="Products"/>
      <sheetName val=".new"/>
      <sheetName val="change.log"/>
    </sheetNames>
    <sheetDataSet>
      <sheetData sheetId="0"/>
      <sheetData sheetId="1">
        <row r="2">
          <cell r="A2" t="str">
            <v>*SKU</v>
          </cell>
          <cell r="B2" t="str">
            <v>Category  ⌂</v>
          </cell>
          <cell r="C2" t="str">
            <v>Brand</v>
          </cell>
          <cell r="D2" t="str">
            <v>Column1</v>
          </cell>
          <cell r="E2" t="str">
            <v>MPN</v>
          </cell>
          <cell r="F2" t="str">
            <v>Common.name</v>
          </cell>
          <cell r="G2" t="str">
            <v>Sell incl.</v>
          </cell>
          <cell r="H2" t="str">
            <v>Sell Ex GST</v>
          </cell>
          <cell r="I2" t="str">
            <v>StockQty</v>
          </cell>
          <cell r="J2" t="str">
            <v>Wt (kg)</v>
          </cell>
          <cell r="K2" t="str">
            <v>L (cm)</v>
          </cell>
          <cell r="L2" t="str">
            <v>W (cm)</v>
          </cell>
          <cell r="M2" t="str">
            <v>H (cm)</v>
          </cell>
          <cell r="N2" t="str">
            <v>Supplier1</v>
          </cell>
        </row>
        <row r="3">
          <cell r="A3" t="str">
            <v>A0031</v>
          </cell>
          <cell r="B3" t="str">
            <v>Enclosures</v>
          </cell>
          <cell r="C3" t="str">
            <v>ecoCool</v>
          </cell>
          <cell r="D3" t="str">
            <v>DC Enclosure 250A, 300x220x100</v>
          </cell>
          <cell r="E3" t="str">
            <v>A0031</v>
          </cell>
          <cell r="G3">
            <v>190.5</v>
          </cell>
          <cell r="H3">
            <v>173.15</v>
          </cell>
          <cell r="J3">
            <v>2.448</v>
          </cell>
          <cell r="K3">
            <v>30</v>
          </cell>
          <cell r="L3">
            <v>22</v>
          </cell>
          <cell r="M3">
            <v>10</v>
          </cell>
          <cell r="N3" t="str">
            <v>0-ecoCool</v>
          </cell>
        </row>
        <row r="4">
          <cell r="A4" t="str">
            <v>AM0011</v>
          </cell>
          <cell r="B4" t="str">
            <v>Control</v>
          </cell>
          <cell r="C4" t="str">
            <v>ecoCool</v>
          </cell>
          <cell r="D4" t="str">
            <v>R.Pi, Hat, VOS PCB, TypeA</v>
          </cell>
          <cell r="E4" t="str">
            <v>AM0011</v>
          </cell>
          <cell r="G4">
            <v>326</v>
          </cell>
          <cell r="H4">
            <v>296.35000000000002</v>
          </cell>
          <cell r="K4">
            <v>8</v>
          </cell>
          <cell r="L4">
            <v>6</v>
          </cell>
          <cell r="M4">
            <v>2.5</v>
          </cell>
          <cell r="N4" t="str">
            <v>0-ecoCool</v>
          </cell>
        </row>
        <row r="5">
          <cell r="A5" t="str">
            <v>AM0012</v>
          </cell>
          <cell r="B5" t="str">
            <v>Control</v>
          </cell>
          <cell r="C5" t="str">
            <v>ecoCool</v>
          </cell>
          <cell r="D5" t="str">
            <v>R.Pi, Hat, VOS PCB, TypeB</v>
          </cell>
          <cell r="E5" t="str">
            <v>AM0012</v>
          </cell>
          <cell r="G5">
            <v>117.35000000000001</v>
          </cell>
          <cell r="H5">
            <v>106.65</v>
          </cell>
          <cell r="K5">
            <v>8</v>
          </cell>
          <cell r="L5">
            <v>6</v>
          </cell>
          <cell r="M5">
            <v>2.5</v>
          </cell>
          <cell r="N5" t="str">
            <v>0-ecoCool</v>
          </cell>
        </row>
        <row r="6">
          <cell r="A6" t="str">
            <v>AM0013</v>
          </cell>
          <cell r="B6" t="str">
            <v>Control</v>
          </cell>
          <cell r="C6">
            <v>0</v>
          </cell>
          <cell r="D6" t="str">
            <v>R.Pi, Hat, VOS PCB, TypeC</v>
          </cell>
          <cell r="E6" t="str">
            <v>AM0013</v>
          </cell>
          <cell r="G6">
            <v>139.35</v>
          </cell>
          <cell r="H6">
            <v>126.65</v>
          </cell>
          <cell r="K6">
            <v>8</v>
          </cell>
          <cell r="L6">
            <v>6</v>
          </cell>
          <cell r="M6">
            <v>2.5</v>
          </cell>
          <cell r="N6" t="str">
            <v>0-ecoCool</v>
          </cell>
        </row>
        <row r="7">
          <cell r="A7" t="str">
            <v>B0001</v>
          </cell>
          <cell r="D7" t="str">
            <v>Grille Plastic DIA200mm c/w Ma</v>
          </cell>
          <cell r="G7">
            <v>0</v>
          </cell>
          <cell r="H7">
            <v>0</v>
          </cell>
          <cell r="N7" t="str">
            <v>19-</v>
          </cell>
        </row>
        <row r="8">
          <cell r="A8" t="str">
            <v>B0002</v>
          </cell>
          <cell r="D8" t="str">
            <v>Fan SanAce 150 14.4W 12V, (San</v>
          </cell>
          <cell r="G8">
            <v>0</v>
          </cell>
          <cell r="H8">
            <v>0</v>
          </cell>
          <cell r="N8" t="str">
            <v/>
          </cell>
        </row>
        <row r="9">
          <cell r="A9" t="str">
            <v>B0003</v>
          </cell>
          <cell r="D9" t="str">
            <v>Rivet Multi-Grip (3.2 diam-0.8-4.8 grip)Alu</v>
          </cell>
          <cell r="G9">
            <v>0</v>
          </cell>
          <cell r="H9">
            <v>0</v>
          </cell>
          <cell r="N9" t="str">
            <v/>
          </cell>
        </row>
        <row r="10">
          <cell r="A10" t="str">
            <v>B0004</v>
          </cell>
          <cell r="D10" t="str">
            <v>Terminal Block 12 Pole 5A</v>
          </cell>
          <cell r="G10">
            <v>0</v>
          </cell>
          <cell r="H10">
            <v>0</v>
          </cell>
          <cell r="N10" t="str">
            <v/>
          </cell>
        </row>
        <row r="11">
          <cell r="A11" t="str">
            <v>B0005</v>
          </cell>
          <cell r="D11" t="str">
            <v>Mesh Polyester 18/14 610mm Wid</v>
          </cell>
          <cell r="G11">
            <v>0</v>
          </cell>
          <cell r="H11">
            <v>0</v>
          </cell>
          <cell r="N11" t="str">
            <v/>
          </cell>
        </row>
        <row r="12">
          <cell r="A12" t="str">
            <v>B0006</v>
          </cell>
          <cell r="D12" t="str">
            <v>Screw 6Gx5/8" Pan Phil S/T Z/P</v>
          </cell>
          <cell r="G12">
            <v>0</v>
          </cell>
          <cell r="H12">
            <v>0</v>
          </cell>
          <cell r="N12" t="str">
            <v/>
          </cell>
        </row>
        <row r="13">
          <cell r="A13" t="str">
            <v>B0007</v>
          </cell>
          <cell r="D13" t="str">
            <v>Switch 10A Plastic White (HPM</v>
          </cell>
          <cell r="G13">
            <v>0</v>
          </cell>
          <cell r="H13">
            <v>0</v>
          </cell>
          <cell r="N13" t="str">
            <v/>
          </cell>
        </row>
        <row r="14">
          <cell r="A14" t="str">
            <v>B0008</v>
          </cell>
          <cell r="D14" t="str">
            <v>Solar Panel 20W Solar-e</v>
          </cell>
          <cell r="G14">
            <v>0</v>
          </cell>
          <cell r="H14">
            <v>0</v>
          </cell>
          <cell r="N14" t="str">
            <v/>
          </cell>
        </row>
        <row r="15">
          <cell r="A15" t="str">
            <v>B0009</v>
          </cell>
          <cell r="C15" t="str">
            <v>Paper</v>
          </cell>
          <cell r="D15" t="str">
            <v>Paper A4 Sheet 80GSM White</v>
          </cell>
          <cell r="E15" t="str">
            <v>Paper-A4</v>
          </cell>
          <cell r="F15" t="str">
            <v>MPN (Part #)</v>
          </cell>
          <cell r="G15">
            <v>0</v>
          </cell>
          <cell r="H15">
            <v>0</v>
          </cell>
          <cell r="N15" t="str">
            <v>6-Various</v>
          </cell>
        </row>
        <row r="16">
          <cell r="A16" t="str">
            <v>B0010</v>
          </cell>
          <cell r="D16" t="str">
            <v>Label Adhesive 25.4x10mm Heavy</v>
          </cell>
          <cell r="G16">
            <v>0</v>
          </cell>
          <cell r="H16">
            <v>0</v>
          </cell>
          <cell r="N16" t="str">
            <v/>
          </cell>
        </row>
        <row r="17">
          <cell r="A17" t="str">
            <v>B0011</v>
          </cell>
          <cell r="D17" t="str">
            <v>Label Adhesive 63.5x29.6mm Hea</v>
          </cell>
          <cell r="G17">
            <v>0</v>
          </cell>
          <cell r="H17">
            <v>0</v>
          </cell>
          <cell r="N17" t="str">
            <v/>
          </cell>
        </row>
        <row r="18">
          <cell r="A18" t="str">
            <v>B0012</v>
          </cell>
          <cell r="D18" t="str">
            <v>Paper A5 Sheet 80GSM White (Re</v>
          </cell>
          <cell r="G18">
            <v>0</v>
          </cell>
          <cell r="H18">
            <v>0</v>
          </cell>
          <cell r="N18" t="str">
            <v/>
          </cell>
        </row>
        <row r="19">
          <cell r="A19" t="str">
            <v>B0013</v>
          </cell>
          <cell r="D19" t="str">
            <v>Label Adhesive 99.1x38.1mm Las</v>
          </cell>
          <cell r="G19">
            <v>0</v>
          </cell>
          <cell r="H19">
            <v>0</v>
          </cell>
          <cell r="N19" t="str">
            <v/>
          </cell>
        </row>
        <row r="20">
          <cell r="A20" t="str">
            <v>B0014</v>
          </cell>
          <cell r="D20" t="str">
            <v>Switch Cord Pull 10A (HPM# HPM</v>
          </cell>
          <cell r="G20">
            <v>0</v>
          </cell>
          <cell r="H20">
            <v>0</v>
          </cell>
          <cell r="N20" t="str">
            <v/>
          </cell>
        </row>
        <row r="21">
          <cell r="A21" t="str">
            <v>B0015</v>
          </cell>
          <cell r="B21" t="str">
            <v>Electrical</v>
          </cell>
          <cell r="C21" t="str">
            <v>Wattmaster</v>
          </cell>
          <cell r="D21" t="str">
            <v>Cable Lug 50mm Cable 8mm Hole</v>
          </cell>
          <cell r="E21" t="str">
            <v>ALCL50M8/10</v>
          </cell>
          <cell r="F21" t="str">
            <v>MPN (Part #)</v>
          </cell>
          <cell r="G21">
            <v>2.0500000000000003</v>
          </cell>
          <cell r="H21">
            <v>1.9000000000000001</v>
          </cell>
          <cell r="J21">
            <v>1.6</v>
          </cell>
          <cell r="K21">
            <v>18.600000000000001</v>
          </cell>
          <cell r="L21">
            <v>13</v>
          </cell>
          <cell r="M21">
            <v>7</v>
          </cell>
          <cell r="N21" t="str">
            <v>3-Tradezone</v>
          </cell>
        </row>
        <row r="22">
          <cell r="A22" t="str">
            <v>B0016</v>
          </cell>
          <cell r="B22" t="str">
            <v>Enclosures</v>
          </cell>
          <cell r="C22" t="str">
            <v>B&amp;R</v>
          </cell>
          <cell r="D22" t="str">
            <v>Polynova IP55 enclosure 300Hx220Wx100D</v>
          </cell>
          <cell r="E22" t="str">
            <v>PJ302210</v>
          </cell>
          <cell r="G22">
            <v>54.95</v>
          </cell>
          <cell r="H22">
            <v>49.95</v>
          </cell>
          <cell r="J22">
            <v>0.84799999999999998</v>
          </cell>
          <cell r="K22">
            <v>30</v>
          </cell>
          <cell r="L22">
            <v>22</v>
          </cell>
          <cell r="M22">
            <v>10</v>
          </cell>
          <cell r="N22" t="str">
            <v>3-Tradezone</v>
          </cell>
        </row>
        <row r="23">
          <cell r="A23" t="str">
            <v>B0017</v>
          </cell>
          <cell r="D23" t="str">
            <v>Screw M5x10 CSK Phil Z/P</v>
          </cell>
          <cell r="G23">
            <v>0</v>
          </cell>
          <cell r="H23">
            <v>0</v>
          </cell>
          <cell r="N23" t="str">
            <v/>
          </cell>
        </row>
        <row r="24">
          <cell r="A24" t="str">
            <v>B0018</v>
          </cell>
          <cell r="D24" t="str">
            <v>Nut M5 S/Steel</v>
          </cell>
          <cell r="G24">
            <v>0</v>
          </cell>
          <cell r="H24">
            <v>0</v>
          </cell>
          <cell r="N24" t="str">
            <v/>
          </cell>
        </row>
        <row r="25">
          <cell r="A25" t="str">
            <v>B0019</v>
          </cell>
          <cell r="D25" t="str">
            <v>Washer M5 Flat S/S304</v>
          </cell>
          <cell r="G25">
            <v>0</v>
          </cell>
          <cell r="H25">
            <v>0</v>
          </cell>
          <cell r="N25" t="str">
            <v/>
          </cell>
        </row>
        <row r="26">
          <cell r="A26" t="str">
            <v>B0020</v>
          </cell>
          <cell r="D26" t="str">
            <v>Poly Tube (Packing) 450mmx120m</v>
          </cell>
          <cell r="G26">
            <v>0</v>
          </cell>
          <cell r="H26">
            <v>0</v>
          </cell>
          <cell r="N26" t="str">
            <v/>
          </cell>
        </row>
        <row r="27">
          <cell r="A27" t="str">
            <v>B0021</v>
          </cell>
          <cell r="D27" t="str">
            <v>Bag Poly 100x150mmx30um PE Clr</v>
          </cell>
          <cell r="G27">
            <v>0</v>
          </cell>
          <cell r="H27">
            <v>0</v>
          </cell>
          <cell r="N27" t="str">
            <v/>
          </cell>
        </row>
        <row r="28">
          <cell r="A28" t="str">
            <v>B0022</v>
          </cell>
          <cell r="D28" t="str">
            <v>Screw Roofing 12Gx50 S/T Hex c</v>
          </cell>
          <cell r="G28">
            <v>0</v>
          </cell>
          <cell r="H28">
            <v>0</v>
          </cell>
          <cell r="N28" t="str">
            <v/>
          </cell>
        </row>
        <row r="29">
          <cell r="A29" t="str">
            <v>B0023</v>
          </cell>
          <cell r="D29" t="str">
            <v>Ducting Nude Dia150mm x 6m Pol</v>
          </cell>
          <cell r="G29">
            <v>0</v>
          </cell>
          <cell r="H29">
            <v>0</v>
          </cell>
          <cell r="N29" t="str">
            <v/>
          </cell>
        </row>
        <row r="30">
          <cell r="A30" t="str">
            <v>B0024</v>
          </cell>
          <cell r="D30" t="str">
            <v>Ducting Start Collar Dia150mm</v>
          </cell>
          <cell r="G30">
            <v>0</v>
          </cell>
          <cell r="H30">
            <v>0</v>
          </cell>
          <cell r="N30" t="str">
            <v/>
          </cell>
        </row>
        <row r="31">
          <cell r="A31" t="str">
            <v>B0025</v>
          </cell>
          <cell r="D31" t="str">
            <v>Cardboard Packing 405x300x255</v>
          </cell>
          <cell r="E31" t="str">
            <v>Cable Lug 50mmx10mm Copper Crimp</v>
          </cell>
          <cell r="G31">
            <v>0</v>
          </cell>
          <cell r="H31">
            <v>0</v>
          </cell>
          <cell r="N31" t="str">
            <v/>
          </cell>
        </row>
        <row r="32">
          <cell r="A32" t="str">
            <v>B0026</v>
          </cell>
          <cell r="D32" t="str">
            <v>Fan Dia150mm 12Vdc 10W</v>
          </cell>
          <cell r="G32">
            <v>0</v>
          </cell>
          <cell r="H32">
            <v>0</v>
          </cell>
          <cell r="N32" t="str">
            <v/>
          </cell>
        </row>
        <row r="33">
          <cell r="A33" t="str">
            <v>B0027</v>
          </cell>
          <cell r="D33" t="str">
            <v>Screw 10Gx5/8" Pan Phil S/T SS</v>
          </cell>
          <cell r="G33">
            <v>0</v>
          </cell>
          <cell r="H33">
            <v>0</v>
          </cell>
          <cell r="N33" t="str">
            <v/>
          </cell>
        </row>
        <row r="34">
          <cell r="A34" t="str">
            <v>B0028</v>
          </cell>
          <cell r="D34" t="str">
            <v>Grille (Ducting) Dia150mm Sq P</v>
          </cell>
          <cell r="G34">
            <v>0</v>
          </cell>
          <cell r="H34">
            <v>0</v>
          </cell>
          <cell r="N34" t="str">
            <v/>
          </cell>
        </row>
        <row r="35">
          <cell r="A35" t="str">
            <v>B0029</v>
          </cell>
          <cell r="B35" t="str">
            <v>Electrical</v>
          </cell>
          <cell r="C35" t="str">
            <v>Wattmaster</v>
          </cell>
          <cell r="D35" t="str">
            <v>Cable Lug 50mm2 Cable 10mm Hole</v>
          </cell>
          <cell r="E35" t="str">
            <v>ALCL50M10/10</v>
          </cell>
          <cell r="F35" t="str">
            <v>MPN (Part #)</v>
          </cell>
          <cell r="G35">
            <v>2.0500000000000003</v>
          </cell>
          <cell r="H35">
            <v>1.85</v>
          </cell>
          <cell r="K35">
            <v>5</v>
          </cell>
          <cell r="L35">
            <v>1</v>
          </cell>
          <cell r="M35">
            <v>1.5</v>
          </cell>
          <cell r="N35" t="str">
            <v>3-Tradezone</v>
          </cell>
        </row>
        <row r="36">
          <cell r="A36" t="str">
            <v>B0030</v>
          </cell>
          <cell r="D36" t="str">
            <v>Fuse 100A Battery Terminal</v>
          </cell>
          <cell r="G36">
            <v>0</v>
          </cell>
          <cell r="H36">
            <v>0</v>
          </cell>
          <cell r="N36" t="str">
            <v/>
          </cell>
        </row>
        <row r="37">
          <cell r="A37" t="str">
            <v>B0031</v>
          </cell>
          <cell r="D37" t="str">
            <v>Voltage Regulator 12V 2A</v>
          </cell>
          <cell r="G37">
            <v>0</v>
          </cell>
          <cell r="H37">
            <v>0</v>
          </cell>
          <cell r="N37" t="str">
            <v/>
          </cell>
        </row>
        <row r="38">
          <cell r="A38" t="str">
            <v>B0032</v>
          </cell>
          <cell r="D38" t="str">
            <v>Heatshrink 2.5mm x1.2m Black</v>
          </cell>
          <cell r="G38">
            <v>0</v>
          </cell>
          <cell r="H38">
            <v>0</v>
          </cell>
          <cell r="N38" t="str">
            <v/>
          </cell>
        </row>
        <row r="39">
          <cell r="A39" t="str">
            <v>B0033</v>
          </cell>
          <cell r="D39" t="str">
            <v>Cable Link 100A 7 Terminal Black 6x16mm2+1x35mm2</v>
          </cell>
          <cell r="G39">
            <v>0</v>
          </cell>
          <cell r="H39">
            <v>0</v>
          </cell>
          <cell r="N39" t="str">
            <v/>
          </cell>
        </row>
        <row r="40">
          <cell r="A40" t="str">
            <v>B0034</v>
          </cell>
          <cell r="B40" t="str">
            <v>Solar Controllers</v>
          </cell>
          <cell r="C40" t="str">
            <v>Plasmatronics</v>
          </cell>
          <cell r="D40" t="str">
            <v>10A 12V Solar Charge Controller (LA)</v>
          </cell>
          <cell r="E40" t="str">
            <v>PR1210</v>
          </cell>
          <cell r="F40" t="str">
            <v>MPN (Part #)</v>
          </cell>
          <cell r="G40">
            <v>116.5</v>
          </cell>
          <cell r="H40">
            <v>105.9</v>
          </cell>
          <cell r="J40">
            <v>0.3</v>
          </cell>
          <cell r="K40">
            <v>10</v>
          </cell>
          <cell r="L40">
            <v>5</v>
          </cell>
          <cell r="M40">
            <v>3</v>
          </cell>
          <cell r="N40" t="str">
            <v>4-Plasmatronics</v>
          </cell>
        </row>
        <row r="41">
          <cell r="A41" t="str">
            <v>B0035</v>
          </cell>
          <cell r="B41" t="str">
            <v>Solar Controllers</v>
          </cell>
          <cell r="C41" t="str">
            <v>Plasmatronics</v>
          </cell>
          <cell r="D41" t="str">
            <v>10A 12V Solar Charge Controller (Gel)</v>
          </cell>
          <cell r="E41" t="str">
            <v>PR1210L</v>
          </cell>
          <cell r="F41" t="str">
            <v>MPN (Part #)</v>
          </cell>
          <cell r="G41">
            <v>122.2</v>
          </cell>
          <cell r="H41">
            <v>111.10000000000001</v>
          </cell>
          <cell r="J41">
            <v>0.3</v>
          </cell>
          <cell r="K41">
            <v>10</v>
          </cell>
          <cell r="L41">
            <v>5</v>
          </cell>
          <cell r="M41">
            <v>3</v>
          </cell>
          <cell r="N41" t="str">
            <v>4-Plasmatronics</v>
          </cell>
        </row>
        <row r="42">
          <cell r="A42" t="str">
            <v>B0036</v>
          </cell>
          <cell r="B42" t="str">
            <v>Solar Controllers</v>
          </cell>
          <cell r="C42" t="str">
            <v>Plasmatronics</v>
          </cell>
          <cell r="D42" t="str">
            <v>PL40 40A Solar Charge Controller</v>
          </cell>
          <cell r="E42" t="str">
            <v>PL40</v>
          </cell>
          <cell r="F42" t="str">
            <v>PL40</v>
          </cell>
          <cell r="G42">
            <v>591.55000000000007</v>
          </cell>
          <cell r="H42">
            <v>537.75</v>
          </cell>
          <cell r="J42">
            <v>0.56000000000000005</v>
          </cell>
          <cell r="K42">
            <v>14.8</v>
          </cell>
          <cell r="L42">
            <v>13</v>
          </cell>
          <cell r="M42">
            <v>5</v>
          </cell>
          <cell r="N42" t="str">
            <v>4-Plasmatronics</v>
          </cell>
        </row>
        <row r="43">
          <cell r="A43" t="str">
            <v>B0037</v>
          </cell>
          <cell r="B43" t="str">
            <v>Solar Panels</v>
          </cell>
          <cell r="C43" t="str">
            <v>Victron</v>
          </cell>
          <cell r="D43" t="str">
            <v>30W Solar Panel 12V</v>
          </cell>
          <cell r="E43" t="str">
            <v>SPP040301200</v>
          </cell>
          <cell r="F43" t="str">
            <v>MPN (Part #)</v>
          </cell>
          <cell r="G43">
            <v>0</v>
          </cell>
          <cell r="H43">
            <v>0</v>
          </cell>
          <cell r="J43">
            <v>4</v>
          </cell>
          <cell r="K43">
            <v>54.5</v>
          </cell>
          <cell r="L43">
            <v>64.5</v>
          </cell>
          <cell r="M43">
            <v>2.2999999999999998</v>
          </cell>
          <cell r="N43" t="str">
            <v>1-Victron</v>
          </cell>
        </row>
        <row r="44">
          <cell r="A44" t="str">
            <v>B0037</v>
          </cell>
          <cell r="C44" t="str">
            <v>Victron</v>
          </cell>
          <cell r="D44" t="str">
            <v>30W-12V Poly 665×350×25mm series 4a*</v>
          </cell>
          <cell r="E44" t="str">
            <v>SPP040301200</v>
          </cell>
          <cell r="F44" t="str">
            <v>MPN (Part #)</v>
          </cell>
          <cell r="G44">
            <v>0</v>
          </cell>
          <cell r="H44">
            <v>0</v>
          </cell>
          <cell r="J44">
            <v>4</v>
          </cell>
          <cell r="K44">
            <v>54.5</v>
          </cell>
          <cell r="L44">
            <v>64.5</v>
          </cell>
          <cell r="M44">
            <v>2.2999999999999998</v>
          </cell>
          <cell r="N44" t="str">
            <v>1-Victron</v>
          </cell>
        </row>
        <row r="45">
          <cell r="A45" t="str">
            <v>B0038</v>
          </cell>
          <cell r="B45" t="str">
            <v>Batteries</v>
          </cell>
          <cell r="C45" t="str">
            <v>VICTRON</v>
          </cell>
          <cell r="D45" t="str">
            <v>AGM Super Cycle Batt. (M5) 12V25Ah</v>
          </cell>
          <cell r="E45" t="str">
            <v>BAT412025081</v>
          </cell>
          <cell r="F45" t="str">
            <v>AGMSCB12V25</v>
          </cell>
          <cell r="G45">
            <v>0</v>
          </cell>
          <cell r="H45">
            <v>0</v>
          </cell>
          <cell r="J45">
            <v>7</v>
          </cell>
          <cell r="K45">
            <v>18.100000000000001</v>
          </cell>
          <cell r="L45">
            <v>7.7</v>
          </cell>
          <cell r="M45">
            <v>17.5</v>
          </cell>
          <cell r="N45" t="str">
            <v>1-Victron</v>
          </cell>
        </row>
        <row r="46">
          <cell r="A46" t="str">
            <v>B0039</v>
          </cell>
          <cell r="B46" t="str">
            <v>Solar Controllers</v>
          </cell>
          <cell r="C46" t="str">
            <v>Plasmatronics</v>
          </cell>
          <cell r="D46" t="str">
            <v>PL20 20A Solar Charge Controller</v>
          </cell>
          <cell r="E46" t="str">
            <v>PL20</v>
          </cell>
          <cell r="F46" t="str">
            <v>PL20</v>
          </cell>
          <cell r="G46">
            <v>476.1</v>
          </cell>
          <cell r="H46">
            <v>432.8</v>
          </cell>
          <cell r="J46">
            <v>0.34499999999999997</v>
          </cell>
          <cell r="K46">
            <v>14.8</v>
          </cell>
          <cell r="L46">
            <v>13</v>
          </cell>
          <cell r="M46">
            <v>5</v>
          </cell>
          <cell r="N46" t="str">
            <v>4-Plasmatronics</v>
          </cell>
        </row>
        <row r="47">
          <cell r="A47" t="str">
            <v>B0040</v>
          </cell>
          <cell r="D47" t="str">
            <v>SOLAR CHRG CONT 60A PL60  PLA</v>
          </cell>
          <cell r="G47">
            <v>0</v>
          </cell>
          <cell r="H47">
            <v>0</v>
          </cell>
          <cell r="N47" t="str">
            <v/>
          </cell>
        </row>
        <row r="48">
          <cell r="A48" t="str">
            <v>B0041</v>
          </cell>
          <cell r="B48" t="str">
            <v>Inverters</v>
          </cell>
          <cell r="C48" t="str">
            <v>SMA</v>
          </cell>
          <cell r="D48" t="str">
            <v xml:space="preserve"> Sunny Boy 3.0kW Inverter</v>
          </cell>
          <cell r="E48" t="str">
            <v>SB 3.0-1</v>
          </cell>
          <cell r="F48" t="str">
            <v>SunnyBoy 3kW</v>
          </cell>
          <cell r="G48">
            <v>1964.3000000000002</v>
          </cell>
          <cell r="H48">
            <v>1785.7</v>
          </cell>
          <cell r="J48">
            <v>16</v>
          </cell>
          <cell r="K48">
            <v>48</v>
          </cell>
          <cell r="L48">
            <v>44</v>
          </cell>
          <cell r="M48">
            <v>19</v>
          </cell>
          <cell r="N48" t="str">
            <v>2-Krannich</v>
          </cell>
        </row>
        <row r="49">
          <cell r="A49" t="str">
            <v>B0042</v>
          </cell>
          <cell r="B49" t="str">
            <v>Inverters</v>
          </cell>
          <cell r="C49" t="str">
            <v>SMA</v>
          </cell>
          <cell r="D49" t="str">
            <v xml:space="preserve"> Sunny Boy 4.0kW Inverter</v>
          </cell>
          <cell r="E49" t="str">
            <v>SB 4.0-1</v>
          </cell>
          <cell r="F49" t="str">
            <v>SunnyBoy 4kW</v>
          </cell>
          <cell r="G49">
            <v>2198.4500000000003</v>
          </cell>
          <cell r="H49">
            <v>1998.5500000000002</v>
          </cell>
          <cell r="J49">
            <v>16</v>
          </cell>
          <cell r="K49">
            <v>48</v>
          </cell>
          <cell r="L49">
            <v>44</v>
          </cell>
          <cell r="M49">
            <v>19</v>
          </cell>
          <cell r="N49" t="str">
            <v>2-Krannich</v>
          </cell>
        </row>
        <row r="50">
          <cell r="A50" t="str">
            <v>B0043</v>
          </cell>
          <cell r="B50" t="str">
            <v>Solar Controllers</v>
          </cell>
          <cell r="C50" t="str">
            <v>Victron</v>
          </cell>
          <cell r="D50" t="str">
            <v>BlueSolar PWM Lite12/24V-20A</v>
          </cell>
          <cell r="E50" t="str">
            <v>SCC010020020</v>
          </cell>
          <cell r="F50" t="str">
            <v>PWM Lite 20A</v>
          </cell>
          <cell r="G50">
            <v>46.550000000000004</v>
          </cell>
          <cell r="H50">
            <v>42.300000000000004</v>
          </cell>
          <cell r="J50">
            <v>0.16</v>
          </cell>
          <cell r="K50">
            <v>14</v>
          </cell>
          <cell r="L50">
            <v>7.5</v>
          </cell>
          <cell r="M50">
            <v>4</v>
          </cell>
          <cell r="N50" t="str">
            <v>1-Victron</v>
          </cell>
        </row>
        <row r="51">
          <cell r="A51" t="str">
            <v>B0044</v>
          </cell>
          <cell r="B51" t="str">
            <v>Solar Controllers</v>
          </cell>
          <cell r="C51" t="str">
            <v>Victron</v>
          </cell>
          <cell r="D51" t="str">
            <v>BlueSolar PWM Lite12/24V-10A</v>
          </cell>
          <cell r="E51" t="str">
            <v>SCC010010000</v>
          </cell>
          <cell r="F51" t="str">
            <v>PWM Lite 10A</v>
          </cell>
          <cell r="G51">
            <v>34.65</v>
          </cell>
          <cell r="H51">
            <v>31.5</v>
          </cell>
          <cell r="J51">
            <v>0.16</v>
          </cell>
          <cell r="K51">
            <v>14</v>
          </cell>
          <cell r="L51">
            <v>7.5</v>
          </cell>
          <cell r="M51">
            <v>4</v>
          </cell>
          <cell r="N51" t="str">
            <v>1-Victron</v>
          </cell>
        </row>
        <row r="52">
          <cell r="A52" t="str">
            <v>B0045</v>
          </cell>
          <cell r="B52" t="str">
            <v>Solar Controllers</v>
          </cell>
          <cell r="C52" t="str">
            <v>Victron</v>
          </cell>
          <cell r="D52" t="str">
            <v>BlueSolar PWM Lite12/24V-5A</v>
          </cell>
          <cell r="E52" t="str">
            <v>SCC010005000</v>
          </cell>
          <cell r="F52" t="str">
            <v>PWM Lite 5A</v>
          </cell>
          <cell r="G52">
            <v>29.700000000000003</v>
          </cell>
          <cell r="H52">
            <v>27</v>
          </cell>
          <cell r="J52">
            <v>0.16</v>
          </cell>
          <cell r="K52">
            <v>14</v>
          </cell>
          <cell r="L52">
            <v>7.5</v>
          </cell>
          <cell r="M52">
            <v>4</v>
          </cell>
          <cell r="N52" t="str">
            <v>1-Victron</v>
          </cell>
        </row>
        <row r="53">
          <cell r="A53" t="str">
            <v>B0046</v>
          </cell>
          <cell r="B53" t="str">
            <v>Solar Controllers</v>
          </cell>
          <cell r="C53" t="str">
            <v>Victron</v>
          </cell>
          <cell r="D53" t="str">
            <v>BlueSolar PWM Lite12/24V-30A</v>
          </cell>
          <cell r="E53" t="str">
            <v>SCC010030020</v>
          </cell>
          <cell r="F53" t="str">
            <v>PWM Lite 30A</v>
          </cell>
          <cell r="G53">
            <v>64.350000000000009</v>
          </cell>
          <cell r="H53">
            <v>58.5</v>
          </cell>
          <cell r="J53">
            <v>0.16</v>
          </cell>
          <cell r="K53">
            <v>14</v>
          </cell>
          <cell r="L53">
            <v>7.5</v>
          </cell>
          <cell r="M53">
            <v>4</v>
          </cell>
          <cell r="N53" t="str">
            <v>1-Victron</v>
          </cell>
        </row>
        <row r="54">
          <cell r="A54" t="str">
            <v>B0047</v>
          </cell>
          <cell r="B54" t="str">
            <v>Solar Panels</v>
          </cell>
          <cell r="C54" t="str">
            <v>Victron</v>
          </cell>
          <cell r="D54" t="str">
            <v>20W Poly Solar Panel 12V</v>
          </cell>
          <cell r="E54" t="str">
            <v>SPP040201200</v>
          </cell>
          <cell r="F54" t="str">
            <v>SPP040201200</v>
          </cell>
          <cell r="G54">
            <v>0</v>
          </cell>
          <cell r="H54">
            <v>0</v>
          </cell>
          <cell r="J54">
            <v>2.2000000000000002</v>
          </cell>
          <cell r="K54">
            <v>48</v>
          </cell>
          <cell r="L54">
            <v>35</v>
          </cell>
          <cell r="M54">
            <v>2.5</v>
          </cell>
          <cell r="N54" t="str">
            <v>1-Victron</v>
          </cell>
        </row>
        <row r="55">
          <cell r="A55" t="str">
            <v>B0048</v>
          </cell>
          <cell r="D55" t="str">
            <v>SOLAR PANEL 150W 12V</v>
          </cell>
          <cell r="G55">
            <v>0</v>
          </cell>
          <cell r="H55">
            <v>0</v>
          </cell>
          <cell r="N55" t="str">
            <v/>
          </cell>
        </row>
        <row r="56">
          <cell r="A56" t="str">
            <v>B0049</v>
          </cell>
          <cell r="D56" t="str">
            <v>SOLAR PANEL 80W</v>
          </cell>
          <cell r="G56">
            <v>0</v>
          </cell>
          <cell r="H56">
            <v>0</v>
          </cell>
          <cell r="N56" t="str">
            <v/>
          </cell>
        </row>
        <row r="57">
          <cell r="A57" t="str">
            <v>B0050</v>
          </cell>
          <cell r="D57" t="str">
            <v>SOLAR PANEL 120W</v>
          </cell>
          <cell r="G57">
            <v>0</v>
          </cell>
          <cell r="H57">
            <v>0</v>
          </cell>
          <cell r="N57" t="str">
            <v/>
          </cell>
        </row>
        <row r="58">
          <cell r="A58" t="str">
            <v>B0051</v>
          </cell>
          <cell r="B58" t="str">
            <v>Control</v>
          </cell>
          <cell r="C58" t="str">
            <v>ecoCool</v>
          </cell>
          <cell r="D58" t="str">
            <v>12V Digital Timer Switch</v>
          </cell>
          <cell r="E58" t="str">
            <v>12V Timer</v>
          </cell>
          <cell r="F58" t="str">
            <v>12V Timer</v>
          </cell>
          <cell r="G58">
            <v>60.900000000000006</v>
          </cell>
          <cell r="H58">
            <v>55.400000000000006</v>
          </cell>
          <cell r="J58">
            <v>0.35</v>
          </cell>
          <cell r="K58">
            <v>5</v>
          </cell>
          <cell r="L58">
            <v>5</v>
          </cell>
          <cell r="M58">
            <v>3.7</v>
          </cell>
          <cell r="N58" t="str">
            <v>6-Various</v>
          </cell>
        </row>
        <row r="59">
          <cell r="A59" t="str">
            <v>B0052</v>
          </cell>
          <cell r="B59" t="str">
            <v>Electrical</v>
          </cell>
          <cell r="C59" t="str">
            <v>NHP</v>
          </cell>
          <cell r="D59" t="str">
            <v>Switch, Isolator 20A</v>
          </cell>
          <cell r="E59" t="str">
            <v>NL120S</v>
          </cell>
          <cell r="F59" t="str">
            <v>MPN (Part #)</v>
          </cell>
          <cell r="G59">
            <v>17.100000000000001</v>
          </cell>
          <cell r="H59">
            <v>15.55</v>
          </cell>
          <cell r="N59" t="str">
            <v>3-Tradezone</v>
          </cell>
        </row>
        <row r="60">
          <cell r="A60" t="str">
            <v>B0053</v>
          </cell>
          <cell r="B60" t="str">
            <v>Solar Panels</v>
          </cell>
          <cell r="C60" t="str">
            <v>Victron</v>
          </cell>
          <cell r="D60" t="str">
            <v>20W Solar Panel 12V</v>
          </cell>
          <cell r="E60" t="str">
            <v>SPP040201200</v>
          </cell>
          <cell r="F60" t="str">
            <v>MPN (Part #)</v>
          </cell>
          <cell r="G60">
            <v>0</v>
          </cell>
          <cell r="H60">
            <v>0</v>
          </cell>
          <cell r="J60">
            <v>1.8</v>
          </cell>
          <cell r="K60">
            <v>36</v>
          </cell>
          <cell r="L60">
            <v>30.6</v>
          </cell>
          <cell r="M60">
            <v>1.7</v>
          </cell>
          <cell r="N60" t="str">
            <v/>
          </cell>
        </row>
        <row r="61">
          <cell r="A61" t="str">
            <v>B0054</v>
          </cell>
          <cell r="B61" t="str">
            <v>Control</v>
          </cell>
          <cell r="C61" t="str">
            <v>Plasmatronics</v>
          </cell>
          <cell r="D61" t="str">
            <v>DSA Dingo External Shunt Adapator &amp; Cable</v>
          </cell>
          <cell r="E61" t="str">
            <v>DSA</v>
          </cell>
          <cell r="F61" t="str">
            <v>DSA</v>
          </cell>
          <cell r="G61">
            <v>223.85000000000002</v>
          </cell>
          <cell r="H61">
            <v>203.5</v>
          </cell>
          <cell r="J61">
            <v>0.25</v>
          </cell>
          <cell r="K61">
            <v>8</v>
          </cell>
          <cell r="L61">
            <v>3.5</v>
          </cell>
          <cell r="M61">
            <v>3</v>
          </cell>
          <cell r="N61" t="str">
            <v>4-Plasmatronics</v>
          </cell>
        </row>
        <row r="62">
          <cell r="A62" t="str">
            <v>B0055</v>
          </cell>
          <cell r="B62" t="str">
            <v>Control</v>
          </cell>
          <cell r="C62" t="str">
            <v>Plasmatronics</v>
          </cell>
          <cell r="D62" t="str">
            <v>DUSB Dingo USB to PC interface &amp; cable</v>
          </cell>
          <cell r="E62" t="str">
            <v>DUSB</v>
          </cell>
          <cell r="F62" t="str">
            <v>DUSB</v>
          </cell>
          <cell r="G62">
            <v>165.45000000000002</v>
          </cell>
          <cell r="H62">
            <v>150.45000000000002</v>
          </cell>
          <cell r="J62">
            <v>0.25</v>
          </cell>
          <cell r="K62">
            <v>8</v>
          </cell>
          <cell r="L62">
            <v>3.5</v>
          </cell>
          <cell r="M62">
            <v>3</v>
          </cell>
          <cell r="N62" t="str">
            <v>4-Plasmatronics</v>
          </cell>
        </row>
        <row r="63">
          <cell r="A63" t="str">
            <v>B0056</v>
          </cell>
          <cell r="B63" t="str">
            <v>Control</v>
          </cell>
          <cell r="C63" t="str">
            <v>Plasmatronics</v>
          </cell>
          <cell r="D63" t="str">
            <v>DRC Dingo remote control Monitor &amp; cable</v>
          </cell>
          <cell r="E63" t="str">
            <v>DRC</v>
          </cell>
          <cell r="F63" t="str">
            <v>DRC</v>
          </cell>
          <cell r="G63">
            <v>231.25</v>
          </cell>
          <cell r="H63">
            <v>210.25</v>
          </cell>
          <cell r="J63">
            <v>0.1</v>
          </cell>
          <cell r="K63">
            <v>12</v>
          </cell>
          <cell r="L63">
            <v>3</v>
          </cell>
          <cell r="M63">
            <v>2</v>
          </cell>
          <cell r="N63" t="str">
            <v>4-Plasmatronics</v>
          </cell>
        </row>
        <row r="64">
          <cell r="A64" t="str">
            <v>B0057</v>
          </cell>
          <cell r="B64" t="str">
            <v>Inverters</v>
          </cell>
          <cell r="C64" t="str">
            <v>Victron</v>
          </cell>
          <cell r="D64" t="str">
            <v>Phoenix 12/1200 VE.Direct AU/NZ</v>
          </cell>
          <cell r="E64" t="str">
            <v>PIN122121300</v>
          </cell>
          <cell r="F64" t="str">
            <v>Phoenix 12/1200</v>
          </cell>
          <cell r="G64">
            <v>568.25</v>
          </cell>
          <cell r="H64">
            <v>516.6</v>
          </cell>
          <cell r="J64">
            <v>7.4</v>
          </cell>
          <cell r="K64">
            <v>33</v>
          </cell>
          <cell r="L64">
            <v>23</v>
          </cell>
          <cell r="M64">
            <v>12</v>
          </cell>
          <cell r="N64" t="str">
            <v>1-Victron</v>
          </cell>
        </row>
        <row r="65">
          <cell r="A65" t="str">
            <v>B0058</v>
          </cell>
          <cell r="B65" t="str">
            <v>Control</v>
          </cell>
          <cell r="C65" t="str">
            <v>Plasmatronics</v>
          </cell>
          <cell r="D65" t="str">
            <v>DCAB Dingo 3m accessories cable</v>
          </cell>
          <cell r="E65" t="str">
            <v>DCAB</v>
          </cell>
          <cell r="F65" t="str">
            <v>DCAB</v>
          </cell>
          <cell r="G65">
            <v>25.85</v>
          </cell>
          <cell r="H65">
            <v>23.5</v>
          </cell>
          <cell r="J65">
            <v>0.1</v>
          </cell>
          <cell r="K65">
            <v>12</v>
          </cell>
          <cell r="L65">
            <v>3</v>
          </cell>
          <cell r="M65">
            <v>2</v>
          </cell>
          <cell r="N65" t="str">
            <v>4-Plasmatronics</v>
          </cell>
        </row>
        <row r="66">
          <cell r="A66" t="str">
            <v>B0059</v>
          </cell>
          <cell r="B66" t="str">
            <v>PLJ RJ12 Cable Joiner Plug</v>
          </cell>
          <cell r="D66" t="str">
            <v>PLJ RJ12 Cable Joiner Plug</v>
          </cell>
          <cell r="G66">
            <v>0</v>
          </cell>
          <cell r="H66">
            <v>0</v>
          </cell>
          <cell r="N66" t="str">
            <v>4-Plasmatronics</v>
          </cell>
        </row>
        <row r="67">
          <cell r="A67" t="str">
            <v>B0060</v>
          </cell>
          <cell r="B67" t="str">
            <v>Solar Controllers</v>
          </cell>
          <cell r="C67" t="str">
            <v>Victron</v>
          </cell>
          <cell r="D67" t="str">
            <v>BlueSolar MPPT 100/50</v>
          </cell>
          <cell r="E67" t="str">
            <v>SCC020050200</v>
          </cell>
          <cell r="F67" t="str">
            <v>MPPT 100 50</v>
          </cell>
          <cell r="G67">
            <v>285.10000000000002</v>
          </cell>
          <cell r="H67">
            <v>259.2</v>
          </cell>
          <cell r="J67">
            <v>1.3</v>
          </cell>
          <cell r="K67">
            <v>19</v>
          </cell>
          <cell r="L67">
            <v>13.5</v>
          </cell>
          <cell r="M67">
            <v>7</v>
          </cell>
          <cell r="N67" t="str">
            <v>1-Victron</v>
          </cell>
        </row>
        <row r="68">
          <cell r="A68" t="str">
            <v>B0061</v>
          </cell>
          <cell r="B68" t="str">
            <v>Pumps</v>
          </cell>
          <cell r="C68" t="str">
            <v>Lowara</v>
          </cell>
          <cell r="D68" t="str">
            <v xml:space="preserve">24V Ecocirc D5-Solar-38/700B Pump </v>
          </cell>
          <cell r="E68" t="str">
            <v>D5solar-38/700B</v>
          </cell>
          <cell r="F68" t="str">
            <v>D5solar-38/700B</v>
          </cell>
          <cell r="G68">
            <v>0</v>
          </cell>
          <cell r="H68">
            <v>0</v>
          </cell>
          <cell r="J68">
            <v>0.9</v>
          </cell>
          <cell r="K68">
            <v>19</v>
          </cell>
          <cell r="L68">
            <v>9</v>
          </cell>
          <cell r="M68">
            <v>9</v>
          </cell>
          <cell r="N68" t="str">
            <v>15-Xylem</v>
          </cell>
        </row>
        <row r="69">
          <cell r="A69" t="str">
            <v>B0062</v>
          </cell>
          <cell r="B69" t="str">
            <v>Pumps</v>
          </cell>
          <cell r="C69" t="str">
            <v>Lowara</v>
          </cell>
          <cell r="D69" t="str">
            <v>Pump Lowara 24V D5-Vario 38/700B</v>
          </cell>
          <cell r="E69" t="str">
            <v>D5-38/700B</v>
          </cell>
          <cell r="F69" t="str">
            <v>MPN (Part #)</v>
          </cell>
          <cell r="G69">
            <v>0</v>
          </cell>
          <cell r="H69">
            <v>0</v>
          </cell>
          <cell r="J69">
            <v>0.9</v>
          </cell>
          <cell r="K69">
            <v>19</v>
          </cell>
          <cell r="L69">
            <v>9</v>
          </cell>
          <cell r="M69">
            <v>9</v>
          </cell>
          <cell r="N69" t="str">
            <v>15-Xylem</v>
          </cell>
        </row>
        <row r="70">
          <cell r="A70" t="str">
            <v>B0063</v>
          </cell>
          <cell r="B70" t="str">
            <v>Pumps</v>
          </cell>
          <cell r="C70" t="str">
            <v>Lowara</v>
          </cell>
          <cell r="D70" t="str">
            <v xml:space="preserve">230v Ecocirc BASIC 20-6/150 N Pump </v>
          </cell>
          <cell r="E70" t="str">
            <v>BASIC 20-6/150 N</v>
          </cell>
          <cell r="F70" t="str">
            <v>BASIC 20-6/150 N</v>
          </cell>
          <cell r="G70">
            <v>0</v>
          </cell>
          <cell r="H70">
            <v>0</v>
          </cell>
          <cell r="J70">
            <v>2</v>
          </cell>
          <cell r="K70">
            <v>16</v>
          </cell>
          <cell r="L70">
            <v>10</v>
          </cell>
          <cell r="M70">
            <v>150</v>
          </cell>
          <cell r="N70" t="str">
            <v>15-Xylem</v>
          </cell>
        </row>
        <row r="71">
          <cell r="A71" t="str">
            <v>B0064</v>
          </cell>
          <cell r="B71" t="str">
            <v>Control</v>
          </cell>
          <cell r="C71" t="str">
            <v>Baintech</v>
          </cell>
          <cell r="D71" t="str">
            <v>Battery Monitor 12V</v>
          </cell>
          <cell r="E71" t="str">
            <v>BTVM-10-30</v>
          </cell>
          <cell r="F71" t="str">
            <v>BTVM-10-30</v>
          </cell>
          <cell r="G71">
            <v>0</v>
          </cell>
          <cell r="H71">
            <v>0</v>
          </cell>
          <cell r="J71">
            <v>0.05</v>
          </cell>
          <cell r="K71">
            <v>7</v>
          </cell>
          <cell r="L71">
            <v>2.5</v>
          </cell>
          <cell r="M71">
            <v>2</v>
          </cell>
          <cell r="N71" t="str">
            <v>13-Baintech</v>
          </cell>
        </row>
        <row r="72">
          <cell r="A72" t="str">
            <v>B0065</v>
          </cell>
          <cell r="D72" t="str">
            <v>Fuse holder - Midi Fuse</v>
          </cell>
          <cell r="G72">
            <v>0</v>
          </cell>
          <cell r="H72">
            <v>0</v>
          </cell>
          <cell r="N72" t="str">
            <v/>
          </cell>
        </row>
        <row r="73">
          <cell r="A73" t="str">
            <v>B0066</v>
          </cell>
          <cell r="D73" t="str">
            <v>Fuse Blade 10A</v>
          </cell>
          <cell r="G73">
            <v>0</v>
          </cell>
          <cell r="H73">
            <v>0</v>
          </cell>
          <cell r="N73" t="str">
            <v/>
          </cell>
        </row>
        <row r="74">
          <cell r="A74" t="str">
            <v>B0067</v>
          </cell>
          <cell r="D74" t="str">
            <v>Fuse Blade 15A</v>
          </cell>
          <cell r="G74">
            <v>0</v>
          </cell>
          <cell r="H74">
            <v>0</v>
          </cell>
          <cell r="N74" t="str">
            <v/>
          </cell>
        </row>
        <row r="75">
          <cell r="A75" t="str">
            <v>B0068</v>
          </cell>
          <cell r="D75" t="str">
            <v>Fuse Blade 20A</v>
          </cell>
          <cell r="G75">
            <v>0</v>
          </cell>
          <cell r="H75">
            <v>0</v>
          </cell>
          <cell r="N75" t="str">
            <v/>
          </cell>
        </row>
        <row r="76">
          <cell r="A76" t="str">
            <v>B0069</v>
          </cell>
          <cell r="D76" t="str">
            <v>Fuse Blade 30A</v>
          </cell>
          <cell r="G76">
            <v>0</v>
          </cell>
          <cell r="H76">
            <v>0</v>
          </cell>
          <cell r="N76" t="str">
            <v/>
          </cell>
        </row>
        <row r="77">
          <cell r="A77" t="str">
            <v>B0070</v>
          </cell>
          <cell r="D77" t="str">
            <v>Fuse Holder Blade 30A Wired</v>
          </cell>
          <cell r="G77">
            <v>0</v>
          </cell>
          <cell r="H77">
            <v>0</v>
          </cell>
          <cell r="N77" t="str">
            <v/>
          </cell>
        </row>
        <row r="78">
          <cell r="A78" t="str">
            <v>B0071</v>
          </cell>
          <cell r="B78" t="str">
            <v>Inverters</v>
          </cell>
          <cell r="C78" t="str">
            <v>Victron</v>
          </cell>
          <cell r="D78" t="str">
            <v>Phoenix 12/250  VE.Direct Inverter</v>
          </cell>
          <cell r="E78" t="str">
            <v>PIN121251300</v>
          </cell>
          <cell r="F78" t="str">
            <v>Phoenix 12/250</v>
          </cell>
          <cell r="G78">
            <v>164.35000000000002</v>
          </cell>
          <cell r="H78">
            <v>149.4</v>
          </cell>
          <cell r="J78">
            <v>2.4</v>
          </cell>
          <cell r="K78">
            <v>26</v>
          </cell>
          <cell r="L78">
            <v>17</v>
          </cell>
          <cell r="M78">
            <v>9</v>
          </cell>
          <cell r="N78" t="str">
            <v>1-Victron</v>
          </cell>
        </row>
        <row r="79">
          <cell r="A79" t="str">
            <v>B0072</v>
          </cell>
          <cell r="B79" t="str">
            <v>Inverters</v>
          </cell>
          <cell r="C79" t="str">
            <v>Victron</v>
          </cell>
          <cell r="D79" t="str">
            <v>Phoenix 12/375 VE.Direct Inverter</v>
          </cell>
          <cell r="E79" t="str">
            <v>PIN123750300</v>
          </cell>
          <cell r="F79" t="str">
            <v>Phoenix 12/375</v>
          </cell>
          <cell r="G79">
            <v>0</v>
          </cell>
          <cell r="H79">
            <v>0</v>
          </cell>
          <cell r="J79">
            <v>3</v>
          </cell>
          <cell r="K79">
            <v>26</v>
          </cell>
          <cell r="L79">
            <v>17</v>
          </cell>
          <cell r="M79">
            <v>9</v>
          </cell>
          <cell r="N79" t="str">
            <v>1-Victron</v>
          </cell>
        </row>
        <row r="80">
          <cell r="A80" t="str">
            <v>B0073</v>
          </cell>
          <cell r="D80" t="str">
            <v>Isolator Switch 20A 2 Pole</v>
          </cell>
          <cell r="G80">
            <v>0</v>
          </cell>
          <cell r="H80">
            <v>0</v>
          </cell>
          <cell r="N80" t="str">
            <v/>
          </cell>
        </row>
        <row r="81">
          <cell r="A81" t="str">
            <v>B0074</v>
          </cell>
          <cell r="D81" t="str">
            <v>Conduit Entry M25 PVC Grey</v>
          </cell>
          <cell r="G81">
            <v>0</v>
          </cell>
          <cell r="H81">
            <v>0</v>
          </cell>
          <cell r="N81" t="str">
            <v/>
          </cell>
        </row>
        <row r="82">
          <cell r="A82" t="str">
            <v>B0075</v>
          </cell>
          <cell r="D82" t="str">
            <v>Conduit Entry Blank Plug 20mm</v>
          </cell>
          <cell r="G82">
            <v>0</v>
          </cell>
          <cell r="H82">
            <v>0</v>
          </cell>
          <cell r="N82" t="str">
            <v/>
          </cell>
        </row>
        <row r="83">
          <cell r="A83" t="str">
            <v>B0076</v>
          </cell>
          <cell r="D83" t="str">
            <v>Plug Hex 1/2" BSP Brass</v>
          </cell>
          <cell r="G83">
            <v>0</v>
          </cell>
          <cell r="H83">
            <v>0</v>
          </cell>
          <cell r="N83" t="str">
            <v/>
          </cell>
        </row>
        <row r="84">
          <cell r="A84" t="str">
            <v>B0077</v>
          </cell>
          <cell r="D84" t="str">
            <v>Fan 24V San Ace DIA172 IP68</v>
          </cell>
          <cell r="G84">
            <v>0</v>
          </cell>
          <cell r="H84">
            <v>0</v>
          </cell>
          <cell r="N84" t="str">
            <v/>
          </cell>
        </row>
        <row r="85">
          <cell r="A85" t="str">
            <v>B0078</v>
          </cell>
          <cell r="D85" t="str">
            <v>Drum 220L HDPE Blue (Enclosed)</v>
          </cell>
          <cell r="G85">
            <v>0</v>
          </cell>
          <cell r="H85">
            <v>0</v>
          </cell>
          <cell r="N85" t="str">
            <v/>
          </cell>
        </row>
        <row r="86">
          <cell r="A86" t="str">
            <v>B0079</v>
          </cell>
          <cell r="D86" t="str">
            <v>Nut Conduit Entry M25 (PVC)</v>
          </cell>
          <cell r="G86">
            <v>0</v>
          </cell>
          <cell r="H86">
            <v>0</v>
          </cell>
          <cell r="N86" t="str">
            <v/>
          </cell>
        </row>
        <row r="87">
          <cell r="A87" t="str">
            <v>B0080</v>
          </cell>
          <cell r="D87" t="str">
            <v>Cable Gland M16 Nylon</v>
          </cell>
          <cell r="G87">
            <v>0</v>
          </cell>
          <cell r="H87">
            <v>0</v>
          </cell>
          <cell r="N87" t="str">
            <v/>
          </cell>
        </row>
        <row r="88">
          <cell r="A88" t="str">
            <v>B0081</v>
          </cell>
          <cell r="D88" t="str">
            <v>Compressor Siam Compressor</v>
          </cell>
          <cell r="G88">
            <v>0</v>
          </cell>
          <cell r="H88">
            <v>0</v>
          </cell>
          <cell r="N88" t="str">
            <v/>
          </cell>
        </row>
        <row r="89">
          <cell r="A89" t="str">
            <v>B0082</v>
          </cell>
          <cell r="D89" t="str">
            <v>Bush PU Dia27x15/Dia18.5x3</v>
          </cell>
          <cell r="G89">
            <v>0</v>
          </cell>
          <cell r="H89">
            <v>0</v>
          </cell>
          <cell r="N89" t="str">
            <v/>
          </cell>
        </row>
        <row r="90">
          <cell r="A90" t="str">
            <v>B0083</v>
          </cell>
          <cell r="D90" t="str">
            <v>LED Lens Clear DIA9</v>
          </cell>
          <cell r="G90">
            <v>0</v>
          </cell>
          <cell r="H90">
            <v>0</v>
          </cell>
          <cell r="N90" t="str">
            <v/>
          </cell>
        </row>
        <row r="91">
          <cell r="A91" t="str">
            <v>B0084</v>
          </cell>
          <cell r="D91" t="str">
            <v>Rubber Nut M8x18</v>
          </cell>
          <cell r="G91">
            <v>0</v>
          </cell>
          <cell r="H91">
            <v>0</v>
          </cell>
          <cell r="N91" t="str">
            <v/>
          </cell>
        </row>
        <row r="92">
          <cell r="A92" t="str">
            <v>B0085</v>
          </cell>
          <cell r="D92" t="str">
            <v>Nutsert M5 Stainless Steel Self-clinching</v>
          </cell>
          <cell r="G92">
            <v>0</v>
          </cell>
          <cell r="H92">
            <v>0</v>
          </cell>
          <cell r="N92" t="str">
            <v>6-Various</v>
          </cell>
        </row>
        <row r="93">
          <cell r="A93" t="str">
            <v>B0086</v>
          </cell>
          <cell r="B93" t="str">
            <v>Fuses</v>
          </cell>
          <cell r="D93" t="str">
            <v>Nut Clinching M4 S/S304</v>
          </cell>
          <cell r="G93">
            <v>0</v>
          </cell>
          <cell r="H93">
            <v>0</v>
          </cell>
          <cell r="N93" t="str">
            <v/>
          </cell>
        </row>
        <row r="94">
          <cell r="A94" t="str">
            <v>B0087</v>
          </cell>
          <cell r="D94" t="str">
            <v>Cable Gland M20 Nylon</v>
          </cell>
          <cell r="G94">
            <v>0</v>
          </cell>
          <cell r="H94">
            <v>0</v>
          </cell>
          <cell r="N94" t="str">
            <v/>
          </cell>
        </row>
        <row r="95">
          <cell r="A95" t="str">
            <v>B0088</v>
          </cell>
          <cell r="B95" t="str">
            <v>Pumps</v>
          </cell>
          <cell r="C95" t="str">
            <v>Lowara</v>
          </cell>
          <cell r="D95" t="str">
            <v>Barrel Union Bronze 1 1/4" x 3/4"</v>
          </cell>
          <cell r="E95" t="str">
            <v>B/Union 1-1/4</v>
          </cell>
          <cell r="F95" t="str">
            <v>B/Union 1-1/4</v>
          </cell>
          <cell r="G95">
            <v>0</v>
          </cell>
          <cell r="H95">
            <v>0</v>
          </cell>
          <cell r="J95">
            <v>0.25</v>
          </cell>
          <cell r="K95">
            <v>5</v>
          </cell>
          <cell r="L95">
            <v>5</v>
          </cell>
          <cell r="M95">
            <v>3</v>
          </cell>
          <cell r="N95" t="str">
            <v>15-Xylem</v>
          </cell>
        </row>
        <row r="96">
          <cell r="A96" t="str">
            <v>B0089</v>
          </cell>
          <cell r="B96" t="str">
            <v>Electrical</v>
          </cell>
          <cell r="C96" t="str">
            <v>Electus</v>
          </cell>
          <cell r="D96" t="str">
            <v>Terminal Block 12 Pole 60A</v>
          </cell>
          <cell r="E96" t="str">
            <v>HM3204</v>
          </cell>
          <cell r="G96">
            <v>5.1000000000000005</v>
          </cell>
          <cell r="H96">
            <v>4.6500000000000004</v>
          </cell>
          <cell r="N96" t="str">
            <v>6-Various</v>
          </cell>
        </row>
        <row r="97">
          <cell r="A97" t="str">
            <v>B0090</v>
          </cell>
          <cell r="D97" t="str">
            <v>Fuse Blade 40A</v>
          </cell>
          <cell r="G97">
            <v>0</v>
          </cell>
          <cell r="H97">
            <v>0</v>
          </cell>
          <cell r="N97" t="str">
            <v/>
          </cell>
        </row>
        <row r="98">
          <cell r="A98" t="str">
            <v>B0091</v>
          </cell>
          <cell r="D98" t="str">
            <v>Fuse 40A Midi</v>
          </cell>
          <cell r="G98">
            <v>0</v>
          </cell>
          <cell r="H98">
            <v>0</v>
          </cell>
          <cell r="N98" t="str">
            <v/>
          </cell>
        </row>
        <row r="99">
          <cell r="A99" t="str">
            <v>B0092</v>
          </cell>
          <cell r="D99" t="str">
            <v>SCREW 8Gx15mm S/S304 PAN PHIL</v>
          </cell>
          <cell r="G99">
            <v>0</v>
          </cell>
          <cell r="H99">
            <v>0</v>
          </cell>
          <cell r="N99" t="str">
            <v/>
          </cell>
        </row>
        <row r="100">
          <cell r="A100" t="str">
            <v>B0093</v>
          </cell>
          <cell r="D100" t="str">
            <v>Screw M4x10 Pan Phil S/S304</v>
          </cell>
          <cell r="G100">
            <v>0</v>
          </cell>
          <cell r="H100">
            <v>0</v>
          </cell>
          <cell r="N100" t="str">
            <v/>
          </cell>
        </row>
        <row r="101">
          <cell r="A101" t="str">
            <v>B0094</v>
          </cell>
          <cell r="D101" t="str">
            <v>Bush Split Nylon DIA 25 Hole</v>
          </cell>
          <cell r="G101">
            <v>0</v>
          </cell>
          <cell r="H101">
            <v>0</v>
          </cell>
          <cell r="N101" t="str">
            <v/>
          </cell>
        </row>
        <row r="102">
          <cell r="A102" t="str">
            <v>B0095</v>
          </cell>
          <cell r="B102" t="str">
            <v>Fuses</v>
          </cell>
          <cell r="C102" t="str">
            <v>Noark</v>
          </cell>
          <cell r="D102" t="str">
            <v xml:space="preserve">MCB 20A 360V DC 2 Pole </v>
          </cell>
          <cell r="E102" t="str">
            <v>N84451</v>
          </cell>
          <cell r="F102" t="str">
            <v>MPN (Part #)</v>
          </cell>
          <cell r="G102">
            <v>32.9</v>
          </cell>
          <cell r="H102">
            <v>29.900000000000002</v>
          </cell>
          <cell r="J102">
            <v>0.25</v>
          </cell>
          <cell r="K102">
            <v>9</v>
          </cell>
          <cell r="L102">
            <v>7.5</v>
          </cell>
          <cell r="M102">
            <v>3.5</v>
          </cell>
          <cell r="N102" t="str">
            <v>3-Tradezone</v>
          </cell>
        </row>
        <row r="103">
          <cell r="A103" t="str">
            <v>B0096</v>
          </cell>
          <cell r="D103" t="str">
            <v>Link Bar 12Hole 16mm2+2xM10 terminals</v>
          </cell>
          <cell r="G103">
            <v>0</v>
          </cell>
          <cell r="H103">
            <v>0</v>
          </cell>
          <cell r="N103" t="str">
            <v>3-Tradezone</v>
          </cell>
        </row>
        <row r="104">
          <cell r="A104" t="str">
            <v>B0097</v>
          </cell>
          <cell r="D104" t="str">
            <v>Enclosure Polynova 150x110x75mm IP55</v>
          </cell>
          <cell r="G104">
            <v>0</v>
          </cell>
          <cell r="H104">
            <v>0</v>
          </cell>
          <cell r="N104" t="str">
            <v>3-Tradezone</v>
          </cell>
        </row>
        <row r="105">
          <cell r="A105" t="str">
            <v>B0098</v>
          </cell>
          <cell r="B105" t="str">
            <v>Solar Accessories</v>
          </cell>
          <cell r="C105" t="str">
            <v>DC Solutions</v>
          </cell>
          <cell r="D105" t="str">
            <v>Fuse 160A NH00 250V DC HRC</v>
          </cell>
          <cell r="E105" t="str">
            <v>FH00/160A</v>
          </cell>
          <cell r="F105" t="str">
            <v>MPN (Part #)</v>
          </cell>
          <cell r="G105">
            <v>7.0500000000000007</v>
          </cell>
          <cell r="H105">
            <v>6.4</v>
          </cell>
          <cell r="J105">
            <v>0.17</v>
          </cell>
          <cell r="K105">
            <v>8</v>
          </cell>
          <cell r="L105">
            <v>4.5</v>
          </cell>
          <cell r="M105">
            <v>2</v>
          </cell>
          <cell r="N105" t="str">
            <v>3-Tradezone</v>
          </cell>
        </row>
        <row r="106">
          <cell r="A106" t="str">
            <v>B0099</v>
          </cell>
          <cell r="D106" t="str">
            <v>Cable Link 100A 7 Terminal Red 6x16mm2+1x35mm2</v>
          </cell>
          <cell r="G106">
            <v>0</v>
          </cell>
          <cell r="H106">
            <v>0</v>
          </cell>
          <cell r="N106" t="str">
            <v>3-Tradezone</v>
          </cell>
        </row>
        <row r="107">
          <cell r="A107" t="str">
            <v>B0100</v>
          </cell>
          <cell r="D107" t="str">
            <v>Installation Gear Misc</v>
          </cell>
          <cell r="G107">
            <v>0</v>
          </cell>
          <cell r="H107">
            <v>0</v>
          </cell>
          <cell r="N107" t="str">
            <v/>
          </cell>
        </row>
        <row r="108">
          <cell r="A108" t="str">
            <v>B0101</v>
          </cell>
          <cell r="B108" t="str">
            <v>Solar Controllers</v>
          </cell>
          <cell r="C108" t="str">
            <v>Victron</v>
          </cell>
          <cell r="D108" t="str">
            <v>BlueSolar MPPT 75/15 Solar Controller</v>
          </cell>
          <cell r="E108" t="str">
            <v>SCC010015050R</v>
          </cell>
          <cell r="F108" t="str">
            <v xml:space="preserve">MPPT 75/15 </v>
          </cell>
          <cell r="G108">
            <v>85.15</v>
          </cell>
          <cell r="H108">
            <v>77.400000000000006</v>
          </cell>
          <cell r="J108">
            <v>0.5</v>
          </cell>
          <cell r="K108">
            <v>11.3</v>
          </cell>
          <cell r="L108">
            <v>10</v>
          </cell>
          <cell r="M108">
            <v>4</v>
          </cell>
          <cell r="N108" t="str">
            <v>1-Victron</v>
          </cell>
        </row>
        <row r="109">
          <cell r="A109" t="str">
            <v>B0102</v>
          </cell>
          <cell r="D109" t="str">
            <v>Stud Clinching PSM M6x15 S/S</v>
          </cell>
          <cell r="G109">
            <v>0</v>
          </cell>
          <cell r="H109">
            <v>0</v>
          </cell>
          <cell r="N109" t="str">
            <v/>
          </cell>
        </row>
        <row r="110">
          <cell r="A110" t="str">
            <v>B0103</v>
          </cell>
          <cell r="D110" t="str">
            <v>Label Adhesive 99.1x139 Laser</v>
          </cell>
          <cell r="G110">
            <v>0</v>
          </cell>
          <cell r="H110">
            <v>0</v>
          </cell>
          <cell r="N110" t="str">
            <v/>
          </cell>
        </row>
        <row r="111">
          <cell r="A111" t="str">
            <v>B0104</v>
          </cell>
          <cell r="B111" t="str">
            <v>Electrical</v>
          </cell>
          <cell r="C111" t="str">
            <v>Hager</v>
          </cell>
          <cell r="D111" t="str">
            <v xml:space="preserve">Busbar 80A 12 Pole MCB Insulated </v>
          </cell>
          <cell r="E111" t="str">
            <v>KDN180A</v>
          </cell>
          <cell r="F111" t="str">
            <v>MPN (Part #)</v>
          </cell>
          <cell r="G111">
            <v>22.6</v>
          </cell>
          <cell r="H111">
            <v>20.55</v>
          </cell>
          <cell r="N111" t="str">
            <v>3-Tradezone</v>
          </cell>
        </row>
        <row r="112">
          <cell r="A112" t="str">
            <v>B0105</v>
          </cell>
          <cell r="D112" t="str">
            <v>Bolt M10x100mm Hex Galv</v>
          </cell>
          <cell r="G112">
            <v>0</v>
          </cell>
          <cell r="H112">
            <v>0</v>
          </cell>
          <cell r="N112" t="str">
            <v/>
          </cell>
        </row>
        <row r="113">
          <cell r="A113" t="str">
            <v>B0106</v>
          </cell>
          <cell r="D113" t="str">
            <v>Nut M10 Hex Galv</v>
          </cell>
          <cell r="G113">
            <v>0</v>
          </cell>
          <cell r="H113">
            <v>0</v>
          </cell>
          <cell r="N113" t="str">
            <v/>
          </cell>
        </row>
        <row r="114">
          <cell r="A114" t="str">
            <v>B0107</v>
          </cell>
          <cell r="D114" t="str">
            <v>Washer M10 Galv</v>
          </cell>
          <cell r="G114">
            <v>0</v>
          </cell>
          <cell r="H114">
            <v>0</v>
          </cell>
          <cell r="N114" t="str">
            <v/>
          </cell>
        </row>
        <row r="115">
          <cell r="A115" t="str">
            <v>B0108</v>
          </cell>
          <cell r="D115" t="str">
            <v>Nut M6 S/S316</v>
          </cell>
          <cell r="G115">
            <v>0</v>
          </cell>
          <cell r="H115">
            <v>0</v>
          </cell>
          <cell r="N115" t="str">
            <v/>
          </cell>
        </row>
        <row r="116">
          <cell r="A116" t="str">
            <v>B0109</v>
          </cell>
          <cell r="D116" t="str">
            <v>Washer M6 Flat S/S304</v>
          </cell>
          <cell r="G116">
            <v>0</v>
          </cell>
          <cell r="H116">
            <v>0</v>
          </cell>
          <cell r="N116" t="str">
            <v/>
          </cell>
        </row>
        <row r="117">
          <cell r="A117" t="str">
            <v>B0110</v>
          </cell>
          <cell r="B117" t="str">
            <v>Solar Controllers</v>
          </cell>
          <cell r="C117" t="str">
            <v>Plasmatronics</v>
          </cell>
          <cell r="D117" t="str">
            <v>Dingo D2020N 20A Solar Charge Controller</v>
          </cell>
          <cell r="E117" t="str">
            <v>D2020N</v>
          </cell>
          <cell r="F117" t="str">
            <v>Dingo 20A</v>
          </cell>
          <cell r="G117">
            <v>476.1</v>
          </cell>
          <cell r="H117">
            <v>432.8</v>
          </cell>
          <cell r="J117">
            <v>0.48199999999999998</v>
          </cell>
          <cell r="K117">
            <v>15.7</v>
          </cell>
          <cell r="L117">
            <v>12.4</v>
          </cell>
          <cell r="M117">
            <v>5.2</v>
          </cell>
          <cell r="N117" t="str">
            <v>4-Plasmatronics</v>
          </cell>
        </row>
        <row r="118">
          <cell r="A118" t="str">
            <v>B0111</v>
          </cell>
          <cell r="B118" t="str">
            <v>Solar Controllers</v>
          </cell>
          <cell r="C118" t="str">
            <v>Plasmatronics</v>
          </cell>
          <cell r="D118" t="str">
            <v>Dingo D4040P 40A Solar Charge Controller</v>
          </cell>
          <cell r="E118" t="str">
            <v>D4040P</v>
          </cell>
          <cell r="F118" t="str">
            <v>Dingo 40A</v>
          </cell>
          <cell r="G118">
            <v>591.55000000000007</v>
          </cell>
          <cell r="H118">
            <v>537.75</v>
          </cell>
          <cell r="J118">
            <v>1.01</v>
          </cell>
          <cell r="K118">
            <v>18.8</v>
          </cell>
          <cell r="L118">
            <v>17.5</v>
          </cell>
          <cell r="M118">
            <v>5.7</v>
          </cell>
          <cell r="N118" t="str">
            <v>4-Plasmatronics</v>
          </cell>
        </row>
        <row r="119">
          <cell r="A119" t="str">
            <v>B0112</v>
          </cell>
          <cell r="D119" t="str">
            <v>Wire Rope 2.5mm</v>
          </cell>
          <cell r="G119">
            <v>0</v>
          </cell>
          <cell r="H119">
            <v>0</v>
          </cell>
          <cell r="N119" t="str">
            <v/>
          </cell>
        </row>
        <row r="120">
          <cell r="A120" t="str">
            <v>B0113</v>
          </cell>
          <cell r="D120" t="str">
            <v>Wire Rope Grip</v>
          </cell>
          <cell r="G120">
            <v>0</v>
          </cell>
          <cell r="H120">
            <v>0</v>
          </cell>
          <cell r="N120" t="str">
            <v/>
          </cell>
        </row>
        <row r="121">
          <cell r="A121" t="str">
            <v>B0114</v>
          </cell>
          <cell r="D121" t="str">
            <v>Wire Rope Ferrule</v>
          </cell>
          <cell r="G121">
            <v>0</v>
          </cell>
          <cell r="H121">
            <v>0</v>
          </cell>
          <cell r="N121" t="str">
            <v/>
          </cell>
        </row>
        <row r="122">
          <cell r="A122" t="str">
            <v>B0115</v>
          </cell>
          <cell r="B122" t="str">
            <v>Solar Controllers</v>
          </cell>
          <cell r="C122" t="str">
            <v>Plasmatronics</v>
          </cell>
          <cell r="D122" t="str">
            <v>10A 24V Solar Charge Controller (LA)</v>
          </cell>
          <cell r="E122" t="str">
            <v>PR2410</v>
          </cell>
          <cell r="F122" t="str">
            <v>MPN (Part #)</v>
          </cell>
          <cell r="G122">
            <v>116.5</v>
          </cell>
          <cell r="H122">
            <v>105.9</v>
          </cell>
          <cell r="J122">
            <v>0.3</v>
          </cell>
          <cell r="K122">
            <v>10</v>
          </cell>
          <cell r="L122">
            <v>5</v>
          </cell>
          <cell r="M122">
            <v>3</v>
          </cell>
          <cell r="N122" t="str">
            <v>4-Plasmatronics</v>
          </cell>
        </row>
        <row r="123">
          <cell r="A123" t="str">
            <v>B0116</v>
          </cell>
          <cell r="B123" t="str">
            <v>Solar Controllers</v>
          </cell>
          <cell r="C123" t="str">
            <v>Plasmatronics</v>
          </cell>
          <cell r="D123" t="str">
            <v>10A 24V Solar Charge Controller (Gel)</v>
          </cell>
          <cell r="E123" t="str">
            <v>PR2410L</v>
          </cell>
          <cell r="F123" t="str">
            <v>MPN (Part #)</v>
          </cell>
          <cell r="G123">
            <v>122.2</v>
          </cell>
          <cell r="H123">
            <v>111.10000000000001</v>
          </cell>
          <cell r="J123">
            <v>0.3</v>
          </cell>
          <cell r="K123">
            <v>10</v>
          </cell>
          <cell r="L123">
            <v>5</v>
          </cell>
          <cell r="M123">
            <v>3</v>
          </cell>
          <cell r="N123" t="str">
            <v>4-Plasmatronics</v>
          </cell>
        </row>
        <row r="124">
          <cell r="A124" t="str">
            <v>B0117</v>
          </cell>
          <cell r="B124" t="str">
            <v>Control</v>
          </cell>
          <cell r="C124" t="str">
            <v>Plasmatronics</v>
          </cell>
          <cell r="D124" t="str">
            <v>SH200 Current shunt 75mV/200A</v>
          </cell>
          <cell r="E124" t="str">
            <v>SH200</v>
          </cell>
          <cell r="F124" t="str">
            <v>SH200</v>
          </cell>
          <cell r="G124">
            <v>82.75</v>
          </cell>
          <cell r="H124">
            <v>75.2</v>
          </cell>
          <cell r="J124">
            <v>0.6</v>
          </cell>
          <cell r="K124">
            <v>10</v>
          </cell>
          <cell r="L124">
            <v>3</v>
          </cell>
          <cell r="M124">
            <v>3.5</v>
          </cell>
          <cell r="N124" t="str">
            <v>4-Plasmatronics</v>
          </cell>
        </row>
        <row r="125">
          <cell r="A125" t="str">
            <v>B0118</v>
          </cell>
          <cell r="B125" t="str">
            <v>Control</v>
          </cell>
          <cell r="C125" t="str">
            <v>Plasmatronics</v>
          </cell>
          <cell r="D125" t="str">
            <v>PLS2 External shunt adaptor (shielded data cable W/X/Y/Z-S NOT included).</v>
          </cell>
          <cell r="E125" t="str">
            <v>PLS2</v>
          </cell>
          <cell r="F125" t="str">
            <v>PLS2</v>
          </cell>
          <cell r="G125">
            <v>222.70000000000002</v>
          </cell>
          <cell r="H125">
            <v>202.45000000000002</v>
          </cell>
          <cell r="J125">
            <v>0.25</v>
          </cell>
          <cell r="K125">
            <v>8</v>
          </cell>
          <cell r="L125">
            <v>3.5</v>
          </cell>
          <cell r="M125">
            <v>3</v>
          </cell>
          <cell r="N125" t="str">
            <v>4-Plasmatronics</v>
          </cell>
        </row>
        <row r="126">
          <cell r="A126" t="str">
            <v>B0119</v>
          </cell>
          <cell r="B126" t="str">
            <v>Control</v>
          </cell>
          <cell r="C126" t="str">
            <v>Plasmatronics</v>
          </cell>
          <cell r="D126" t="str">
            <v>PLM Remote Monitor</v>
          </cell>
          <cell r="E126" t="str">
            <v>PLM</v>
          </cell>
          <cell r="F126" t="str">
            <v>PLM</v>
          </cell>
          <cell r="G126">
            <v>227.85000000000002</v>
          </cell>
          <cell r="H126">
            <v>207.10000000000002</v>
          </cell>
          <cell r="J126">
            <v>0.25</v>
          </cell>
          <cell r="K126">
            <v>13</v>
          </cell>
          <cell r="L126">
            <v>7</v>
          </cell>
          <cell r="M126">
            <v>2</v>
          </cell>
          <cell r="N126" t="str">
            <v>4-Plasmatronics</v>
          </cell>
        </row>
        <row r="127">
          <cell r="A127" t="str">
            <v>B0120</v>
          </cell>
          <cell r="B127" t="str">
            <v>Control</v>
          </cell>
          <cell r="C127" t="str">
            <v>Plasmatronics</v>
          </cell>
          <cell r="D127" t="str">
            <v>WYS Shielded Cable 3m</v>
          </cell>
          <cell r="E127" t="str">
            <v>WYS</v>
          </cell>
          <cell r="F127" t="str">
            <v>WYS</v>
          </cell>
          <cell r="G127">
            <v>39.5</v>
          </cell>
          <cell r="H127">
            <v>35.9</v>
          </cell>
          <cell r="J127">
            <v>0.1</v>
          </cell>
          <cell r="K127">
            <v>12</v>
          </cell>
          <cell r="L127">
            <v>3</v>
          </cell>
          <cell r="M127">
            <v>2</v>
          </cell>
          <cell r="N127" t="str">
            <v>4-Plasmatronics</v>
          </cell>
        </row>
        <row r="128">
          <cell r="A128" t="str">
            <v>B0121</v>
          </cell>
          <cell r="B128" t="str">
            <v>Control</v>
          </cell>
          <cell r="C128" t="str">
            <v>Plasmatronics</v>
          </cell>
          <cell r="D128" t="str">
            <v>WXS Shielded Cable 3m</v>
          </cell>
          <cell r="E128" t="str">
            <v>WXS</v>
          </cell>
          <cell r="F128" t="str">
            <v>WXS</v>
          </cell>
          <cell r="G128">
            <v>24</v>
          </cell>
          <cell r="H128">
            <v>21.8</v>
          </cell>
          <cell r="J128">
            <v>0.1</v>
          </cell>
          <cell r="K128">
            <v>12</v>
          </cell>
          <cell r="L128">
            <v>3</v>
          </cell>
          <cell r="M128">
            <v>2</v>
          </cell>
          <cell r="N128" t="str">
            <v>4-Plasmatronics</v>
          </cell>
        </row>
        <row r="129">
          <cell r="A129" t="str">
            <v>B0122</v>
          </cell>
          <cell r="B129" t="str">
            <v>Control</v>
          </cell>
          <cell r="C129" t="str">
            <v>Plasmatronics</v>
          </cell>
          <cell r="D129" t="str">
            <v>WZS Shielded Cable 3m</v>
          </cell>
          <cell r="E129" t="str">
            <v>WZS</v>
          </cell>
          <cell r="F129" t="str">
            <v>WZS</v>
          </cell>
          <cell r="G129">
            <v>39.5</v>
          </cell>
          <cell r="H129">
            <v>35.9</v>
          </cell>
          <cell r="J129">
            <v>0.1</v>
          </cell>
          <cell r="K129">
            <v>12</v>
          </cell>
          <cell r="L129">
            <v>3</v>
          </cell>
          <cell r="M129">
            <v>2</v>
          </cell>
          <cell r="N129" t="str">
            <v>4-Plasmatronics</v>
          </cell>
        </row>
        <row r="130">
          <cell r="A130" t="str">
            <v>B0123</v>
          </cell>
          <cell r="D130" t="str">
            <v>Fuse Blade 2A</v>
          </cell>
          <cell r="G130">
            <v>0</v>
          </cell>
          <cell r="H130">
            <v>0</v>
          </cell>
          <cell r="N130" t="str">
            <v/>
          </cell>
        </row>
        <row r="131">
          <cell r="A131" t="str">
            <v>B0124</v>
          </cell>
          <cell r="D131" t="str">
            <v>Fuse Blade 3A</v>
          </cell>
          <cell r="G131">
            <v>0</v>
          </cell>
          <cell r="H131">
            <v>0</v>
          </cell>
          <cell r="N131" t="str">
            <v/>
          </cell>
        </row>
        <row r="132">
          <cell r="A132" t="str">
            <v>B0125</v>
          </cell>
          <cell r="D132" t="str">
            <v>Fuse Blade 5A</v>
          </cell>
          <cell r="G132">
            <v>0</v>
          </cell>
          <cell r="H132">
            <v>0</v>
          </cell>
          <cell r="N132" t="str">
            <v/>
          </cell>
        </row>
        <row r="133">
          <cell r="A133" t="str">
            <v>B0126</v>
          </cell>
          <cell r="B133" t="str">
            <v>Solar Controllers</v>
          </cell>
          <cell r="C133" t="str">
            <v>Plasmatronics</v>
          </cell>
          <cell r="D133" t="str">
            <v>PL80 80A Solar Charge Controller</v>
          </cell>
          <cell r="E133" t="str">
            <v>PL80e</v>
          </cell>
          <cell r="F133" t="str">
            <v>PL80e</v>
          </cell>
          <cell r="G133">
            <v>924.95</v>
          </cell>
          <cell r="H133">
            <v>840.90000000000009</v>
          </cell>
          <cell r="J133">
            <v>1.4</v>
          </cell>
          <cell r="K133">
            <v>24</v>
          </cell>
          <cell r="L133">
            <v>20</v>
          </cell>
          <cell r="M133">
            <v>6.7</v>
          </cell>
          <cell r="N133" t="str">
            <v>4-Plasmatronics</v>
          </cell>
        </row>
        <row r="134">
          <cell r="A134" t="str">
            <v>B0127</v>
          </cell>
          <cell r="B134" t="str">
            <v>Control</v>
          </cell>
          <cell r="C134" t="str">
            <v>Plasmatronics</v>
          </cell>
          <cell r="D134" t="str">
            <v>PLA Synchronisation/alarm unit</v>
          </cell>
          <cell r="E134" t="str">
            <v>PLA</v>
          </cell>
          <cell r="F134" t="str">
            <v>PLA</v>
          </cell>
          <cell r="G134">
            <v>482.15000000000003</v>
          </cell>
          <cell r="H134">
            <v>438.35</v>
          </cell>
          <cell r="J134">
            <v>0.36</v>
          </cell>
          <cell r="K134">
            <v>13</v>
          </cell>
          <cell r="L134">
            <v>8</v>
          </cell>
          <cell r="M134">
            <v>3</v>
          </cell>
          <cell r="N134" t="str">
            <v>4-Plasmatronics</v>
          </cell>
        </row>
        <row r="135">
          <cell r="A135" t="str">
            <v>B0128</v>
          </cell>
          <cell r="D135" t="str">
            <v>Cable Lug - M10 x 10mm2 Cu</v>
          </cell>
          <cell r="G135">
            <v>0</v>
          </cell>
          <cell r="H135">
            <v>0</v>
          </cell>
          <cell r="N135" t="str">
            <v/>
          </cell>
        </row>
        <row r="136">
          <cell r="A136" t="str">
            <v>B0129</v>
          </cell>
          <cell r="D136" t="str">
            <v>Cable Lug - M10 x 6mm2 Cu</v>
          </cell>
          <cell r="G136">
            <v>0</v>
          </cell>
          <cell r="H136">
            <v>0</v>
          </cell>
          <cell r="N136" t="str">
            <v/>
          </cell>
        </row>
        <row r="137">
          <cell r="A137" t="str">
            <v>B0130</v>
          </cell>
          <cell r="B137" t="str">
            <v>Electrical</v>
          </cell>
          <cell r="C137" t="str">
            <v>Narva</v>
          </cell>
          <cell r="D137" t="str">
            <v>Connector Female Spade Yellow 6.35mm</v>
          </cell>
          <cell r="E137" t="str">
            <v>Spade-YL-6</v>
          </cell>
          <cell r="F137" t="str">
            <v>MPN (Part #)</v>
          </cell>
          <cell r="G137">
            <v>0.35000000000000003</v>
          </cell>
          <cell r="H137">
            <v>0.30000000000000004</v>
          </cell>
          <cell r="J137">
            <v>0.17</v>
          </cell>
          <cell r="K137">
            <v>8</v>
          </cell>
          <cell r="L137">
            <v>4.5</v>
          </cell>
          <cell r="M137">
            <v>2</v>
          </cell>
          <cell r="N137" t="str">
            <v>6-Various</v>
          </cell>
        </row>
        <row r="138">
          <cell r="A138" t="str">
            <v>B0131</v>
          </cell>
          <cell r="B138" t="str">
            <v>Electrical</v>
          </cell>
          <cell r="C138" t="str">
            <v>Narva</v>
          </cell>
          <cell r="D138" t="str">
            <v>Connector Female Spade Blue 6.35mm</v>
          </cell>
          <cell r="E138" t="str">
            <v>Spade-BL-6</v>
          </cell>
          <cell r="G138">
            <v>0.35000000000000003</v>
          </cell>
          <cell r="H138">
            <v>0.30000000000000004</v>
          </cell>
          <cell r="N138" t="str">
            <v>6-Various</v>
          </cell>
        </row>
        <row r="139">
          <cell r="A139" t="str">
            <v>B0132</v>
          </cell>
          <cell r="D139" t="str">
            <v>Solar Contlr Powertech MP3720</v>
          </cell>
          <cell r="G139">
            <v>0</v>
          </cell>
          <cell r="H139">
            <v>0</v>
          </cell>
          <cell r="N139" t="str">
            <v/>
          </cell>
        </row>
        <row r="140">
          <cell r="A140" t="str">
            <v>B0133</v>
          </cell>
          <cell r="D140" t="str">
            <v>Solar Panel Powertech 5W Solar Panel 12V</v>
          </cell>
          <cell r="G140">
            <v>0</v>
          </cell>
          <cell r="H140">
            <v>0</v>
          </cell>
          <cell r="N140" t="str">
            <v/>
          </cell>
        </row>
        <row r="141">
          <cell r="A141" t="str">
            <v>B0134</v>
          </cell>
          <cell r="B141" t="str">
            <v>Control</v>
          </cell>
          <cell r="C141" t="str">
            <v>Plasmatronics</v>
          </cell>
          <cell r="D141" t="str">
            <v>DNET for Dingo</v>
          </cell>
          <cell r="E141" t="str">
            <v>DNET</v>
          </cell>
          <cell r="F141" t="str">
            <v>DNET</v>
          </cell>
          <cell r="G141">
            <v>0</v>
          </cell>
          <cell r="H141">
            <v>0</v>
          </cell>
          <cell r="J141">
            <v>0.2</v>
          </cell>
          <cell r="K141">
            <v>9</v>
          </cell>
          <cell r="L141">
            <v>3</v>
          </cell>
          <cell r="M141">
            <v>3</v>
          </cell>
          <cell r="N141" t="str">
            <v>4-Plasmatronics</v>
          </cell>
        </row>
        <row r="142">
          <cell r="A142" t="str">
            <v>B0135</v>
          </cell>
          <cell r="B142" t="str">
            <v>Control</v>
          </cell>
          <cell r="C142" t="str">
            <v>Plasmatronics</v>
          </cell>
          <cell r="D142" t="str">
            <v>PLI RS232 Serial interface</v>
          </cell>
          <cell r="E142" t="str">
            <v>PLI</v>
          </cell>
          <cell r="F142" t="str">
            <v>PLI</v>
          </cell>
          <cell r="G142">
            <v>165.45000000000002</v>
          </cell>
          <cell r="H142">
            <v>150.45000000000002</v>
          </cell>
          <cell r="J142">
            <v>0.1</v>
          </cell>
          <cell r="K142">
            <v>8</v>
          </cell>
          <cell r="L142">
            <v>3.5</v>
          </cell>
          <cell r="M142">
            <v>3</v>
          </cell>
          <cell r="N142" t="str">
            <v>4-Plasmatronics</v>
          </cell>
        </row>
        <row r="143">
          <cell r="A143" t="str">
            <v>B0136</v>
          </cell>
          <cell r="D143" t="str">
            <v>Screw 14-10x25mm Zinc Coated Hex (Tek Screw)</v>
          </cell>
          <cell r="G143">
            <v>0</v>
          </cell>
          <cell r="H143">
            <v>0</v>
          </cell>
          <cell r="N143" t="str">
            <v/>
          </cell>
        </row>
        <row r="144">
          <cell r="A144" t="str">
            <v>B0137</v>
          </cell>
          <cell r="D144" t="str">
            <v>Conduit Plain Reducer M25-20</v>
          </cell>
          <cell r="G144">
            <v>0</v>
          </cell>
          <cell r="H144">
            <v>0</v>
          </cell>
          <cell r="N144" t="str">
            <v/>
          </cell>
        </row>
        <row r="145">
          <cell r="A145" t="str">
            <v>B0138</v>
          </cell>
          <cell r="D145" t="str">
            <v>Sensor- RTD PT100 S/S</v>
          </cell>
          <cell r="G145">
            <v>0</v>
          </cell>
          <cell r="H145">
            <v>0</v>
          </cell>
          <cell r="N145" t="str">
            <v/>
          </cell>
        </row>
        <row r="146">
          <cell r="A146" t="str">
            <v>B0139</v>
          </cell>
          <cell r="D146" t="str">
            <v>Gland (probe) Brass DIA3.0xM16</v>
          </cell>
          <cell r="G146">
            <v>0</v>
          </cell>
          <cell r="H146">
            <v>0</v>
          </cell>
          <cell r="N146" t="str">
            <v/>
          </cell>
        </row>
        <row r="147">
          <cell r="A147" t="str">
            <v>B0140</v>
          </cell>
          <cell r="D147" t="str">
            <v>Locknut Brass M16 (Gland)</v>
          </cell>
          <cell r="G147">
            <v>0</v>
          </cell>
          <cell r="H147">
            <v>0</v>
          </cell>
          <cell r="N147" t="str">
            <v/>
          </cell>
        </row>
        <row r="148">
          <cell r="A148" t="str">
            <v>B0141</v>
          </cell>
          <cell r="D148" t="str">
            <v>Washer M16 Rubber</v>
          </cell>
          <cell r="G148">
            <v>0</v>
          </cell>
          <cell r="H148">
            <v>0</v>
          </cell>
          <cell r="N148" t="str">
            <v/>
          </cell>
        </row>
        <row r="149">
          <cell r="A149" t="str">
            <v>B0142</v>
          </cell>
          <cell r="D149" t="str">
            <v>Nut 25mm Poly White</v>
          </cell>
          <cell r="G149">
            <v>0</v>
          </cell>
          <cell r="H149">
            <v>0</v>
          </cell>
          <cell r="N149" t="str">
            <v/>
          </cell>
        </row>
        <row r="150">
          <cell r="A150" t="str">
            <v>B0143</v>
          </cell>
          <cell r="D150" t="str">
            <v>Washer DIA25 Rubber Whte</v>
          </cell>
          <cell r="G150">
            <v>0</v>
          </cell>
          <cell r="H150">
            <v>0</v>
          </cell>
          <cell r="N150" t="str">
            <v/>
          </cell>
        </row>
        <row r="151">
          <cell r="A151" t="str">
            <v>B0144</v>
          </cell>
          <cell r="D151" t="str">
            <v>Nut Compression Fitting 1/2"</v>
          </cell>
          <cell r="G151">
            <v>0</v>
          </cell>
          <cell r="H151">
            <v>0</v>
          </cell>
          <cell r="N151" t="str">
            <v/>
          </cell>
        </row>
        <row r="152">
          <cell r="A152" t="str">
            <v>B0145</v>
          </cell>
          <cell r="D152" t="str">
            <v>Nipple 1/2"x1/2" BSP Brass</v>
          </cell>
          <cell r="G152">
            <v>0</v>
          </cell>
          <cell r="H152">
            <v>0</v>
          </cell>
          <cell r="N152" t="str">
            <v/>
          </cell>
        </row>
        <row r="153">
          <cell r="A153" t="str">
            <v>B0146</v>
          </cell>
          <cell r="D153" t="str">
            <v>Olive 1/2" Nylon Compression</v>
          </cell>
          <cell r="G153">
            <v>0</v>
          </cell>
          <cell r="H153">
            <v>0</v>
          </cell>
          <cell r="N153" t="str">
            <v/>
          </cell>
        </row>
        <row r="154">
          <cell r="A154" t="str">
            <v>B0147</v>
          </cell>
          <cell r="D154" t="str">
            <v>Pex 20mm F to M 3/4" BSP</v>
          </cell>
          <cell r="G154">
            <v>0</v>
          </cell>
          <cell r="H154">
            <v>0</v>
          </cell>
          <cell r="N154" t="str">
            <v/>
          </cell>
        </row>
        <row r="155">
          <cell r="A155" t="str">
            <v>B0148</v>
          </cell>
          <cell r="D155" t="str">
            <v>Elbow 3/4" F to 3/4" M Brass</v>
          </cell>
          <cell r="G155">
            <v>0</v>
          </cell>
          <cell r="H155">
            <v>0</v>
          </cell>
          <cell r="N155" t="str">
            <v/>
          </cell>
        </row>
        <row r="156">
          <cell r="A156" t="str">
            <v>B0149</v>
          </cell>
          <cell r="D156" t="str">
            <v>Elbow Pex 20mm to Pex 20mm</v>
          </cell>
          <cell r="G156">
            <v>0</v>
          </cell>
          <cell r="H156">
            <v>0</v>
          </cell>
          <cell r="N156" t="str">
            <v/>
          </cell>
        </row>
        <row r="157">
          <cell r="A157" t="str">
            <v>B0150</v>
          </cell>
          <cell r="D157" t="str">
            <v>Elbow 3/4" M to 3/4" M Brass</v>
          </cell>
          <cell r="G157">
            <v>0</v>
          </cell>
          <cell r="H157">
            <v>0</v>
          </cell>
          <cell r="N157" t="str">
            <v/>
          </cell>
        </row>
        <row r="158">
          <cell r="A158" t="str">
            <v>B0151</v>
          </cell>
          <cell r="D158" t="str">
            <v>Elbow Pex 20mm to 3/4" BSP F</v>
          </cell>
          <cell r="G158">
            <v>0</v>
          </cell>
          <cell r="H158">
            <v>0</v>
          </cell>
          <cell r="N158" t="str">
            <v/>
          </cell>
        </row>
        <row r="159">
          <cell r="A159" t="str">
            <v>B0152</v>
          </cell>
          <cell r="D159" t="str">
            <v>ORing DIA2.0xID15mm</v>
          </cell>
          <cell r="G159">
            <v>0</v>
          </cell>
          <cell r="H159">
            <v>0</v>
          </cell>
          <cell r="N159" t="str">
            <v/>
          </cell>
        </row>
        <row r="160">
          <cell r="A160" t="str">
            <v>B0153</v>
          </cell>
          <cell r="D160" t="str">
            <v>Sensor Probe PT100 S/S316</v>
          </cell>
          <cell r="G160">
            <v>0</v>
          </cell>
          <cell r="H160">
            <v>0</v>
          </cell>
          <cell r="N160" t="str">
            <v/>
          </cell>
        </row>
        <row r="161">
          <cell r="A161" t="str">
            <v>B0154</v>
          </cell>
          <cell r="D161" t="str">
            <v>Thread-Tape PTFE 12mm</v>
          </cell>
          <cell r="G161">
            <v>0</v>
          </cell>
          <cell r="H161">
            <v>0</v>
          </cell>
          <cell r="N161" t="str">
            <v/>
          </cell>
        </row>
        <row r="162">
          <cell r="A162" t="str">
            <v>B0155</v>
          </cell>
          <cell r="D162" t="str">
            <v>Labels Durable A4 99.1x139mm</v>
          </cell>
          <cell r="G162">
            <v>0</v>
          </cell>
          <cell r="H162">
            <v>0</v>
          </cell>
          <cell r="N162" t="str">
            <v/>
          </cell>
        </row>
        <row r="163">
          <cell r="A163" t="str">
            <v>B0156</v>
          </cell>
          <cell r="D163" t="str">
            <v>Washer M5 Nylon</v>
          </cell>
          <cell r="G163">
            <v>0</v>
          </cell>
          <cell r="H163">
            <v>0</v>
          </cell>
          <cell r="N163" t="str">
            <v/>
          </cell>
        </row>
        <row r="164">
          <cell r="A164" t="str">
            <v>B0157</v>
          </cell>
          <cell r="D164" t="str">
            <v>Screw 8Gx10mm S/S Pan Phil</v>
          </cell>
          <cell r="G164">
            <v>0</v>
          </cell>
          <cell r="H164">
            <v>0</v>
          </cell>
          <cell r="N164" t="str">
            <v/>
          </cell>
        </row>
        <row r="165">
          <cell r="A165" t="str">
            <v>B0158</v>
          </cell>
          <cell r="D165" t="str">
            <v>Button (Push) ESwitch PV5</v>
          </cell>
          <cell r="G165">
            <v>0</v>
          </cell>
          <cell r="H165">
            <v>0</v>
          </cell>
          <cell r="N165" t="str">
            <v/>
          </cell>
        </row>
        <row r="166">
          <cell r="A166" t="str">
            <v>B0159</v>
          </cell>
          <cell r="D166" t="str">
            <v>Standoff PCB 10mm Adhesive</v>
          </cell>
          <cell r="G166">
            <v>0</v>
          </cell>
          <cell r="H166">
            <v>0</v>
          </cell>
          <cell r="N166" t="str">
            <v/>
          </cell>
        </row>
        <row r="167">
          <cell r="A167" t="str">
            <v>B0160</v>
          </cell>
          <cell r="D167" t="str">
            <v>Wire Screw Connector (Wire Nut) 40 Amp</v>
          </cell>
          <cell r="G167">
            <v>0</v>
          </cell>
          <cell r="H167">
            <v>0</v>
          </cell>
          <cell r="N167" t="str">
            <v/>
          </cell>
        </row>
        <row r="168">
          <cell r="A168" t="str">
            <v>B0161</v>
          </cell>
          <cell r="D168" t="str">
            <v>Circuit Breaker 63A DIN</v>
          </cell>
          <cell r="G168">
            <v>0</v>
          </cell>
          <cell r="H168">
            <v>0</v>
          </cell>
          <cell r="N168" t="str">
            <v/>
          </cell>
        </row>
        <row r="169">
          <cell r="A169" t="str">
            <v>B0162</v>
          </cell>
          <cell r="D169" t="str">
            <v>Flexible Grommet Cabac FG1.6</v>
          </cell>
          <cell r="G169">
            <v>0</v>
          </cell>
          <cell r="H169">
            <v>0</v>
          </cell>
          <cell r="N169" t="str">
            <v/>
          </cell>
        </row>
        <row r="170">
          <cell r="A170" t="str">
            <v>B0163</v>
          </cell>
          <cell r="D170" t="str">
            <v>Terminal Block 2 pole 1.5mm GR</v>
          </cell>
          <cell r="G170">
            <v>0</v>
          </cell>
          <cell r="H170">
            <v>0</v>
          </cell>
          <cell r="N170" t="str">
            <v/>
          </cell>
        </row>
        <row r="171">
          <cell r="A171" t="str">
            <v>B0164</v>
          </cell>
          <cell r="D171" t="str">
            <v>Screw Hex M8x15 S/S 304</v>
          </cell>
          <cell r="G171">
            <v>0</v>
          </cell>
          <cell r="H171">
            <v>0</v>
          </cell>
          <cell r="N171" t="str">
            <v/>
          </cell>
        </row>
        <row r="172">
          <cell r="A172" t="str">
            <v>B0165</v>
          </cell>
          <cell r="D172" t="str">
            <v>Washer Flat M8 S/S 304</v>
          </cell>
          <cell r="G172">
            <v>0</v>
          </cell>
          <cell r="H172">
            <v>0</v>
          </cell>
          <cell r="N172" t="str">
            <v/>
          </cell>
        </row>
        <row r="173">
          <cell r="A173" t="str">
            <v>B0166</v>
          </cell>
          <cell r="D173" t="str">
            <v>Filter-Drier Danfoss: 023Z5048</v>
          </cell>
          <cell r="G173">
            <v>0</v>
          </cell>
          <cell r="H173">
            <v>0</v>
          </cell>
          <cell r="N173" t="str">
            <v/>
          </cell>
        </row>
        <row r="174">
          <cell r="A174" t="str">
            <v>B0167</v>
          </cell>
          <cell r="D174" t="str">
            <v>TX Valve Danfoss TBC</v>
          </cell>
          <cell r="G174">
            <v>0</v>
          </cell>
          <cell r="H174">
            <v>0</v>
          </cell>
          <cell r="N174" t="str">
            <v/>
          </cell>
        </row>
        <row r="175">
          <cell r="A175" t="str">
            <v>B0168</v>
          </cell>
          <cell r="D175" t="str">
            <v>Flare Nut 1/2" Brass</v>
          </cell>
          <cell r="G175">
            <v>0</v>
          </cell>
          <cell r="H175">
            <v>0</v>
          </cell>
          <cell r="N175" t="str">
            <v/>
          </cell>
        </row>
        <row r="176">
          <cell r="A176" t="str">
            <v>B0169</v>
          </cell>
          <cell r="D176" t="str">
            <v>Elbow 1/2"F to 1/2"F Cu</v>
          </cell>
          <cell r="G176">
            <v>0</v>
          </cell>
          <cell r="H176">
            <v>0</v>
          </cell>
          <cell r="N176" t="str">
            <v/>
          </cell>
        </row>
        <row r="177">
          <cell r="A177" t="str">
            <v>B0170</v>
          </cell>
          <cell r="D177" t="str">
            <v>Elbow 3/4"MF to 1/2"BSPP Brass</v>
          </cell>
          <cell r="G177">
            <v>0</v>
          </cell>
          <cell r="H177">
            <v>0</v>
          </cell>
          <cell r="N177" t="str">
            <v/>
          </cell>
        </row>
        <row r="178">
          <cell r="A178" t="str">
            <v>B0171</v>
          </cell>
          <cell r="D178" t="str">
            <v>Rubber Grommet ID12.5 ID25</v>
          </cell>
          <cell r="G178">
            <v>0</v>
          </cell>
          <cell r="H178">
            <v>0</v>
          </cell>
          <cell r="N178" t="str">
            <v/>
          </cell>
        </row>
        <row r="179">
          <cell r="A179" t="str">
            <v>B0172</v>
          </cell>
          <cell r="D179" t="str">
            <v>Union 3/8"MF to 3/8"BSPP Brass</v>
          </cell>
          <cell r="G179">
            <v>0</v>
          </cell>
          <cell r="H179">
            <v>0</v>
          </cell>
          <cell r="N179" t="str">
            <v/>
          </cell>
        </row>
        <row r="180">
          <cell r="A180" t="str">
            <v>B0173</v>
          </cell>
          <cell r="D180" t="str">
            <v>Flexible Line 3/8" 300mm</v>
          </cell>
          <cell r="G180">
            <v>0</v>
          </cell>
          <cell r="H180">
            <v>0</v>
          </cell>
          <cell r="N180" t="str">
            <v/>
          </cell>
        </row>
        <row r="181">
          <cell r="A181" t="str">
            <v>B0174</v>
          </cell>
          <cell r="D181" t="str">
            <v>Transformer 240-24Vdc Meanwell</v>
          </cell>
          <cell r="G181">
            <v>0</v>
          </cell>
          <cell r="H181">
            <v>0</v>
          </cell>
          <cell r="N181" t="str">
            <v/>
          </cell>
        </row>
        <row r="182">
          <cell r="A182" t="str">
            <v>B0175</v>
          </cell>
          <cell r="B182" t="str">
            <v>Enclosures</v>
          </cell>
          <cell r="C182" t="str">
            <v>IP Enclosures</v>
          </cell>
          <cell r="D182" t="str">
            <v>Enclosure 500H x 400W x 200D Steel Powdercoated</v>
          </cell>
          <cell r="E182" t="str">
            <v>IP504020</v>
          </cell>
          <cell r="F182" t="str">
            <v>MPN (Part #)</v>
          </cell>
          <cell r="G182">
            <v>195.60000000000002</v>
          </cell>
          <cell r="H182">
            <v>177.8</v>
          </cell>
          <cell r="N182" t="str">
            <v>3-Tradezone</v>
          </cell>
        </row>
        <row r="183">
          <cell r="A183" t="str">
            <v>B0176</v>
          </cell>
          <cell r="D183" t="str">
            <v>Cable Lug M5 x 4mm2 Cu</v>
          </cell>
          <cell r="G183">
            <v>0</v>
          </cell>
          <cell r="H183">
            <v>0</v>
          </cell>
          <cell r="N183" t="str">
            <v/>
          </cell>
        </row>
        <row r="184">
          <cell r="A184" t="str">
            <v>B0177</v>
          </cell>
          <cell r="D184" t="str">
            <v>Union 20mm Pex F to M 1/2" BSP</v>
          </cell>
          <cell r="G184">
            <v>0</v>
          </cell>
          <cell r="H184">
            <v>0</v>
          </cell>
          <cell r="N184" t="str">
            <v/>
          </cell>
        </row>
        <row r="185">
          <cell r="A185" t="str">
            <v>B0178</v>
          </cell>
          <cell r="D185" t="str">
            <v>Relay 24v 40A/40A Ch/Over</v>
          </cell>
          <cell r="G185">
            <v>0</v>
          </cell>
          <cell r="H185">
            <v>0</v>
          </cell>
          <cell r="N185" t="str">
            <v/>
          </cell>
        </row>
        <row r="186">
          <cell r="A186" t="str">
            <v>B0179</v>
          </cell>
          <cell r="D186" t="str">
            <v>Connector Blade 6.3mm 6mm Wire</v>
          </cell>
          <cell r="G186">
            <v>0</v>
          </cell>
          <cell r="H186">
            <v>0</v>
          </cell>
          <cell r="N186" t="str">
            <v/>
          </cell>
        </row>
        <row r="187">
          <cell r="A187" t="str">
            <v>B0180</v>
          </cell>
          <cell r="D187" t="str">
            <v>1 to 3 bus bar</v>
          </cell>
          <cell r="G187">
            <v>0</v>
          </cell>
          <cell r="H187">
            <v>0</v>
          </cell>
          <cell r="N187" t="str">
            <v/>
          </cell>
        </row>
        <row r="188">
          <cell r="A188" t="str">
            <v>B0181</v>
          </cell>
          <cell r="D188" t="str">
            <v>Siemens PLC Controller</v>
          </cell>
          <cell r="G188">
            <v>0</v>
          </cell>
          <cell r="H188">
            <v>0</v>
          </cell>
          <cell r="N188" t="str">
            <v/>
          </cell>
        </row>
        <row r="189">
          <cell r="A189" t="str">
            <v>B0182</v>
          </cell>
          <cell r="D189" t="str">
            <v>Circuit Breaker 10A DIN (MCB)</v>
          </cell>
          <cell r="G189">
            <v>0</v>
          </cell>
          <cell r="H189">
            <v>0</v>
          </cell>
          <cell r="N189" t="str">
            <v/>
          </cell>
        </row>
        <row r="190">
          <cell r="A190" t="str">
            <v>B0183</v>
          </cell>
          <cell r="D190" t="str">
            <v>Circuit Breaker 2 Pole 63A</v>
          </cell>
          <cell r="G190">
            <v>0</v>
          </cell>
          <cell r="H190">
            <v>0</v>
          </cell>
          <cell r="N190" t="str">
            <v/>
          </cell>
        </row>
        <row r="191">
          <cell r="A191" t="str">
            <v>B0184</v>
          </cell>
          <cell r="D191" t="str">
            <v>Relay DPDT 24vDC DIN</v>
          </cell>
          <cell r="G191">
            <v>0</v>
          </cell>
          <cell r="H191">
            <v>0</v>
          </cell>
          <cell r="N191" t="str">
            <v/>
          </cell>
        </row>
        <row r="192">
          <cell r="A192" t="str">
            <v>B0185</v>
          </cell>
          <cell r="B192" t="str">
            <v>Electrical</v>
          </cell>
          <cell r="C192" t="str">
            <v>NHP</v>
          </cell>
          <cell r="D192" t="str">
            <v>Din Rail TS35 Aluminium</v>
          </cell>
          <cell r="E192" t="str">
            <v>SDR2</v>
          </cell>
          <cell r="F192" t="str">
            <v>MPN (Part #)</v>
          </cell>
          <cell r="G192">
            <v>21.650000000000002</v>
          </cell>
          <cell r="H192">
            <v>19.700000000000003</v>
          </cell>
          <cell r="J192">
            <v>0.75</v>
          </cell>
          <cell r="N192" t="str">
            <v>3-Tradezone</v>
          </cell>
        </row>
        <row r="193">
          <cell r="A193" t="str">
            <v>B0186</v>
          </cell>
          <cell r="D193" t="str">
            <v>DIN Rail end stop 35x6mm</v>
          </cell>
          <cell r="G193">
            <v>0</v>
          </cell>
          <cell r="H193">
            <v>0</v>
          </cell>
          <cell r="N193" t="str">
            <v/>
          </cell>
        </row>
        <row r="194">
          <cell r="A194" t="str">
            <v>B0187</v>
          </cell>
          <cell r="D194" t="str">
            <v>Collar 1/2" HDPE Spinweld</v>
          </cell>
          <cell r="G194">
            <v>0</v>
          </cell>
          <cell r="H194">
            <v>0</v>
          </cell>
          <cell r="N194" t="str">
            <v/>
          </cell>
        </row>
        <row r="195">
          <cell r="A195" t="str">
            <v>B0188</v>
          </cell>
          <cell r="D195" t="str">
            <v>Collar 3/4" HDPE Spinweld</v>
          </cell>
          <cell r="G195">
            <v>0</v>
          </cell>
          <cell r="H195">
            <v>0</v>
          </cell>
          <cell r="N195" t="str">
            <v/>
          </cell>
        </row>
        <row r="196">
          <cell r="A196" t="str">
            <v>B0189</v>
          </cell>
          <cell r="D196" t="str">
            <v>Solar Connector MC4 Negative</v>
          </cell>
          <cell r="G196">
            <v>0</v>
          </cell>
          <cell r="H196">
            <v>0</v>
          </cell>
          <cell r="N196" t="str">
            <v/>
          </cell>
        </row>
        <row r="197">
          <cell r="A197" t="str">
            <v>B0190</v>
          </cell>
          <cell r="D197" t="str">
            <v>Solar Connector MC4 Positive</v>
          </cell>
          <cell r="G197">
            <v>0</v>
          </cell>
          <cell r="H197">
            <v>0</v>
          </cell>
          <cell r="N197" t="str">
            <v/>
          </cell>
        </row>
        <row r="198">
          <cell r="A198" t="str">
            <v>B0191</v>
          </cell>
          <cell r="D198" t="str">
            <v>Screw M10x60 S/S 316 Hex</v>
          </cell>
          <cell r="G198">
            <v>0</v>
          </cell>
          <cell r="H198">
            <v>0</v>
          </cell>
          <cell r="N198" t="str">
            <v/>
          </cell>
        </row>
        <row r="199">
          <cell r="A199" t="str">
            <v>B0192</v>
          </cell>
          <cell r="D199" t="str">
            <v>Screw M10x20 S/S 316 Hex</v>
          </cell>
          <cell r="G199">
            <v>0</v>
          </cell>
          <cell r="H199">
            <v>0</v>
          </cell>
          <cell r="N199" t="str">
            <v/>
          </cell>
        </row>
        <row r="200">
          <cell r="A200" t="str">
            <v>B0193</v>
          </cell>
          <cell r="D200" t="str">
            <v>Washer M10 Flat S/S316</v>
          </cell>
          <cell r="G200">
            <v>0</v>
          </cell>
          <cell r="H200">
            <v>0</v>
          </cell>
          <cell r="N200" t="str">
            <v/>
          </cell>
        </row>
        <row r="201">
          <cell r="A201" t="str">
            <v>B0194</v>
          </cell>
          <cell r="D201" t="str">
            <v>Nut M10 S/S 316</v>
          </cell>
          <cell r="G201">
            <v>0</v>
          </cell>
          <cell r="H201">
            <v>0</v>
          </cell>
          <cell r="N201" t="str">
            <v/>
          </cell>
        </row>
        <row r="202">
          <cell r="A202" t="str">
            <v>B0195</v>
          </cell>
          <cell r="D202" t="str">
            <v>Solar Panel 290W</v>
          </cell>
          <cell r="G202">
            <v>0</v>
          </cell>
          <cell r="H202">
            <v>0</v>
          </cell>
          <cell r="N202" t="str">
            <v/>
          </cell>
        </row>
        <row r="203">
          <cell r="A203" t="str">
            <v>B0196</v>
          </cell>
          <cell r="D203" t="str">
            <v>Terminal Block 12 Pole 10A</v>
          </cell>
          <cell r="G203">
            <v>0</v>
          </cell>
          <cell r="H203">
            <v>0</v>
          </cell>
          <cell r="N203" t="str">
            <v/>
          </cell>
        </row>
        <row r="204">
          <cell r="A204" t="str">
            <v>B0197</v>
          </cell>
          <cell r="D204" t="str">
            <v>Connector cable-joiner Blue 4mm</v>
          </cell>
          <cell r="G204">
            <v>0</v>
          </cell>
          <cell r="H204">
            <v>0</v>
          </cell>
          <cell r="N204" t="str">
            <v/>
          </cell>
        </row>
        <row r="205">
          <cell r="A205" t="str">
            <v>B0198</v>
          </cell>
          <cell r="B205" t="str">
            <v>Control</v>
          </cell>
          <cell r="C205" t="str">
            <v>Innotech</v>
          </cell>
          <cell r="D205" t="str">
            <v>Micro 3000 Controller M3K03</v>
          </cell>
          <cell r="E205" t="str">
            <v>M3K03</v>
          </cell>
          <cell r="F205" t="str">
            <v>M3K03</v>
          </cell>
          <cell r="G205">
            <v>0</v>
          </cell>
          <cell r="H205">
            <v>0</v>
          </cell>
          <cell r="J205">
            <v>0.5</v>
          </cell>
          <cell r="K205">
            <v>22</v>
          </cell>
          <cell r="L205">
            <v>16</v>
          </cell>
          <cell r="M205">
            <v>10</v>
          </cell>
          <cell r="N205" t="str">
            <v/>
          </cell>
        </row>
        <row r="206">
          <cell r="A206" t="str">
            <v>B0199</v>
          </cell>
          <cell r="B206" t="str">
            <v>Inverter-Chargers</v>
          </cell>
          <cell r="C206" t="str">
            <v>Victron</v>
          </cell>
          <cell r="D206" t="str">
            <v>EasySolar 24/3000/70-50</v>
          </cell>
          <cell r="E206" t="str">
            <v>PMP243027010</v>
          </cell>
          <cell r="F206" t="str">
            <v>EasySolar 24/3000</v>
          </cell>
          <cell r="G206">
            <v>0</v>
          </cell>
          <cell r="H206">
            <v>0</v>
          </cell>
          <cell r="J206">
            <v>28</v>
          </cell>
          <cell r="K206">
            <v>81</v>
          </cell>
          <cell r="L206">
            <v>26</v>
          </cell>
          <cell r="M206">
            <v>22</v>
          </cell>
          <cell r="N206" t="str">
            <v>1-Victron</v>
          </cell>
        </row>
        <row r="207">
          <cell r="A207" t="str">
            <v>B0200</v>
          </cell>
          <cell r="D207" t="str">
            <v>Screw M5x16 Pan Phillips SS316</v>
          </cell>
          <cell r="G207">
            <v>0</v>
          </cell>
          <cell r="H207">
            <v>0</v>
          </cell>
          <cell r="N207" t="str">
            <v/>
          </cell>
        </row>
        <row r="208">
          <cell r="A208" t="str">
            <v>B0201</v>
          </cell>
          <cell r="D208" t="str">
            <v>Victron SOLAR CHRG CONTR 100 12/24-30A</v>
          </cell>
          <cell r="G208">
            <v>0</v>
          </cell>
          <cell r="H208">
            <v>0</v>
          </cell>
          <cell r="N208" t="str">
            <v/>
          </cell>
        </row>
        <row r="209">
          <cell r="A209" t="str">
            <v>B0202</v>
          </cell>
          <cell r="D209" t="str">
            <v>Solar Charge Controller 20A Victron Pro</v>
          </cell>
          <cell r="G209">
            <v>0</v>
          </cell>
          <cell r="H209">
            <v>0</v>
          </cell>
          <cell r="N209" t="str">
            <v/>
          </cell>
        </row>
        <row r="210">
          <cell r="A210" t="str">
            <v>B0203</v>
          </cell>
          <cell r="D210" t="str">
            <v>Battery Lithium 18AH</v>
          </cell>
          <cell r="G210">
            <v>0</v>
          </cell>
          <cell r="H210">
            <v>0</v>
          </cell>
          <cell r="N210" t="str">
            <v/>
          </cell>
        </row>
        <row r="211">
          <cell r="A211" t="str">
            <v>B0204</v>
          </cell>
          <cell r="B211" t="str">
            <v>Enclosures</v>
          </cell>
          <cell r="C211" t="str">
            <v>IP Enclosures</v>
          </cell>
          <cell r="D211" t="str">
            <v>Vent 130x130mm (IP Enclosures: IP-PSLV130130)</v>
          </cell>
          <cell r="E211" t="str">
            <v>IPPSLV130130</v>
          </cell>
          <cell r="F211" t="str">
            <v>MPN (Part #)</v>
          </cell>
          <cell r="G211">
            <v>13.350000000000001</v>
          </cell>
          <cell r="H211">
            <v>12.15</v>
          </cell>
          <cell r="N211" t="str">
            <v>3-Tradezone</v>
          </cell>
        </row>
        <row r="212">
          <cell r="A212" t="str">
            <v>B0205</v>
          </cell>
          <cell r="D212" t="str">
            <v>Washer M6 Split S/S304</v>
          </cell>
          <cell r="G212">
            <v>0</v>
          </cell>
          <cell r="H212">
            <v>0</v>
          </cell>
          <cell r="N212" t="str">
            <v/>
          </cell>
        </row>
        <row r="213">
          <cell r="A213" t="str">
            <v>B0206</v>
          </cell>
          <cell r="B213" t="str">
            <v>Inverters</v>
          </cell>
          <cell r="C213" t="str">
            <v>SMA</v>
          </cell>
          <cell r="D213" t="str">
            <v xml:space="preserve"> Sunny Boy 5.0kW Inverter</v>
          </cell>
          <cell r="E213" t="str">
            <v>SB 5.0-1</v>
          </cell>
          <cell r="F213" t="str">
            <v>SunnyBoy 5kW</v>
          </cell>
          <cell r="G213">
            <v>2355.5500000000002</v>
          </cell>
          <cell r="H213">
            <v>2141.4500000000003</v>
          </cell>
          <cell r="J213">
            <v>16</v>
          </cell>
          <cell r="K213">
            <v>48</v>
          </cell>
          <cell r="L213">
            <v>44</v>
          </cell>
          <cell r="M213">
            <v>19</v>
          </cell>
          <cell r="N213" t="str">
            <v>2-Krannich</v>
          </cell>
        </row>
        <row r="214">
          <cell r="A214" t="str">
            <v>B0207</v>
          </cell>
          <cell r="B214" t="str">
            <v>Inverters</v>
          </cell>
          <cell r="C214" t="str">
            <v>SMA</v>
          </cell>
          <cell r="D214" t="str">
            <v xml:space="preserve"> Sunny Boy 1.5kW Inverter</v>
          </cell>
          <cell r="E214" t="str">
            <v>SB 1.5-1VL-40</v>
          </cell>
          <cell r="F214" t="str">
            <v>SunnyBoy 1.5kW</v>
          </cell>
          <cell r="G214">
            <v>1335.7</v>
          </cell>
          <cell r="H214">
            <v>1214.3</v>
          </cell>
          <cell r="J214">
            <v>9.1999999999999993</v>
          </cell>
          <cell r="K214">
            <v>46</v>
          </cell>
          <cell r="L214">
            <v>36</v>
          </cell>
          <cell r="M214">
            <v>13</v>
          </cell>
          <cell r="N214" t="str">
            <v>2-Krannich</v>
          </cell>
        </row>
        <row r="215">
          <cell r="A215" t="str">
            <v>B0208</v>
          </cell>
          <cell r="B215" t="str">
            <v>Inverters</v>
          </cell>
          <cell r="C215" t="str">
            <v>SMA</v>
          </cell>
          <cell r="D215" t="str">
            <v xml:space="preserve"> Sunny Boy 2.5kW Inverter</v>
          </cell>
          <cell r="E215" t="str">
            <v>SB 2.5-1VL-40</v>
          </cell>
          <cell r="F215" t="str">
            <v>SunnyBoy 2.5kW</v>
          </cell>
          <cell r="G215">
            <v>1775.7</v>
          </cell>
          <cell r="H215">
            <v>1614.3000000000002</v>
          </cell>
          <cell r="J215">
            <v>9.1999999999999993</v>
          </cell>
          <cell r="K215">
            <v>46</v>
          </cell>
          <cell r="L215">
            <v>36</v>
          </cell>
          <cell r="M215">
            <v>13</v>
          </cell>
          <cell r="N215" t="str">
            <v>2-Krannich</v>
          </cell>
        </row>
        <row r="216">
          <cell r="A216" t="str">
            <v>B0210</v>
          </cell>
          <cell r="D216" t="str">
            <v>SMA Sunny Boy 240 Micro Inverter</v>
          </cell>
          <cell r="G216">
            <v>0</v>
          </cell>
          <cell r="H216">
            <v>0</v>
          </cell>
          <cell r="N216" t="str">
            <v/>
          </cell>
        </row>
        <row r="217">
          <cell r="A217" t="str">
            <v>B0211</v>
          </cell>
          <cell r="D217" t="str">
            <v>Inverter SMA Multigate controller - Microinverter</v>
          </cell>
          <cell r="G217">
            <v>0</v>
          </cell>
          <cell r="H217">
            <v>0</v>
          </cell>
          <cell r="N217" t="str">
            <v/>
          </cell>
        </row>
        <row r="218">
          <cell r="A218" t="str">
            <v>B0212</v>
          </cell>
          <cell r="B218" t="str">
            <v>Control</v>
          </cell>
          <cell r="C218" t="str">
            <v>SMA</v>
          </cell>
          <cell r="D218" t="str">
            <v>SMA Energy Meter</v>
          </cell>
          <cell r="E218" t="str">
            <v>EMETER-20</v>
          </cell>
          <cell r="F218" t="str">
            <v>EMETER-20</v>
          </cell>
          <cell r="G218">
            <v>768.40000000000009</v>
          </cell>
          <cell r="H218">
            <v>698.55000000000007</v>
          </cell>
          <cell r="J218">
            <v>0.3</v>
          </cell>
          <cell r="K218">
            <v>8</v>
          </cell>
          <cell r="L218">
            <v>7</v>
          </cell>
          <cell r="M218">
            <v>7</v>
          </cell>
          <cell r="N218" t="str">
            <v>2-Krannich</v>
          </cell>
        </row>
        <row r="219">
          <cell r="A219" t="str">
            <v>B0213</v>
          </cell>
          <cell r="D219" t="str">
            <v>Fuse 30A Midi</v>
          </cell>
          <cell r="G219">
            <v>0</v>
          </cell>
          <cell r="H219">
            <v>0</v>
          </cell>
          <cell r="N219" t="str">
            <v/>
          </cell>
        </row>
        <row r="220">
          <cell r="A220" t="str">
            <v>B0214</v>
          </cell>
          <cell r="D220" t="str">
            <v>Shunt Adaptor DSA  for Plasmatronics Dingo</v>
          </cell>
          <cell r="G220">
            <v>0</v>
          </cell>
          <cell r="H220">
            <v>0</v>
          </cell>
          <cell r="N220" t="str">
            <v/>
          </cell>
        </row>
        <row r="221">
          <cell r="A221" t="str">
            <v>B0215</v>
          </cell>
          <cell r="B221" t="str">
            <v>Solar Controllers</v>
          </cell>
          <cell r="C221" t="str">
            <v>Victron</v>
          </cell>
          <cell r="D221" t="str">
            <v>SmartSolar MPPT 150/85-TR VE.Can</v>
          </cell>
          <cell r="E221" t="str">
            <v>SCC115085410</v>
          </cell>
          <cell r="F221" t="str">
            <v>MPPT 150/85-TR</v>
          </cell>
          <cell r="G221">
            <v>0</v>
          </cell>
          <cell r="H221">
            <v>0</v>
          </cell>
          <cell r="J221">
            <v>4.5</v>
          </cell>
          <cell r="K221">
            <v>30</v>
          </cell>
          <cell r="L221">
            <v>22</v>
          </cell>
          <cell r="M221">
            <v>10.5</v>
          </cell>
          <cell r="N221" t="str">
            <v>1-Victron</v>
          </cell>
        </row>
        <row r="222">
          <cell r="A222" t="str">
            <v>B0216</v>
          </cell>
          <cell r="B222" t="str">
            <v>Solar Controllers</v>
          </cell>
          <cell r="C222" t="str">
            <v>Victron</v>
          </cell>
          <cell r="D222" t="str">
            <v>SmartSolar MPPT 150/100 TR</v>
          </cell>
          <cell r="E222" t="str">
            <v>SCC115110211</v>
          </cell>
          <cell r="F222" t="str">
            <v>MPPT 150/100</v>
          </cell>
          <cell r="G222">
            <v>0</v>
          </cell>
          <cell r="H222">
            <v>0</v>
          </cell>
          <cell r="J222">
            <v>4.5</v>
          </cell>
          <cell r="K222">
            <v>30</v>
          </cell>
          <cell r="L222">
            <v>22</v>
          </cell>
          <cell r="M222">
            <v>10.5</v>
          </cell>
          <cell r="N222" t="str">
            <v>1-Victron</v>
          </cell>
        </row>
        <row r="223">
          <cell r="A223" t="str">
            <v>B0217</v>
          </cell>
          <cell r="B223" t="str">
            <v>Control</v>
          </cell>
          <cell r="C223" t="str">
            <v>Victron</v>
          </cell>
          <cell r="D223" t="str">
            <v>VE.Direct Bluetooth LE Dongle</v>
          </cell>
          <cell r="E223" t="str">
            <v>ASS030536011</v>
          </cell>
          <cell r="F223" t="str">
            <v>ASS030536011</v>
          </cell>
          <cell r="G223">
            <v>67.3</v>
          </cell>
          <cell r="H223">
            <v>61.2</v>
          </cell>
          <cell r="J223">
            <v>0.2</v>
          </cell>
          <cell r="K223">
            <v>10</v>
          </cell>
          <cell r="L223">
            <v>9</v>
          </cell>
          <cell r="M223">
            <v>3</v>
          </cell>
          <cell r="N223" t="str">
            <v>1-Victron</v>
          </cell>
        </row>
        <row r="224">
          <cell r="A224" t="str">
            <v>B0218</v>
          </cell>
          <cell r="B224" t="str">
            <v>Electrical</v>
          </cell>
          <cell r="C224" t="str">
            <v>Wattmaster</v>
          </cell>
          <cell r="D224" t="str">
            <v>Cable Lug 25mm2 x 6mm Copper (Bell/Straight)</v>
          </cell>
          <cell r="E224" t="str">
            <v>ALCL25M6/25</v>
          </cell>
          <cell r="F224" t="str">
            <v>25mm/6 Lug</v>
          </cell>
          <cell r="G224">
            <v>1.2000000000000002</v>
          </cell>
          <cell r="H224">
            <v>1.1000000000000001</v>
          </cell>
          <cell r="I224">
            <v>6</v>
          </cell>
          <cell r="J224">
            <v>0.05</v>
          </cell>
          <cell r="K224">
            <v>4</v>
          </cell>
          <cell r="L224">
            <v>1</v>
          </cell>
          <cell r="M224">
            <v>1</v>
          </cell>
          <cell r="N224" t="str">
            <v>3-Tradezone</v>
          </cell>
        </row>
        <row r="225">
          <cell r="A225" t="str">
            <v>B0219</v>
          </cell>
          <cell r="D225" t="str">
            <v>Cable for SMA Micro Inverter - DC</v>
          </cell>
          <cell r="G225">
            <v>0</v>
          </cell>
          <cell r="H225">
            <v>0</v>
          </cell>
          <cell r="N225" t="str">
            <v/>
          </cell>
        </row>
        <row r="226">
          <cell r="A226" t="str">
            <v>B0220</v>
          </cell>
          <cell r="B226" t="str">
            <v>Solar Controllers</v>
          </cell>
          <cell r="C226" t="str">
            <v>Victron</v>
          </cell>
          <cell r="D226" t="str">
            <v>SmartSolar LCD plugable screen</v>
          </cell>
          <cell r="E226" t="str">
            <v>SCC900650010</v>
          </cell>
          <cell r="F226" t="str">
            <v>MPPT Pluggable screen</v>
          </cell>
          <cell r="G226">
            <v>0</v>
          </cell>
          <cell r="H226">
            <v>0</v>
          </cell>
          <cell r="J226">
            <v>0.1</v>
          </cell>
          <cell r="K226">
            <v>10</v>
          </cell>
          <cell r="L226">
            <v>6</v>
          </cell>
          <cell r="M226">
            <v>3</v>
          </cell>
          <cell r="N226" t="str">
            <v>1-Victron</v>
          </cell>
        </row>
        <row r="227">
          <cell r="A227" t="str">
            <v>B0221</v>
          </cell>
          <cell r="B227" t="str">
            <v>Inverters</v>
          </cell>
          <cell r="C227" t="str">
            <v>Victron</v>
          </cell>
          <cell r="D227" t="str">
            <v>Phoenix 24/1200 VE.Direct Inverter</v>
          </cell>
          <cell r="E227" t="str">
            <v>PIN242121300</v>
          </cell>
          <cell r="F227" t="str">
            <v>Phoenix 24/1200</v>
          </cell>
          <cell r="G227">
            <v>568.25</v>
          </cell>
          <cell r="H227">
            <v>516.6</v>
          </cell>
          <cell r="J227">
            <v>7.4</v>
          </cell>
          <cell r="K227">
            <v>33</v>
          </cell>
          <cell r="L227">
            <v>23</v>
          </cell>
          <cell r="M227">
            <v>12</v>
          </cell>
          <cell r="N227" t="str">
            <v>1-Victron</v>
          </cell>
        </row>
        <row r="228">
          <cell r="A228" t="str">
            <v>B0222</v>
          </cell>
          <cell r="B228" t="str">
            <v>Inverters</v>
          </cell>
          <cell r="C228" t="str">
            <v>Victron</v>
          </cell>
          <cell r="D228" t="str">
            <v>Phoenix 12/500  VE.Direct Inverter</v>
          </cell>
          <cell r="E228" t="str">
            <v>PIN125010300</v>
          </cell>
          <cell r="F228" t="str">
            <v>Phoenix 12/500</v>
          </cell>
          <cell r="G228">
            <v>0</v>
          </cell>
          <cell r="H228">
            <v>0</v>
          </cell>
          <cell r="J228">
            <v>3.9</v>
          </cell>
          <cell r="K228">
            <v>29</v>
          </cell>
          <cell r="L228">
            <v>18</v>
          </cell>
          <cell r="M228">
            <v>9</v>
          </cell>
          <cell r="N228" t="str">
            <v>1-Victron</v>
          </cell>
        </row>
        <row r="229">
          <cell r="A229" t="str">
            <v>B0223</v>
          </cell>
          <cell r="B229" t="str">
            <v>Control</v>
          </cell>
          <cell r="C229" t="str">
            <v>Victron</v>
          </cell>
          <cell r="D229" t="str">
            <v>LoRaWan Tranceiver Module</v>
          </cell>
          <cell r="E229" t="str">
            <v>ASS030542010</v>
          </cell>
          <cell r="F229" t="str">
            <v>LoraWAN Module</v>
          </cell>
          <cell r="G229">
            <v>0</v>
          </cell>
          <cell r="H229">
            <v>0</v>
          </cell>
          <cell r="J229">
            <v>0.24</v>
          </cell>
          <cell r="K229">
            <v>15</v>
          </cell>
          <cell r="L229">
            <v>10</v>
          </cell>
          <cell r="M229">
            <v>4</v>
          </cell>
          <cell r="N229" t="str">
            <v>1-Victron</v>
          </cell>
        </row>
        <row r="230">
          <cell r="A230" t="str">
            <v>B0224</v>
          </cell>
          <cell r="B230" t="str">
            <v>Solar Controllers</v>
          </cell>
          <cell r="C230" t="str">
            <v>Victron</v>
          </cell>
          <cell r="D230" t="str">
            <v>BlueSolar MPPT 100/30A</v>
          </cell>
          <cell r="E230" t="str">
            <v>SCC020030200</v>
          </cell>
          <cell r="F230" t="str">
            <v>MPPT 100/30A</v>
          </cell>
          <cell r="G230">
            <v>190.10000000000002</v>
          </cell>
          <cell r="H230">
            <v>172.8</v>
          </cell>
          <cell r="J230">
            <v>1.3</v>
          </cell>
          <cell r="K230">
            <v>18.600000000000001</v>
          </cell>
          <cell r="L230">
            <v>13</v>
          </cell>
          <cell r="M230">
            <v>7</v>
          </cell>
          <cell r="N230" t="str">
            <v>1-Victron</v>
          </cell>
        </row>
        <row r="231">
          <cell r="A231" t="str">
            <v>B0225</v>
          </cell>
          <cell r="B231" t="str">
            <v>Enclosures</v>
          </cell>
          <cell r="C231" t="str">
            <v>IP Enclosures</v>
          </cell>
          <cell r="D231" t="str">
            <v>Enclosure 600H x 600W x 300D Steel Powdercoated</v>
          </cell>
          <cell r="E231" t="str">
            <v>IP606030</v>
          </cell>
          <cell r="F231" t="str">
            <v>MPN (Part #)</v>
          </cell>
          <cell r="G231">
            <v>526.1</v>
          </cell>
          <cell r="H231">
            <v>478.25</v>
          </cell>
          <cell r="J231">
            <v>22</v>
          </cell>
          <cell r="K231">
            <v>61</v>
          </cell>
          <cell r="L231">
            <v>61</v>
          </cell>
          <cell r="M231">
            <v>31</v>
          </cell>
          <cell r="N231" t="str">
            <v>6-Various</v>
          </cell>
        </row>
        <row r="232">
          <cell r="A232" t="str">
            <v>B0226</v>
          </cell>
          <cell r="B232" t="str">
            <v>Control</v>
          </cell>
          <cell r="C232" t="str">
            <v>Plasmatronics</v>
          </cell>
          <cell r="D232" t="str">
            <v>WYS, WXS, WZS Cable Double Adaptor</v>
          </cell>
          <cell r="E232" t="str">
            <v>PLDA</v>
          </cell>
          <cell r="F232" t="str">
            <v>PLDA</v>
          </cell>
          <cell r="G232">
            <v>8.5500000000000007</v>
          </cell>
          <cell r="H232">
            <v>7.8000000000000007</v>
          </cell>
          <cell r="J232">
            <v>0.1</v>
          </cell>
          <cell r="K232">
            <v>3</v>
          </cell>
          <cell r="L232">
            <v>3</v>
          </cell>
          <cell r="M232">
            <v>3</v>
          </cell>
          <cell r="N232" t="str">
            <v>4-Plasmatronics</v>
          </cell>
        </row>
        <row r="233">
          <cell r="A233" t="str">
            <v>B0227</v>
          </cell>
          <cell r="B233" t="str">
            <v>Inverter-Chargers</v>
          </cell>
          <cell r="C233" t="str">
            <v>SMA</v>
          </cell>
          <cell r="D233" t="str">
            <v>Sunny Island 6.0H</v>
          </cell>
          <cell r="E233" t="str">
            <v>SI 6.0H</v>
          </cell>
          <cell r="F233" t="str">
            <v>SI 6.0H</v>
          </cell>
          <cell r="G233">
            <v>5652.05</v>
          </cell>
          <cell r="H233">
            <v>5138.25</v>
          </cell>
          <cell r="J233">
            <v>63</v>
          </cell>
          <cell r="K233">
            <v>62</v>
          </cell>
          <cell r="L233">
            <v>47</v>
          </cell>
          <cell r="M233">
            <v>25</v>
          </cell>
          <cell r="N233" t="str">
            <v>7-Baywa</v>
          </cell>
        </row>
        <row r="234">
          <cell r="A234" t="str">
            <v>B0228</v>
          </cell>
          <cell r="B234" t="str">
            <v>Inverter-Chargers</v>
          </cell>
          <cell r="C234" t="str">
            <v>SMA</v>
          </cell>
          <cell r="D234" t="str">
            <v>Sunny Island 8.0H</v>
          </cell>
          <cell r="E234" t="str">
            <v>SI 8.0H</v>
          </cell>
          <cell r="F234" t="str">
            <v>SI 8.0H</v>
          </cell>
          <cell r="G234">
            <v>6161.4000000000005</v>
          </cell>
          <cell r="H234">
            <v>5601.3</v>
          </cell>
          <cell r="J234">
            <v>63</v>
          </cell>
          <cell r="K234">
            <v>62</v>
          </cell>
          <cell r="L234">
            <v>47</v>
          </cell>
          <cell r="M234">
            <v>25</v>
          </cell>
          <cell r="N234" t="str">
            <v>7-Baywa</v>
          </cell>
        </row>
        <row r="235">
          <cell r="A235" t="str">
            <v>B0230</v>
          </cell>
          <cell r="D235" t="str">
            <v>Inverter SMA Sunny Island 3.3M</v>
          </cell>
          <cell r="G235">
            <v>0</v>
          </cell>
          <cell r="H235">
            <v>0</v>
          </cell>
          <cell r="N235" t="str">
            <v>7-Baywa</v>
          </cell>
        </row>
        <row r="236">
          <cell r="A236" t="str">
            <v>B0231</v>
          </cell>
          <cell r="B236" t="str">
            <v>Batteries</v>
          </cell>
          <cell r="C236" t="str">
            <v>VICTRON</v>
          </cell>
          <cell r="D236" t="str">
            <v>AGM Super Cycle Batt. (M5) 12V60Ah</v>
          </cell>
          <cell r="E236" t="str">
            <v>BAT412060081</v>
          </cell>
          <cell r="F236" t="str">
            <v>AGMSCB12V60</v>
          </cell>
          <cell r="G236">
            <v>0</v>
          </cell>
          <cell r="H236">
            <v>0</v>
          </cell>
          <cell r="J236">
            <v>15</v>
          </cell>
          <cell r="K236">
            <v>22.4</v>
          </cell>
          <cell r="L236">
            <v>13.5</v>
          </cell>
          <cell r="M236">
            <v>17.8</v>
          </cell>
          <cell r="N236" t="str">
            <v>1-Victron</v>
          </cell>
        </row>
        <row r="237">
          <cell r="A237" t="str">
            <v>B0232</v>
          </cell>
          <cell r="D237" t="str">
            <v>Remote Controler for Sunny Island</v>
          </cell>
          <cell r="G237">
            <v>0</v>
          </cell>
          <cell r="H237">
            <v>0</v>
          </cell>
          <cell r="N237" t="str">
            <v/>
          </cell>
        </row>
        <row r="238">
          <cell r="A238" t="str">
            <v>B0233</v>
          </cell>
          <cell r="D238" t="str">
            <v>Fuse 80A Midi</v>
          </cell>
          <cell r="G238">
            <v>0</v>
          </cell>
          <cell r="H238">
            <v>0</v>
          </cell>
          <cell r="N238" t="str">
            <v/>
          </cell>
        </row>
        <row r="239">
          <cell r="A239" t="str">
            <v>B0234</v>
          </cell>
          <cell r="B239" t="str">
            <v>Inverters</v>
          </cell>
          <cell r="C239" t="str">
            <v>Victron</v>
          </cell>
          <cell r="D239" t="str">
            <v>Phoenix 24/375 VE.Direct  IEC Socket</v>
          </cell>
          <cell r="E239" t="str">
            <v>PIN243750300</v>
          </cell>
          <cell r="F239" t="str">
            <v>Phoenix 24/374 IEC</v>
          </cell>
          <cell r="G239">
            <v>211.85000000000002</v>
          </cell>
          <cell r="H239">
            <v>192.60000000000002</v>
          </cell>
          <cell r="J239">
            <v>3</v>
          </cell>
          <cell r="K239">
            <v>26</v>
          </cell>
          <cell r="L239">
            <v>17</v>
          </cell>
          <cell r="M239">
            <v>9</v>
          </cell>
          <cell r="N239" t="str">
            <v>1-Victron</v>
          </cell>
        </row>
        <row r="240">
          <cell r="A240" t="str">
            <v>B0235</v>
          </cell>
          <cell r="B240" t="str">
            <v>Enclosures</v>
          </cell>
          <cell r="C240" t="str">
            <v>IP Enclosures</v>
          </cell>
          <cell r="D240" t="str">
            <v>Enclosure 500H x 500W x 250D Steel Powdercoated</v>
          </cell>
          <cell r="E240" t="str">
            <v>IP505025</v>
          </cell>
          <cell r="F240" t="str">
            <v>MPN (Part #)</v>
          </cell>
          <cell r="G240">
            <v>289.45</v>
          </cell>
          <cell r="H240">
            <v>263.10000000000002</v>
          </cell>
          <cell r="N240" t="str">
            <v>3-Tradezone</v>
          </cell>
        </row>
        <row r="241">
          <cell r="A241" t="str">
            <v>B0236</v>
          </cell>
          <cell r="B241" t="str">
            <v>Enclosures</v>
          </cell>
          <cell r="C241" t="str">
            <v>IP Enclosures</v>
          </cell>
          <cell r="D241" t="str">
            <v>Enclosure 800H x 600W x 300D Steel Powdercoated</v>
          </cell>
          <cell r="E241" t="str">
            <v>IP806030</v>
          </cell>
          <cell r="F241" t="str">
            <v>MPN (Part #)</v>
          </cell>
          <cell r="G241">
            <v>613.85</v>
          </cell>
          <cell r="H241">
            <v>558.05000000000007</v>
          </cell>
          <cell r="J241">
            <v>29</v>
          </cell>
          <cell r="K241">
            <v>81</v>
          </cell>
          <cell r="L241">
            <v>61</v>
          </cell>
          <cell r="M241">
            <v>31</v>
          </cell>
          <cell r="N241" t="str">
            <v>3-Tradezone</v>
          </cell>
        </row>
        <row r="242">
          <cell r="A242" t="str">
            <v>B0237</v>
          </cell>
          <cell r="B242" t="str">
            <v>Enclosures</v>
          </cell>
          <cell r="C242" t="str">
            <v>IP Enclosures</v>
          </cell>
          <cell r="D242" t="str">
            <v>Enclosure 1000H x 600W x 300D Steel Powdercoated</v>
          </cell>
          <cell r="E242" t="str">
            <v>IP1008030</v>
          </cell>
          <cell r="F242" t="str">
            <v>MPN (Part #)</v>
          </cell>
          <cell r="G242">
            <v>781.45</v>
          </cell>
          <cell r="H242">
            <v>710.40000000000009</v>
          </cell>
          <cell r="N242" t="str">
            <v>3-Tradezone</v>
          </cell>
        </row>
        <row r="243">
          <cell r="A243" t="str">
            <v>B0238</v>
          </cell>
          <cell r="B243" t="str">
            <v>Control</v>
          </cell>
          <cell r="C243" t="str">
            <v>Victron</v>
          </cell>
          <cell r="D243" t="str">
            <v>Color Control GX Controller</v>
          </cell>
          <cell r="E243" t="str">
            <v>BPP010300100R</v>
          </cell>
          <cell r="F243" t="str">
            <v>Color Control GX</v>
          </cell>
          <cell r="G243">
            <v>735.55000000000007</v>
          </cell>
          <cell r="H243">
            <v>668.7</v>
          </cell>
          <cell r="J243">
            <v>0.83</v>
          </cell>
          <cell r="K243">
            <v>14</v>
          </cell>
          <cell r="L243">
            <v>12</v>
          </cell>
          <cell r="M243">
            <v>4</v>
          </cell>
          <cell r="N243" t="str">
            <v>1-Victron</v>
          </cell>
        </row>
        <row r="244">
          <cell r="A244" t="str">
            <v>B0239</v>
          </cell>
          <cell r="B244" t="str">
            <v>Inverter-Chargers</v>
          </cell>
          <cell r="C244" t="str">
            <v>Victron</v>
          </cell>
          <cell r="D244" t="str">
            <v>MultiPlus 48/3000/35-50</v>
          </cell>
          <cell r="E244" t="str">
            <v>PMP483021010</v>
          </cell>
          <cell r="F244" t="str">
            <v>Multiplus 48-3000</v>
          </cell>
          <cell r="G244">
            <v>1533.5</v>
          </cell>
          <cell r="H244">
            <v>1394.1000000000001</v>
          </cell>
          <cell r="J244">
            <v>18</v>
          </cell>
          <cell r="K244">
            <v>36.200000000000003</v>
          </cell>
          <cell r="L244">
            <v>25.8</v>
          </cell>
          <cell r="M244">
            <v>21.8</v>
          </cell>
          <cell r="N244" t="str">
            <v>1-Victron</v>
          </cell>
        </row>
        <row r="245">
          <cell r="A245" t="str">
            <v>B0240</v>
          </cell>
          <cell r="B245" t="str">
            <v>Inverter-Chargers</v>
          </cell>
          <cell r="C245" t="str">
            <v>Victron</v>
          </cell>
          <cell r="D245" t="str">
            <v>MultiPlus-II 48/3000/35-32</v>
          </cell>
          <cell r="E245" t="str">
            <v>PMP482305010</v>
          </cell>
          <cell r="F245" t="str">
            <v>MultiPlus-II 48/3000</v>
          </cell>
          <cell r="G245">
            <v>1233.5500000000002</v>
          </cell>
          <cell r="H245">
            <v>1121.4000000000001</v>
          </cell>
          <cell r="J245">
            <v>18</v>
          </cell>
          <cell r="K245">
            <v>49.9</v>
          </cell>
          <cell r="L245">
            <v>26.8</v>
          </cell>
          <cell r="M245">
            <v>14.1</v>
          </cell>
          <cell r="N245" t="str">
            <v>1-Victron</v>
          </cell>
        </row>
        <row r="246">
          <cell r="A246" t="str">
            <v>B0241</v>
          </cell>
          <cell r="B246" t="str">
            <v>Control</v>
          </cell>
          <cell r="C246" t="str">
            <v>Victron</v>
          </cell>
          <cell r="D246" t="str">
            <v xml:space="preserve">Venus GX Controller </v>
          </cell>
          <cell r="E246" t="str">
            <v>BPP900400100</v>
          </cell>
          <cell r="F246" t="str">
            <v>Venus GX</v>
          </cell>
          <cell r="G246">
            <v>463.3</v>
          </cell>
          <cell r="H246">
            <v>421.20000000000005</v>
          </cell>
          <cell r="J246">
            <v>0.45</v>
          </cell>
          <cell r="K246">
            <v>15</v>
          </cell>
          <cell r="L246">
            <v>10</v>
          </cell>
          <cell r="M246">
            <v>5</v>
          </cell>
          <cell r="N246" t="str">
            <v>1-Victron</v>
          </cell>
        </row>
        <row r="247">
          <cell r="A247" t="str">
            <v>B0242</v>
          </cell>
          <cell r="B247" t="str">
            <v>Inverter-Chargers</v>
          </cell>
          <cell r="C247" t="str">
            <v>Victron</v>
          </cell>
          <cell r="D247" t="str">
            <v>MultiPlus 48/800/9-16</v>
          </cell>
          <cell r="E247" t="str">
            <v>PMP481800000</v>
          </cell>
          <cell r="F247" t="str">
            <v>Multiplus 48-800</v>
          </cell>
          <cell r="G247">
            <v>641.5</v>
          </cell>
          <cell r="H247">
            <v>583.20000000000005</v>
          </cell>
          <cell r="J247">
            <v>8.1999999999999993</v>
          </cell>
          <cell r="K247">
            <v>40.6</v>
          </cell>
          <cell r="L247">
            <v>25</v>
          </cell>
          <cell r="M247">
            <v>10</v>
          </cell>
          <cell r="N247" t="str">
            <v>1-Victron</v>
          </cell>
        </row>
        <row r="248">
          <cell r="A248" t="str">
            <v>B0243</v>
          </cell>
          <cell r="B248" t="str">
            <v>Inverter-Chargers</v>
          </cell>
          <cell r="C248" t="str">
            <v>Victron</v>
          </cell>
          <cell r="D248" t="str">
            <v>MultiPlus 48/1200/13-16</v>
          </cell>
          <cell r="E248" t="str">
            <v>PMP482120000</v>
          </cell>
          <cell r="F248" t="str">
            <v>Multiplus 48-1200</v>
          </cell>
          <cell r="G248">
            <v>895.95</v>
          </cell>
          <cell r="H248">
            <v>814.5</v>
          </cell>
          <cell r="J248">
            <v>8.1999999999999993</v>
          </cell>
          <cell r="K248">
            <v>40.6</v>
          </cell>
          <cell r="L248">
            <v>25</v>
          </cell>
          <cell r="M248">
            <v>10</v>
          </cell>
          <cell r="N248" t="str">
            <v>1-Victron</v>
          </cell>
        </row>
        <row r="249">
          <cell r="A249" t="str">
            <v>B0244</v>
          </cell>
          <cell r="D249" t="str">
            <v>Sensor Victron - AC Current Sensor</v>
          </cell>
          <cell r="G249">
            <v>0</v>
          </cell>
          <cell r="H249">
            <v>0</v>
          </cell>
          <cell r="N249" t="str">
            <v>1-Victron</v>
          </cell>
        </row>
        <row r="250">
          <cell r="A250" t="str">
            <v>B0245</v>
          </cell>
          <cell r="B250" t="str">
            <v>Victron Accessories</v>
          </cell>
          <cell r="C250" t="str">
            <v>Victron</v>
          </cell>
          <cell r="D250" t="str">
            <v>Energy meter ET112 - 1 phase - max 100A</v>
          </cell>
          <cell r="E250" t="str">
            <v>REL300100000</v>
          </cell>
          <cell r="F250" t="str">
            <v>MPN (Part #)</v>
          </cell>
          <cell r="G250">
            <v>105.95</v>
          </cell>
          <cell r="H250">
            <v>96.300000000000011</v>
          </cell>
          <cell r="N250" t="str">
            <v>1-Victron</v>
          </cell>
        </row>
        <row r="251">
          <cell r="A251" t="str">
            <v>B0246</v>
          </cell>
          <cell r="B251" t="str">
            <v>Inverters</v>
          </cell>
          <cell r="C251" t="str">
            <v>Victron</v>
          </cell>
          <cell r="D251" t="str">
            <v>Phoenix 24/375 VE.Direct  AU Socket</v>
          </cell>
          <cell r="E251" t="str">
            <v>PIN243750300</v>
          </cell>
          <cell r="F251" t="str">
            <v>Phoenix 24/375 AU</v>
          </cell>
          <cell r="G251">
            <v>211.85000000000002</v>
          </cell>
          <cell r="H251">
            <v>192.60000000000002</v>
          </cell>
          <cell r="J251">
            <v>3</v>
          </cell>
          <cell r="K251">
            <v>26</v>
          </cell>
          <cell r="L251">
            <v>17</v>
          </cell>
          <cell r="M251">
            <v>9</v>
          </cell>
          <cell r="N251" t="str">
            <v>1-Victron</v>
          </cell>
        </row>
        <row r="252">
          <cell r="A252" t="str">
            <v>B0247</v>
          </cell>
          <cell r="B252" t="str">
            <v>Inverters</v>
          </cell>
          <cell r="C252" t="str">
            <v>SMA</v>
          </cell>
          <cell r="D252" t="str">
            <v>Tripower 10000TL-20</v>
          </cell>
          <cell r="E252" t="str">
            <v>STP 10000TL-20</v>
          </cell>
          <cell r="F252" t="str">
            <v>10000TL-20</v>
          </cell>
          <cell r="G252">
            <v>3913.8</v>
          </cell>
          <cell r="H252">
            <v>3558</v>
          </cell>
          <cell r="J252">
            <v>37</v>
          </cell>
          <cell r="K252">
            <v>73</v>
          </cell>
          <cell r="L252">
            <v>47</v>
          </cell>
          <cell r="M252">
            <v>24</v>
          </cell>
          <cell r="N252" t="str">
            <v>7-Baywa</v>
          </cell>
        </row>
        <row r="253">
          <cell r="A253" t="str">
            <v>B0248</v>
          </cell>
          <cell r="B253" t="str">
            <v>Inverters</v>
          </cell>
          <cell r="C253" t="str">
            <v>SMA</v>
          </cell>
          <cell r="D253" t="str">
            <v>Tripower 15000TL-30</v>
          </cell>
          <cell r="E253" t="str">
            <v>STP 15000TL-30</v>
          </cell>
          <cell r="F253" t="str">
            <v>15000TL-30</v>
          </cell>
          <cell r="G253">
            <v>5018.4500000000007</v>
          </cell>
          <cell r="H253">
            <v>4562.2</v>
          </cell>
          <cell r="J253">
            <v>61</v>
          </cell>
          <cell r="K253">
            <v>68.2</v>
          </cell>
          <cell r="L253">
            <v>66.099999999999994</v>
          </cell>
          <cell r="M253">
            <v>26.4</v>
          </cell>
          <cell r="N253" t="str">
            <v>7-Baywa</v>
          </cell>
        </row>
        <row r="254">
          <cell r="A254" t="str">
            <v>B0249</v>
          </cell>
          <cell r="B254" t="str">
            <v>Inverters</v>
          </cell>
          <cell r="C254" t="str">
            <v>SMA</v>
          </cell>
          <cell r="D254" t="str">
            <v>Tripower 5000TL-20</v>
          </cell>
          <cell r="E254" t="str">
            <v>STP 5000TL-20</v>
          </cell>
          <cell r="F254" t="str">
            <v>5000TL-20</v>
          </cell>
          <cell r="G254">
            <v>2570</v>
          </cell>
          <cell r="H254">
            <v>2336.35</v>
          </cell>
          <cell r="J254">
            <v>37</v>
          </cell>
          <cell r="K254">
            <v>73</v>
          </cell>
          <cell r="L254">
            <v>47</v>
          </cell>
          <cell r="M254">
            <v>24</v>
          </cell>
          <cell r="N254" t="str">
            <v>7-Baywa</v>
          </cell>
        </row>
        <row r="255">
          <cell r="A255" t="str">
            <v>B0250</v>
          </cell>
          <cell r="B255" t="str">
            <v>Inverters</v>
          </cell>
          <cell r="C255" t="str">
            <v>SMA</v>
          </cell>
          <cell r="D255" t="str">
            <v>Tripower 20000TL-30</v>
          </cell>
          <cell r="E255" t="str">
            <v>STP 20000TL-30</v>
          </cell>
          <cell r="F255" t="str">
            <v>20000TL-30</v>
          </cell>
          <cell r="G255">
            <v>5389.3</v>
          </cell>
          <cell r="H255">
            <v>4899.3500000000004</v>
          </cell>
          <cell r="J255">
            <v>61</v>
          </cell>
          <cell r="K255">
            <v>68.2</v>
          </cell>
          <cell r="L255">
            <v>66.099999999999994</v>
          </cell>
          <cell r="M255">
            <v>26.4</v>
          </cell>
          <cell r="N255" t="str">
            <v>7-Baywa</v>
          </cell>
        </row>
        <row r="256">
          <cell r="A256" t="str">
            <v>B0251</v>
          </cell>
          <cell r="B256" t="str">
            <v>Control</v>
          </cell>
          <cell r="C256" t="str">
            <v>SMA</v>
          </cell>
          <cell r="D256" t="str">
            <v>Sunny Home Manager 2.0</v>
          </cell>
          <cell r="E256" t="str">
            <v>HM-20</v>
          </cell>
          <cell r="F256" t="str">
            <v>HM-20</v>
          </cell>
          <cell r="G256">
            <v>1222.2</v>
          </cell>
          <cell r="H256">
            <v>1111.05</v>
          </cell>
          <cell r="J256">
            <v>0.3</v>
          </cell>
          <cell r="K256">
            <v>8.8000000000000007</v>
          </cell>
          <cell r="L256">
            <v>7</v>
          </cell>
          <cell r="M256">
            <v>6.5</v>
          </cell>
          <cell r="N256" t="str">
            <v>7-Baywa</v>
          </cell>
        </row>
        <row r="257">
          <cell r="A257" t="str">
            <v>B0252</v>
          </cell>
          <cell r="B257" t="str">
            <v>Solar Controllers</v>
          </cell>
          <cell r="C257" t="str">
            <v>Victron</v>
          </cell>
          <cell r="D257" t="str">
            <v>SmartSolar MPPT 150/35</v>
          </cell>
          <cell r="E257" t="str">
            <v>SCC115035210</v>
          </cell>
          <cell r="F257" t="str">
            <v xml:space="preserve">MPPT 150v/35A </v>
          </cell>
          <cell r="G257">
            <v>313.85000000000002</v>
          </cell>
          <cell r="H257">
            <v>285.3</v>
          </cell>
          <cell r="J257">
            <v>1.3</v>
          </cell>
          <cell r="K257">
            <v>18.600000000000001</v>
          </cell>
          <cell r="L257">
            <v>13</v>
          </cell>
          <cell r="M257">
            <v>7</v>
          </cell>
          <cell r="N257" t="str">
            <v>1-Victron</v>
          </cell>
        </row>
        <row r="258">
          <cell r="A258" t="str">
            <v>B0253</v>
          </cell>
          <cell r="B258" t="str">
            <v>Solar Controllers</v>
          </cell>
          <cell r="C258" t="str">
            <v>Victron</v>
          </cell>
          <cell r="D258" t="str">
            <v xml:space="preserve">SmartSolar MPPT 150/60 TR </v>
          </cell>
          <cell r="E258" t="str">
            <v>SCC115060210</v>
          </cell>
          <cell r="F258" t="str">
            <v>MPPT 150/60-Tr</v>
          </cell>
          <cell r="G258">
            <v>541.55000000000007</v>
          </cell>
          <cell r="H258">
            <v>492.3</v>
          </cell>
          <cell r="J258">
            <v>3</v>
          </cell>
          <cell r="K258">
            <v>25</v>
          </cell>
          <cell r="L258">
            <v>20</v>
          </cell>
          <cell r="M258">
            <v>9.5</v>
          </cell>
          <cell r="N258" t="str">
            <v>1-Victron</v>
          </cell>
        </row>
        <row r="259">
          <cell r="A259" t="str">
            <v>B0254</v>
          </cell>
          <cell r="D259" t="str">
            <v>Cable Gland 20mm Nylon</v>
          </cell>
          <cell r="G259">
            <v>0</v>
          </cell>
          <cell r="H259">
            <v>0</v>
          </cell>
          <cell r="N259" t="str">
            <v/>
          </cell>
        </row>
        <row r="260">
          <cell r="A260" t="str">
            <v>B0255</v>
          </cell>
          <cell r="D260" t="str">
            <v>Cable Gland 16mm Nylon</v>
          </cell>
          <cell r="G260">
            <v>0</v>
          </cell>
          <cell r="H260">
            <v>0</v>
          </cell>
          <cell r="N260" t="str">
            <v/>
          </cell>
        </row>
        <row r="261">
          <cell r="A261" t="str">
            <v>B0256</v>
          </cell>
          <cell r="D261" t="str">
            <v>RJ45 UTP Cable 0.9m</v>
          </cell>
          <cell r="G261">
            <v>0</v>
          </cell>
          <cell r="H261">
            <v>0</v>
          </cell>
          <cell r="N261" t="str">
            <v/>
          </cell>
        </row>
        <row r="262">
          <cell r="A262" t="str">
            <v>B0257</v>
          </cell>
          <cell r="D262" t="str">
            <v>Solar Control Victron BlueSolar PWM-Light 48V-30A</v>
          </cell>
          <cell r="G262">
            <v>0</v>
          </cell>
          <cell r="H262">
            <v>0</v>
          </cell>
          <cell r="N262" t="str">
            <v>1-Victron</v>
          </cell>
        </row>
        <row r="263">
          <cell r="A263" t="str">
            <v>B0258</v>
          </cell>
          <cell r="B263" t="str">
            <v>UTP doubles - check!</v>
          </cell>
          <cell r="C263" t="str">
            <v>Victron</v>
          </cell>
          <cell r="D263" t="str">
            <v>RJ12 UTP Cable 1.8 m</v>
          </cell>
          <cell r="E263" t="str">
            <v>ASS030066018</v>
          </cell>
          <cell r="F263" t="str">
            <v>MPN (Part #)</v>
          </cell>
          <cell r="G263">
            <v>0</v>
          </cell>
          <cell r="H263">
            <v>0</v>
          </cell>
          <cell r="N263" t="str">
            <v/>
          </cell>
        </row>
        <row r="264">
          <cell r="A264" t="str">
            <v>B0259</v>
          </cell>
          <cell r="B264" t="str">
            <v>Chargers</v>
          </cell>
          <cell r="C264" t="str">
            <v>Victron</v>
          </cell>
          <cell r="D264" t="str">
            <v>Battery Charger Blue Smart IP22 12/30(1)</v>
          </cell>
          <cell r="E264" t="str">
            <v>BPC123047012</v>
          </cell>
          <cell r="F264" t="str">
            <v>MPN (Part #)</v>
          </cell>
          <cell r="G264">
            <v>309.85000000000002</v>
          </cell>
          <cell r="H264">
            <v>281.7</v>
          </cell>
          <cell r="I264">
            <v>0</v>
          </cell>
          <cell r="J264">
            <v>1.4</v>
          </cell>
          <cell r="K264">
            <v>23.5</v>
          </cell>
          <cell r="L264">
            <v>10.8</v>
          </cell>
          <cell r="M264">
            <v>6.5</v>
          </cell>
          <cell r="N264" t="str">
            <v>1-Victron</v>
          </cell>
        </row>
        <row r="265">
          <cell r="A265" t="str">
            <v>B0260</v>
          </cell>
          <cell r="B265" t="str">
            <v>Inverters</v>
          </cell>
          <cell r="C265" t="str">
            <v>SMA</v>
          </cell>
          <cell r="D265" t="str">
            <v xml:space="preserve"> Sunny Boy 6.0kW Inverter</v>
          </cell>
          <cell r="E265" t="str">
            <v>SB 6.0-1</v>
          </cell>
          <cell r="F265" t="str">
            <v>SunnyBoy 6kW</v>
          </cell>
          <cell r="G265">
            <v>2695</v>
          </cell>
          <cell r="H265">
            <v>2450</v>
          </cell>
          <cell r="I265">
            <v>0</v>
          </cell>
          <cell r="J265">
            <v>17.5</v>
          </cell>
          <cell r="K265">
            <v>48</v>
          </cell>
          <cell r="L265">
            <v>44</v>
          </cell>
          <cell r="M265">
            <v>19</v>
          </cell>
          <cell r="N265" t="str">
            <v>2-Krannich</v>
          </cell>
        </row>
        <row r="266">
          <cell r="A266" t="str">
            <v>B0261</v>
          </cell>
          <cell r="B266" t="str">
            <v>Chargers</v>
          </cell>
          <cell r="C266" t="str">
            <v>Victron</v>
          </cell>
          <cell r="D266" t="str">
            <v>Battery Charger Blue Smart IP22 24/16 (1)</v>
          </cell>
          <cell r="E266" t="str">
            <v>BPC241647012</v>
          </cell>
          <cell r="F266" t="str">
            <v>MPN (Part #)</v>
          </cell>
          <cell r="G266">
            <v>0</v>
          </cell>
          <cell r="H266">
            <v>0</v>
          </cell>
          <cell r="I266">
            <v>0</v>
          </cell>
          <cell r="J266">
            <v>1.4</v>
          </cell>
          <cell r="K266">
            <v>23.5</v>
          </cell>
          <cell r="L266">
            <v>10.8</v>
          </cell>
          <cell r="M266">
            <v>6.5</v>
          </cell>
          <cell r="N266" t="str">
            <v>1-Victron</v>
          </cell>
        </row>
        <row r="267">
          <cell r="A267" t="str">
            <v>B0262</v>
          </cell>
          <cell r="B267" t="str">
            <v>Chargers</v>
          </cell>
          <cell r="C267" t="str">
            <v>Victron</v>
          </cell>
          <cell r="D267" t="str">
            <v>Battery Charger Blue Smart IP22 24/16 (3)</v>
          </cell>
          <cell r="E267" t="str">
            <v>BPC241644012</v>
          </cell>
          <cell r="F267" t="str">
            <v>MPN (Part #)</v>
          </cell>
          <cell r="G267">
            <v>0</v>
          </cell>
          <cell r="H267">
            <v>0</v>
          </cell>
          <cell r="I267">
            <v>0</v>
          </cell>
          <cell r="J267">
            <v>1.4</v>
          </cell>
          <cell r="K267">
            <v>23.5</v>
          </cell>
          <cell r="L267">
            <v>10.8</v>
          </cell>
          <cell r="M267">
            <v>6.5</v>
          </cell>
          <cell r="N267" t="str">
            <v>1-Victron</v>
          </cell>
        </row>
        <row r="268">
          <cell r="A268" t="str">
            <v>B0263</v>
          </cell>
          <cell r="B268" t="str">
            <v>Chargers</v>
          </cell>
          <cell r="C268" t="str">
            <v>Victron</v>
          </cell>
          <cell r="D268" t="str">
            <v>Battery Charger Blue Smart IP67 12/7 (1)</v>
          </cell>
          <cell r="E268" t="str">
            <v>BPC120713016</v>
          </cell>
          <cell r="F268" t="str">
            <v>BPC120713016</v>
          </cell>
          <cell r="G268">
            <v>0</v>
          </cell>
          <cell r="H268">
            <v>0</v>
          </cell>
          <cell r="I268">
            <v>0</v>
          </cell>
          <cell r="J268">
            <v>1.8</v>
          </cell>
          <cell r="K268">
            <v>8.5</v>
          </cell>
          <cell r="L268">
            <v>21.1</v>
          </cell>
          <cell r="M268">
            <v>6</v>
          </cell>
          <cell r="N268" t="str">
            <v>1-Victron</v>
          </cell>
        </row>
        <row r="269">
          <cell r="A269" t="str">
            <v>B0264</v>
          </cell>
          <cell r="B269" t="str">
            <v>Chargers</v>
          </cell>
          <cell r="C269" t="str">
            <v>Victron</v>
          </cell>
          <cell r="D269" t="str">
            <v>Battery Charger Blue Smart IP67 12/17 (1)</v>
          </cell>
          <cell r="E269" t="str">
            <v>BPC121713016</v>
          </cell>
          <cell r="F269" t="str">
            <v>BPC121713016</v>
          </cell>
          <cell r="G269">
            <v>0</v>
          </cell>
          <cell r="H269">
            <v>0</v>
          </cell>
          <cell r="I269">
            <v>0</v>
          </cell>
          <cell r="J269">
            <v>2.4</v>
          </cell>
          <cell r="K269">
            <v>8.5</v>
          </cell>
          <cell r="L269">
            <v>21.1</v>
          </cell>
          <cell r="M269">
            <v>6</v>
          </cell>
          <cell r="N269" t="str">
            <v>1-Victron</v>
          </cell>
        </row>
        <row r="270">
          <cell r="A270" t="str">
            <v>B0265</v>
          </cell>
          <cell r="B270" t="str">
            <v>Inverters</v>
          </cell>
          <cell r="C270" t="str">
            <v>ABB</v>
          </cell>
          <cell r="D270" t="str">
            <v>Uno 3.3KW 1ph</v>
          </cell>
          <cell r="E270" t="str">
            <v>UNO-DM-3.3-TL</v>
          </cell>
          <cell r="F270" t="str">
            <v>MPN (Part #)</v>
          </cell>
          <cell r="G270">
            <v>0</v>
          </cell>
          <cell r="H270">
            <v>0</v>
          </cell>
          <cell r="I270">
            <v>0</v>
          </cell>
          <cell r="J270">
            <v>15</v>
          </cell>
          <cell r="K270">
            <v>55.3</v>
          </cell>
          <cell r="L270">
            <v>41.8</v>
          </cell>
          <cell r="M270">
            <v>17.5</v>
          </cell>
          <cell r="N270" t="str">
            <v>9-SolarJuice</v>
          </cell>
        </row>
        <row r="271">
          <cell r="A271" t="str">
            <v>B0267</v>
          </cell>
          <cell r="B271" t="str">
            <v>Solar Controllers</v>
          </cell>
          <cell r="C271" t="str">
            <v>Victron</v>
          </cell>
          <cell r="D271" t="str">
            <v>BlueSolar MPPT 100/15</v>
          </cell>
          <cell r="E271" t="str">
            <v>SCC010015200R</v>
          </cell>
          <cell r="F271" t="str">
            <v>MPPT 100/15</v>
          </cell>
          <cell r="G271">
            <v>104.95</v>
          </cell>
          <cell r="H271">
            <v>95.4</v>
          </cell>
          <cell r="I271">
            <v>0</v>
          </cell>
          <cell r="J271">
            <v>0.6</v>
          </cell>
          <cell r="K271">
            <v>11.3</v>
          </cell>
          <cell r="L271">
            <v>10</v>
          </cell>
          <cell r="M271">
            <v>4</v>
          </cell>
          <cell r="N271" t="str">
            <v>1-Victron</v>
          </cell>
        </row>
        <row r="272">
          <cell r="A272" t="str">
            <v>B0268</v>
          </cell>
          <cell r="B272" t="str">
            <v>Solar Controllers</v>
          </cell>
          <cell r="C272" t="str">
            <v>Victron</v>
          </cell>
          <cell r="D272" t="str">
            <v>BlueSolar MPPT 150/35</v>
          </cell>
          <cell r="E272" t="str">
            <v>SCC020035000</v>
          </cell>
          <cell r="F272" t="str">
            <v>MPPT 150/35</v>
          </cell>
          <cell r="G272">
            <v>285.10000000000002</v>
          </cell>
          <cell r="H272">
            <v>259.2</v>
          </cell>
          <cell r="I272">
            <v>0</v>
          </cell>
          <cell r="J272">
            <v>1.3</v>
          </cell>
          <cell r="K272">
            <v>18.600000000000001</v>
          </cell>
          <cell r="L272">
            <v>13</v>
          </cell>
          <cell r="M272">
            <v>7</v>
          </cell>
          <cell r="N272" t="str">
            <v>1-Victron</v>
          </cell>
        </row>
        <row r="273">
          <cell r="A273" t="str">
            <v>B0269</v>
          </cell>
          <cell r="B273" t="str">
            <v>Solar Controllers</v>
          </cell>
          <cell r="C273" t="str">
            <v>Victron</v>
          </cell>
          <cell r="D273" t="str">
            <v>BlueSolar MPPT 150/45-Tr</v>
          </cell>
          <cell r="E273" t="str">
            <v>SCC010045200</v>
          </cell>
          <cell r="F273" t="str">
            <v>MPPT-150/45-Tr</v>
          </cell>
          <cell r="G273">
            <v>0</v>
          </cell>
          <cell r="H273">
            <v>0</v>
          </cell>
          <cell r="I273">
            <v>0</v>
          </cell>
          <cell r="J273">
            <v>3</v>
          </cell>
          <cell r="K273">
            <v>18.5</v>
          </cell>
          <cell r="L273">
            <v>20</v>
          </cell>
          <cell r="M273">
            <v>9.5</v>
          </cell>
          <cell r="N273" t="str">
            <v>1-Victron</v>
          </cell>
        </row>
        <row r="274">
          <cell r="A274" t="str">
            <v>B0270</v>
          </cell>
          <cell r="B274" t="str">
            <v>Solar Controllers</v>
          </cell>
          <cell r="C274" t="str">
            <v>Victron</v>
          </cell>
          <cell r="D274" t="str">
            <v>BlueSolar MPPT 150/45-MC4</v>
          </cell>
          <cell r="E274" t="str">
            <v>SCC010045300</v>
          </cell>
          <cell r="F274" t="str">
            <v xml:space="preserve"> MPPT-150/45-MC4</v>
          </cell>
          <cell r="G274">
            <v>0</v>
          </cell>
          <cell r="H274">
            <v>0</v>
          </cell>
          <cell r="I274">
            <v>0</v>
          </cell>
          <cell r="J274">
            <v>3</v>
          </cell>
          <cell r="K274">
            <v>21.5</v>
          </cell>
          <cell r="L274">
            <v>20</v>
          </cell>
          <cell r="M274">
            <v>9.5</v>
          </cell>
          <cell r="N274" t="str">
            <v>1-Victron</v>
          </cell>
        </row>
        <row r="275">
          <cell r="A275" t="str">
            <v>B0271</v>
          </cell>
          <cell r="B275" t="str">
            <v>Solar Controllers</v>
          </cell>
          <cell r="C275" t="str">
            <v>Victron</v>
          </cell>
          <cell r="D275" t="str">
            <v>BlueSolar MPPT 150/60-Tr</v>
          </cell>
          <cell r="E275" t="str">
            <v>SCC010060200</v>
          </cell>
          <cell r="F275" t="str">
            <v>MPPT-150/60-Tr</v>
          </cell>
          <cell r="G275">
            <v>541.55000000000007</v>
          </cell>
          <cell r="H275">
            <v>492.3</v>
          </cell>
          <cell r="I275">
            <v>0</v>
          </cell>
          <cell r="J275">
            <v>3</v>
          </cell>
          <cell r="K275">
            <v>18.5</v>
          </cell>
          <cell r="L275">
            <v>25</v>
          </cell>
          <cell r="M275">
            <v>9.5</v>
          </cell>
          <cell r="N275" t="str">
            <v>1-Victron</v>
          </cell>
        </row>
        <row r="276">
          <cell r="A276" t="str">
            <v>B0272</v>
          </cell>
          <cell r="B276" t="str">
            <v>Solar Controllers</v>
          </cell>
          <cell r="C276" t="str">
            <v>Victron</v>
          </cell>
          <cell r="D276" t="str">
            <v>BlueSolar MPPT 150/60-MC4</v>
          </cell>
          <cell r="E276" t="str">
            <v>SCC010060300</v>
          </cell>
          <cell r="F276" t="str">
            <v>MPPT-150/60-MC4</v>
          </cell>
          <cell r="G276">
            <v>541.55000000000007</v>
          </cell>
          <cell r="H276">
            <v>492.3</v>
          </cell>
          <cell r="I276">
            <v>0</v>
          </cell>
          <cell r="J276">
            <v>3</v>
          </cell>
          <cell r="K276">
            <v>21.5</v>
          </cell>
          <cell r="L276">
            <v>25</v>
          </cell>
          <cell r="M276">
            <v>9.5</v>
          </cell>
          <cell r="N276" t="str">
            <v>1-Victron</v>
          </cell>
        </row>
        <row r="277">
          <cell r="A277" t="str">
            <v>B0273</v>
          </cell>
          <cell r="B277" t="str">
            <v>Solar Controllers</v>
          </cell>
          <cell r="C277" t="str">
            <v>Victron</v>
          </cell>
          <cell r="D277" t="str">
            <v>BlueSolar MPPT 150/70-Tr</v>
          </cell>
          <cell r="E277" t="str">
            <v>SCC010070200</v>
          </cell>
          <cell r="F277" t="str">
            <v>MPPT-150/70-Tr</v>
          </cell>
          <cell r="G277">
            <v>596</v>
          </cell>
          <cell r="H277">
            <v>541.80000000000007</v>
          </cell>
          <cell r="I277">
            <v>0</v>
          </cell>
          <cell r="J277">
            <v>3</v>
          </cell>
          <cell r="K277">
            <v>18.5</v>
          </cell>
          <cell r="L277">
            <v>25</v>
          </cell>
          <cell r="M277">
            <v>9.5</v>
          </cell>
          <cell r="N277" t="str">
            <v>1-Victron</v>
          </cell>
        </row>
        <row r="278">
          <cell r="A278" t="str">
            <v>B0274</v>
          </cell>
          <cell r="B278" t="str">
            <v>Solar Controllers</v>
          </cell>
          <cell r="C278" t="str">
            <v>Victron</v>
          </cell>
          <cell r="D278" t="str">
            <v>BlueSolar MPPT 150/70-MC4</v>
          </cell>
          <cell r="E278" t="str">
            <v>SCC010070300</v>
          </cell>
          <cell r="F278" t="str">
            <v>MPPT-150/70-MC4</v>
          </cell>
          <cell r="G278">
            <v>596.95000000000005</v>
          </cell>
          <cell r="H278">
            <v>542.70000000000005</v>
          </cell>
          <cell r="I278">
            <v>0</v>
          </cell>
          <cell r="J278">
            <v>3</v>
          </cell>
          <cell r="K278">
            <v>21.5</v>
          </cell>
          <cell r="L278">
            <v>25</v>
          </cell>
          <cell r="M278">
            <v>9.5</v>
          </cell>
          <cell r="N278" t="str">
            <v>1-Victron</v>
          </cell>
        </row>
        <row r="279">
          <cell r="A279" t="str">
            <v>B0275</v>
          </cell>
          <cell r="B279" t="str">
            <v>Solar Controllers</v>
          </cell>
          <cell r="C279" t="str">
            <v>Victron</v>
          </cell>
          <cell r="D279" t="str">
            <v>SmartSolar MPPT 75/10</v>
          </cell>
          <cell r="E279" t="str">
            <v>SCC075010060R</v>
          </cell>
          <cell r="F279" t="str">
            <v>MPPT-75/10</v>
          </cell>
          <cell r="G279">
            <v>104.95</v>
          </cell>
          <cell r="H279">
            <v>95.4</v>
          </cell>
          <cell r="I279">
            <v>0</v>
          </cell>
          <cell r="J279">
            <v>0.5</v>
          </cell>
          <cell r="K279">
            <v>11.3</v>
          </cell>
          <cell r="L279">
            <v>10</v>
          </cell>
          <cell r="M279">
            <v>4</v>
          </cell>
          <cell r="N279" t="str">
            <v>1-Victron</v>
          </cell>
        </row>
        <row r="280">
          <cell r="A280" t="str">
            <v>B0276</v>
          </cell>
          <cell r="B280" t="str">
            <v>Solar Controllers</v>
          </cell>
          <cell r="C280" t="str">
            <v>Victron</v>
          </cell>
          <cell r="D280" t="str">
            <v>SmartSolar MPPT 75/15</v>
          </cell>
          <cell r="E280" t="str">
            <v>SCC075015060R</v>
          </cell>
          <cell r="F280" t="str">
            <v>MPPT-75/15</v>
          </cell>
          <cell r="G280">
            <v>113.85000000000001</v>
          </cell>
          <cell r="H280">
            <v>103.5</v>
          </cell>
          <cell r="I280">
            <v>0</v>
          </cell>
          <cell r="J280">
            <v>0.5</v>
          </cell>
          <cell r="K280">
            <v>11.3</v>
          </cell>
          <cell r="L280">
            <v>10</v>
          </cell>
          <cell r="M280">
            <v>4</v>
          </cell>
          <cell r="N280" t="str">
            <v>1-Victron</v>
          </cell>
        </row>
        <row r="281">
          <cell r="A281" t="str">
            <v>B0277</v>
          </cell>
          <cell r="B281" t="str">
            <v>Solar Controllers</v>
          </cell>
          <cell r="C281" t="str">
            <v>Victron</v>
          </cell>
          <cell r="D281" t="str">
            <v>SmartSolar MPPT 100/15</v>
          </cell>
          <cell r="E281" t="str">
            <v>SCC110015060R</v>
          </cell>
          <cell r="F281" t="str">
            <v>MPPT-100/15</v>
          </cell>
          <cell r="G281">
            <v>132.65</v>
          </cell>
          <cell r="H281">
            <v>120.60000000000001</v>
          </cell>
          <cell r="I281">
            <v>0</v>
          </cell>
          <cell r="J281">
            <v>0.6</v>
          </cell>
          <cell r="K281">
            <v>11.3</v>
          </cell>
          <cell r="L281">
            <v>10</v>
          </cell>
          <cell r="M281">
            <v>5</v>
          </cell>
          <cell r="N281" t="str">
            <v>1-Victron</v>
          </cell>
        </row>
        <row r="282">
          <cell r="A282" t="str">
            <v>B0278</v>
          </cell>
          <cell r="B282" t="str">
            <v>Solar Controllers</v>
          </cell>
          <cell r="C282" t="str">
            <v>Victron</v>
          </cell>
          <cell r="D282" t="str">
            <v>SmartSolar MPPT 100/20</v>
          </cell>
          <cell r="E282" t="str">
            <v>SCC110020060R</v>
          </cell>
          <cell r="F282" t="str">
            <v xml:space="preserve"> MPPT-100/20</v>
          </cell>
          <cell r="G282">
            <v>0</v>
          </cell>
          <cell r="H282">
            <v>0</v>
          </cell>
          <cell r="I282">
            <v>0</v>
          </cell>
          <cell r="J282">
            <v>0.7</v>
          </cell>
          <cell r="K282">
            <v>11.3</v>
          </cell>
          <cell r="L282">
            <v>10</v>
          </cell>
          <cell r="M282">
            <v>5</v>
          </cell>
          <cell r="N282" t="str">
            <v>1-Victron</v>
          </cell>
        </row>
        <row r="283">
          <cell r="A283" t="str">
            <v>B0279</v>
          </cell>
          <cell r="B283" t="str">
            <v>Solar Controllers</v>
          </cell>
          <cell r="C283" t="str">
            <v>Victron</v>
          </cell>
          <cell r="D283" t="str">
            <v>SmartSolar MPPT 100/30</v>
          </cell>
          <cell r="E283" t="str">
            <v>SCC110030210</v>
          </cell>
          <cell r="F283" t="str">
            <v>MPPT-100/30</v>
          </cell>
          <cell r="G283">
            <v>218.8</v>
          </cell>
          <cell r="H283">
            <v>198.9</v>
          </cell>
          <cell r="I283">
            <v>0</v>
          </cell>
          <cell r="J283">
            <v>1.3</v>
          </cell>
          <cell r="K283">
            <v>18.600000000000001</v>
          </cell>
          <cell r="L283">
            <v>13</v>
          </cell>
          <cell r="M283">
            <v>7</v>
          </cell>
          <cell r="N283" t="str">
            <v>1-Victron</v>
          </cell>
        </row>
        <row r="284">
          <cell r="A284" t="str">
            <v>B0280</v>
          </cell>
          <cell r="B284" t="str">
            <v>Solar Controllers</v>
          </cell>
          <cell r="C284" t="str">
            <v>Victron</v>
          </cell>
          <cell r="D284" t="str">
            <v>SmartSolar MPPT 100/50</v>
          </cell>
          <cell r="E284" t="str">
            <v>SCC110050210</v>
          </cell>
          <cell r="F284" t="str">
            <v>MPPT 100/50</v>
          </cell>
          <cell r="G284">
            <v>313.85000000000002</v>
          </cell>
          <cell r="H284">
            <v>285.3</v>
          </cell>
          <cell r="I284">
            <v>0</v>
          </cell>
          <cell r="J284">
            <v>1.3</v>
          </cell>
          <cell r="K284">
            <v>18.600000000000001</v>
          </cell>
          <cell r="L284">
            <v>13</v>
          </cell>
          <cell r="M284">
            <v>7</v>
          </cell>
          <cell r="N284" t="str">
            <v>1-Victron</v>
          </cell>
        </row>
        <row r="285">
          <cell r="A285" t="str">
            <v>B0281</v>
          </cell>
          <cell r="B285" t="str">
            <v>Solar Controllers</v>
          </cell>
          <cell r="C285" t="str">
            <v>Victron</v>
          </cell>
          <cell r="D285" t="str">
            <v>SmartSolar MPPT 150/45-Tr</v>
          </cell>
          <cell r="E285" t="str">
            <v>SCC115045210</v>
          </cell>
          <cell r="F285" t="str">
            <v>MPPT 150/45-Tr</v>
          </cell>
          <cell r="G285">
            <v>0</v>
          </cell>
          <cell r="H285">
            <v>0</v>
          </cell>
          <cell r="I285">
            <v>0</v>
          </cell>
          <cell r="J285">
            <v>3</v>
          </cell>
          <cell r="K285">
            <v>25</v>
          </cell>
          <cell r="L285">
            <v>20</v>
          </cell>
          <cell r="M285">
            <v>9.5</v>
          </cell>
          <cell r="N285" t="str">
            <v>1-Victron</v>
          </cell>
        </row>
        <row r="286">
          <cell r="A286" t="str">
            <v>B0282</v>
          </cell>
          <cell r="B286" t="str">
            <v>Solar Controllers</v>
          </cell>
          <cell r="C286" t="str">
            <v>Victron</v>
          </cell>
          <cell r="D286" t="str">
            <v>SmartSolar MPPT 150/45-MC4</v>
          </cell>
          <cell r="E286" t="str">
            <v>SCC115045310</v>
          </cell>
          <cell r="F286" t="str">
            <v>MPPT 150/45-MC4</v>
          </cell>
          <cell r="G286">
            <v>0</v>
          </cell>
          <cell r="H286">
            <v>0</v>
          </cell>
          <cell r="I286">
            <v>0</v>
          </cell>
          <cell r="J286">
            <v>3</v>
          </cell>
          <cell r="K286">
            <v>25</v>
          </cell>
          <cell r="L286">
            <v>20</v>
          </cell>
          <cell r="M286">
            <v>9.5</v>
          </cell>
          <cell r="N286" t="str">
            <v>1-Victron</v>
          </cell>
        </row>
        <row r="287">
          <cell r="A287" t="str">
            <v>B0283</v>
          </cell>
          <cell r="B287" t="str">
            <v>Solar Controllers</v>
          </cell>
          <cell r="C287" t="str">
            <v>Victron</v>
          </cell>
          <cell r="D287" t="str">
            <v>SmartSolar MPPT 150/60-MC4</v>
          </cell>
          <cell r="E287" t="str">
            <v>SCC115060310</v>
          </cell>
          <cell r="F287" t="str">
            <v>MPPT 150/60-MC4</v>
          </cell>
          <cell r="G287">
            <v>541.55000000000007</v>
          </cell>
          <cell r="H287">
            <v>492.3</v>
          </cell>
          <cell r="I287">
            <v>0</v>
          </cell>
          <cell r="J287">
            <v>3</v>
          </cell>
          <cell r="K287">
            <v>25</v>
          </cell>
          <cell r="L287">
            <v>20</v>
          </cell>
          <cell r="M287">
            <v>9.5</v>
          </cell>
          <cell r="N287" t="str">
            <v>1-Victron</v>
          </cell>
        </row>
        <row r="288">
          <cell r="A288" t="str">
            <v>B0284</v>
          </cell>
          <cell r="B288" t="str">
            <v>Solar Controllers</v>
          </cell>
          <cell r="C288" t="str">
            <v>Victron</v>
          </cell>
          <cell r="D288" t="str">
            <v>SmartSolar MPPT 150/70-Tr</v>
          </cell>
          <cell r="E288" t="str">
            <v>SCC115070210</v>
          </cell>
          <cell r="F288" t="str">
            <v>MPPT 150/70-Tr</v>
          </cell>
          <cell r="G288">
            <v>0</v>
          </cell>
          <cell r="H288">
            <v>0</v>
          </cell>
          <cell r="I288">
            <v>0</v>
          </cell>
          <cell r="J288">
            <v>3</v>
          </cell>
          <cell r="K288">
            <v>25</v>
          </cell>
          <cell r="L288">
            <v>20</v>
          </cell>
          <cell r="M288">
            <v>9.5</v>
          </cell>
          <cell r="N288" t="str">
            <v>1-Victron</v>
          </cell>
        </row>
        <row r="289">
          <cell r="A289" t="str">
            <v>B0285</v>
          </cell>
          <cell r="B289" t="str">
            <v>Solar Controllers</v>
          </cell>
          <cell r="C289" t="str">
            <v>Victron</v>
          </cell>
          <cell r="D289" t="str">
            <v>SmartSolar MPPT 150/70-MC4 VE.Can</v>
          </cell>
          <cell r="E289" t="str">
            <v xml:space="preserve">SCC115070511 </v>
          </cell>
          <cell r="F289" t="str">
            <v>MPPT 150/70-MC4</v>
          </cell>
          <cell r="G289">
            <v>0</v>
          </cell>
          <cell r="H289">
            <v>0</v>
          </cell>
          <cell r="I289">
            <v>0</v>
          </cell>
          <cell r="J289">
            <v>3</v>
          </cell>
          <cell r="K289">
            <v>25</v>
          </cell>
          <cell r="L289">
            <v>20</v>
          </cell>
          <cell r="M289">
            <v>9.5</v>
          </cell>
          <cell r="N289" t="str">
            <v>1-Victron</v>
          </cell>
        </row>
        <row r="290">
          <cell r="A290" t="str">
            <v>B0286</v>
          </cell>
          <cell r="B290" t="str">
            <v>Solar Controllers</v>
          </cell>
          <cell r="C290" t="str">
            <v>Victron</v>
          </cell>
          <cell r="D290" t="str">
            <v>SmartSolar MPPT 150/85-MC-4</v>
          </cell>
          <cell r="E290" t="str">
            <v>SCC115085311</v>
          </cell>
          <cell r="F290" t="str">
            <v>MPPT 150/85-MC-4</v>
          </cell>
          <cell r="G290">
            <v>0</v>
          </cell>
          <cell r="H290">
            <v>0</v>
          </cell>
          <cell r="I290">
            <v>0</v>
          </cell>
          <cell r="J290">
            <v>4.5</v>
          </cell>
          <cell r="K290">
            <v>29.5</v>
          </cell>
          <cell r="L290">
            <v>21.6</v>
          </cell>
          <cell r="M290">
            <v>10.3</v>
          </cell>
          <cell r="N290" t="str">
            <v>1-Victron</v>
          </cell>
        </row>
        <row r="291">
          <cell r="A291" t="str">
            <v>B0287</v>
          </cell>
          <cell r="B291" t="str">
            <v>Solar Controllers</v>
          </cell>
          <cell r="C291" t="str">
            <v>Victron</v>
          </cell>
          <cell r="D291" t="str">
            <v>SmartSolar MPPT 150/100-MC-4</v>
          </cell>
          <cell r="E291" t="str">
            <v>SCC115110311</v>
          </cell>
          <cell r="F291" t="str">
            <v>MPPT 150/100-MC-4</v>
          </cell>
          <cell r="G291">
            <v>0</v>
          </cell>
          <cell r="H291">
            <v>0</v>
          </cell>
          <cell r="I291">
            <v>0</v>
          </cell>
          <cell r="J291">
            <v>4.5</v>
          </cell>
          <cell r="K291">
            <v>29.5</v>
          </cell>
          <cell r="L291">
            <v>21.6</v>
          </cell>
          <cell r="M291">
            <v>10.3</v>
          </cell>
          <cell r="N291" t="str">
            <v>1-Victron</v>
          </cell>
        </row>
        <row r="292">
          <cell r="A292" t="str">
            <v>B0288</v>
          </cell>
          <cell r="B292" t="str">
            <v>Solar Controllers</v>
          </cell>
          <cell r="C292" t="str">
            <v>Victron</v>
          </cell>
          <cell r="D292" t="str">
            <v>SmartSolar MPPT 250/60-Tr</v>
          </cell>
          <cell r="E292" t="str">
            <v>SCC125060221</v>
          </cell>
          <cell r="F292" t="str">
            <v>MPPT 250/60-Tr</v>
          </cell>
          <cell r="G292">
            <v>703.90000000000009</v>
          </cell>
          <cell r="H292">
            <v>639.90000000000009</v>
          </cell>
          <cell r="I292">
            <v>0</v>
          </cell>
          <cell r="J292">
            <v>3</v>
          </cell>
          <cell r="K292">
            <v>25</v>
          </cell>
          <cell r="L292">
            <v>20</v>
          </cell>
          <cell r="M292">
            <v>9.5</v>
          </cell>
          <cell r="N292" t="str">
            <v>1-Victron</v>
          </cell>
        </row>
        <row r="293">
          <cell r="A293" t="str">
            <v>B0289</v>
          </cell>
          <cell r="B293" t="str">
            <v>Solar Controllers</v>
          </cell>
          <cell r="C293" t="str">
            <v>Victron</v>
          </cell>
          <cell r="D293" t="str">
            <v>SmartSolar MPPT 250/60-MC4</v>
          </cell>
          <cell r="E293" t="str">
            <v>SCC125060320</v>
          </cell>
          <cell r="F293" t="str">
            <v>MPPT 250/60-MC4</v>
          </cell>
          <cell r="G293">
            <v>0</v>
          </cell>
          <cell r="H293">
            <v>0</v>
          </cell>
          <cell r="I293">
            <v>0</v>
          </cell>
          <cell r="J293">
            <v>3</v>
          </cell>
          <cell r="K293">
            <v>25</v>
          </cell>
          <cell r="L293">
            <v>20</v>
          </cell>
          <cell r="M293">
            <v>9.5</v>
          </cell>
          <cell r="N293" t="str">
            <v>1-Victron</v>
          </cell>
        </row>
        <row r="294">
          <cell r="A294" t="str">
            <v>B0290</v>
          </cell>
          <cell r="B294" t="str">
            <v>Solar Controllers</v>
          </cell>
          <cell r="C294" t="str">
            <v>Victron</v>
          </cell>
          <cell r="D294" t="str">
            <v>SmartSolar MPPT 250/70-Tr</v>
          </cell>
          <cell r="E294" t="str">
            <v>SCC125070221</v>
          </cell>
          <cell r="F294" t="str">
            <v>MPPT-250/70-Tr</v>
          </cell>
          <cell r="G294">
            <v>811.80000000000007</v>
          </cell>
          <cell r="H294">
            <v>738</v>
          </cell>
          <cell r="I294">
            <v>0</v>
          </cell>
          <cell r="J294">
            <v>3</v>
          </cell>
          <cell r="K294">
            <v>18.5</v>
          </cell>
          <cell r="L294">
            <v>25</v>
          </cell>
          <cell r="M294">
            <v>9.5</v>
          </cell>
          <cell r="N294" t="str">
            <v>1-Victron</v>
          </cell>
        </row>
        <row r="295">
          <cell r="A295" t="str">
            <v>B0291</v>
          </cell>
          <cell r="B295" t="str">
            <v>Solar Controllers</v>
          </cell>
          <cell r="C295" t="str">
            <v>Victron</v>
          </cell>
          <cell r="D295" t="str">
            <v>SmartSolar MPPT 250/70-MC4</v>
          </cell>
          <cell r="E295" t="str">
            <v>SCC125070310</v>
          </cell>
          <cell r="F295" t="str">
            <v>MPPT-250/70-MC4</v>
          </cell>
          <cell r="G295">
            <v>0</v>
          </cell>
          <cell r="H295">
            <v>0</v>
          </cell>
          <cell r="I295">
            <v>0</v>
          </cell>
          <cell r="J295">
            <v>3</v>
          </cell>
          <cell r="K295">
            <v>25</v>
          </cell>
          <cell r="L295">
            <v>20</v>
          </cell>
          <cell r="M295">
            <v>9.5</v>
          </cell>
          <cell r="N295" t="str">
            <v>1-Victron</v>
          </cell>
        </row>
        <row r="296">
          <cell r="A296" t="str">
            <v>B0292</v>
          </cell>
          <cell r="B296" t="str">
            <v>Solar Controllers</v>
          </cell>
          <cell r="C296" t="str">
            <v>Victron</v>
          </cell>
          <cell r="D296" t="str">
            <v>SmartSolar MPPT 250/85-Tr</v>
          </cell>
          <cell r="E296" t="str">
            <v>SCC125085210</v>
          </cell>
          <cell r="F296" t="str">
            <v>MPPT-250/85-Tr</v>
          </cell>
          <cell r="G296">
            <v>0</v>
          </cell>
          <cell r="H296">
            <v>0</v>
          </cell>
          <cell r="I296">
            <v>0</v>
          </cell>
          <cell r="J296">
            <v>4.5</v>
          </cell>
          <cell r="K296">
            <v>29.5</v>
          </cell>
          <cell r="L296">
            <v>21.5</v>
          </cell>
          <cell r="M296">
            <v>10.3</v>
          </cell>
          <cell r="N296" t="str">
            <v>1-Victron</v>
          </cell>
        </row>
        <row r="297">
          <cell r="A297" t="str">
            <v>B0293</v>
          </cell>
          <cell r="B297" t="str">
            <v>Solar Controllers</v>
          </cell>
          <cell r="C297" t="str">
            <v>Victron</v>
          </cell>
          <cell r="D297" t="str">
            <v>SmartSolar MPPT 250/85-MC4</v>
          </cell>
          <cell r="E297" t="str">
            <v>SCC125085310</v>
          </cell>
          <cell r="F297" t="str">
            <v>MPPT-250/85-MC4</v>
          </cell>
          <cell r="G297">
            <v>0</v>
          </cell>
          <cell r="H297">
            <v>0</v>
          </cell>
          <cell r="I297">
            <v>0</v>
          </cell>
          <cell r="J297">
            <v>4.5</v>
          </cell>
          <cell r="K297">
            <v>29.5</v>
          </cell>
          <cell r="L297">
            <v>21.6</v>
          </cell>
          <cell r="M297">
            <v>10.3</v>
          </cell>
          <cell r="N297" t="str">
            <v>1-Victron</v>
          </cell>
        </row>
        <row r="298">
          <cell r="A298" t="str">
            <v>B0296</v>
          </cell>
          <cell r="D298" t="str">
            <v>Solar Controller Victron BlueSolar MPPT 150/70 CAN</v>
          </cell>
          <cell r="G298">
            <v>0</v>
          </cell>
          <cell r="H298">
            <v>0</v>
          </cell>
          <cell r="I298">
            <v>0</v>
          </cell>
          <cell r="N298" t="str">
            <v>1-Victron</v>
          </cell>
        </row>
        <row r="299">
          <cell r="A299" t="str">
            <v>B0297</v>
          </cell>
          <cell r="D299" t="str">
            <v>Solar Controller Victron BlueSolar MPPT 150/85 CAN</v>
          </cell>
          <cell r="G299">
            <v>0</v>
          </cell>
          <cell r="H299">
            <v>0</v>
          </cell>
          <cell r="I299">
            <v>0</v>
          </cell>
          <cell r="N299" t="str">
            <v>1-Victron</v>
          </cell>
        </row>
        <row r="300">
          <cell r="A300" t="str">
            <v>B0298</v>
          </cell>
          <cell r="B300" t="str">
            <v>Cables</v>
          </cell>
          <cell r="C300" t="str">
            <v>Victron</v>
          </cell>
          <cell r="D300" t="str">
            <v>RJ45 UTP Cable 3m</v>
          </cell>
          <cell r="E300" t="str">
            <v>ASS030064980</v>
          </cell>
          <cell r="F300" t="str">
            <v>MPN (Part #)</v>
          </cell>
          <cell r="G300">
            <v>0</v>
          </cell>
          <cell r="H300">
            <v>0</v>
          </cell>
          <cell r="I300">
            <v>0</v>
          </cell>
          <cell r="J300">
            <v>0.15</v>
          </cell>
          <cell r="K300">
            <v>10</v>
          </cell>
          <cell r="L300">
            <v>10</v>
          </cell>
          <cell r="M300">
            <v>1</v>
          </cell>
          <cell r="N300" t="str">
            <v>1-Victron</v>
          </cell>
        </row>
        <row r="301">
          <cell r="A301" t="str">
            <v>B0299</v>
          </cell>
          <cell r="B301" t="str">
            <v>Inverter-Chargers</v>
          </cell>
          <cell r="C301" t="str">
            <v>Victron</v>
          </cell>
          <cell r="D301" t="str">
            <v>MultiPlus 12/3000/120-16  VE.Bus</v>
          </cell>
          <cell r="E301" t="str">
            <v>PMP122300001</v>
          </cell>
          <cell r="F301" t="str">
            <v>Multiplus-12-3000</v>
          </cell>
          <cell r="G301">
            <v>0</v>
          </cell>
          <cell r="H301">
            <v>0</v>
          </cell>
          <cell r="I301">
            <v>0</v>
          </cell>
          <cell r="J301">
            <v>18</v>
          </cell>
          <cell r="K301">
            <v>36.200000000000003</v>
          </cell>
          <cell r="L301">
            <v>25.8</v>
          </cell>
          <cell r="M301">
            <v>21.8</v>
          </cell>
          <cell r="N301" t="str">
            <v>1-Victron</v>
          </cell>
        </row>
        <row r="302">
          <cell r="A302" t="str">
            <v>B0300</v>
          </cell>
          <cell r="B302" t="str">
            <v>Solar Controllers</v>
          </cell>
          <cell r="C302" t="str">
            <v>Victron</v>
          </cell>
          <cell r="D302" t="str">
            <v>WireBox-L Tr (for Tr h=200mm)</v>
          </cell>
          <cell r="E302" t="str">
            <v>SCC950300210</v>
          </cell>
          <cell r="F302" t="str">
            <v>MPPT-Wirebox-L-Tr</v>
          </cell>
          <cell r="G302">
            <v>60.400000000000006</v>
          </cell>
          <cell r="H302">
            <v>54.900000000000006</v>
          </cell>
          <cell r="I302">
            <v>0</v>
          </cell>
          <cell r="J302">
            <v>0.5</v>
          </cell>
          <cell r="K302">
            <v>250</v>
          </cell>
          <cell r="L302">
            <v>65</v>
          </cell>
          <cell r="M302">
            <v>100</v>
          </cell>
          <cell r="N302" t="str">
            <v>1-Victron</v>
          </cell>
        </row>
        <row r="303">
          <cell r="A303" t="str">
            <v>B0301</v>
          </cell>
          <cell r="B303" t="str">
            <v>Solar Controllers</v>
          </cell>
          <cell r="C303" t="str">
            <v>Victron</v>
          </cell>
          <cell r="D303" t="str">
            <v>WireBox-L MC4 (for MC4 h=200mm)</v>
          </cell>
          <cell r="E303" t="str">
            <v>SCC950300300</v>
          </cell>
          <cell r="F303" t="str">
            <v>MPPT-Wirebox-L-MC4</v>
          </cell>
          <cell r="G303">
            <v>60.400000000000006</v>
          </cell>
          <cell r="H303">
            <v>54.900000000000006</v>
          </cell>
          <cell r="I303">
            <v>0</v>
          </cell>
          <cell r="J303">
            <v>0.5</v>
          </cell>
          <cell r="K303">
            <v>250</v>
          </cell>
          <cell r="L303">
            <v>65</v>
          </cell>
          <cell r="M303">
            <v>100</v>
          </cell>
          <cell r="N303" t="str">
            <v>1-Victron</v>
          </cell>
        </row>
        <row r="304">
          <cell r="A304" t="str">
            <v>B0302</v>
          </cell>
          <cell r="B304" t="str">
            <v>Solar Controllers</v>
          </cell>
          <cell r="C304" t="str">
            <v>Victron</v>
          </cell>
          <cell r="D304" t="str">
            <v>WireBox-XL Tr (for Tr h=216mm)</v>
          </cell>
          <cell r="E304" t="str">
            <v>SCC950400200</v>
          </cell>
          <cell r="F304" t="str">
            <v>MPPT-Wirebox-XL-Tr</v>
          </cell>
          <cell r="G304">
            <v>0</v>
          </cell>
          <cell r="H304">
            <v>0</v>
          </cell>
          <cell r="I304">
            <v>0</v>
          </cell>
          <cell r="J304">
            <v>0.5</v>
          </cell>
          <cell r="K304">
            <v>250</v>
          </cell>
          <cell r="L304">
            <v>85</v>
          </cell>
          <cell r="M304">
            <v>100</v>
          </cell>
          <cell r="N304" t="str">
            <v>1-Victron</v>
          </cell>
        </row>
        <row r="305">
          <cell r="A305" t="str">
            <v>B0303</v>
          </cell>
          <cell r="B305" t="str">
            <v>Solar Controllers</v>
          </cell>
          <cell r="C305" t="str">
            <v>Victron</v>
          </cell>
          <cell r="D305" t="str">
            <v>WireBox-XL MC4 (for MC4 h=216mm)</v>
          </cell>
          <cell r="E305" t="str">
            <v>SCC950400300</v>
          </cell>
          <cell r="F305" t="str">
            <v>MPPT-Wirebox-XL-MC4</v>
          </cell>
          <cell r="G305">
            <v>60.400000000000006</v>
          </cell>
          <cell r="H305">
            <v>54.900000000000006</v>
          </cell>
          <cell r="I305">
            <v>0</v>
          </cell>
          <cell r="J305">
            <v>0.5</v>
          </cell>
          <cell r="K305">
            <v>250</v>
          </cell>
          <cell r="L305">
            <v>85</v>
          </cell>
          <cell r="M305">
            <v>100</v>
          </cell>
          <cell r="N305" t="str">
            <v>1-Victron</v>
          </cell>
        </row>
        <row r="306">
          <cell r="A306" t="str">
            <v>B0304</v>
          </cell>
          <cell r="B306" t="str">
            <v>Chargers</v>
          </cell>
          <cell r="C306" t="str">
            <v>Victron</v>
          </cell>
          <cell r="D306" t="str">
            <v>Orion-Tr Smart 12/12-18A (220W) DC-DC charger</v>
          </cell>
          <cell r="E306" t="str">
            <v>ORI121222120</v>
          </cell>
          <cell r="F306" t="str">
            <v>MPN (Part #)</v>
          </cell>
          <cell r="G306">
            <v>0</v>
          </cell>
          <cell r="H306">
            <v>0</v>
          </cell>
          <cell r="I306">
            <v>0</v>
          </cell>
          <cell r="J306">
            <v>1.3</v>
          </cell>
          <cell r="K306">
            <v>18.600000000000001</v>
          </cell>
          <cell r="L306">
            <v>13</v>
          </cell>
          <cell r="M306">
            <v>7</v>
          </cell>
          <cell r="N306" t="str">
            <v>1-Victron</v>
          </cell>
        </row>
        <row r="307">
          <cell r="A307" t="str">
            <v>B0305</v>
          </cell>
          <cell r="B307" t="str">
            <v>Chargers</v>
          </cell>
          <cell r="C307" t="str">
            <v>Victron</v>
          </cell>
          <cell r="D307" t="str">
            <v>Orion-Tr Smart 12/12-30A (360W) DC-DC charger</v>
          </cell>
          <cell r="E307" t="str">
            <v>ORI121236120</v>
          </cell>
          <cell r="F307" t="str">
            <v>MPN (Part #)</v>
          </cell>
          <cell r="G307">
            <v>0</v>
          </cell>
          <cell r="H307">
            <v>0</v>
          </cell>
          <cell r="I307">
            <v>0</v>
          </cell>
          <cell r="J307">
            <v>1.8</v>
          </cell>
          <cell r="K307">
            <v>18.600000000000001</v>
          </cell>
          <cell r="L307">
            <v>13</v>
          </cell>
          <cell r="M307">
            <v>8</v>
          </cell>
          <cell r="N307" t="str">
            <v>1-Victron</v>
          </cell>
        </row>
        <row r="308">
          <cell r="A308" t="str">
            <v>B0306</v>
          </cell>
          <cell r="B308" t="str">
            <v>Chargers</v>
          </cell>
          <cell r="C308" t="str">
            <v>Victron</v>
          </cell>
          <cell r="D308" t="str">
            <v>Orion-Tr Smart 12/24-10A (240W) DC-DC charger</v>
          </cell>
          <cell r="E308" t="str">
            <v>ORI122424120</v>
          </cell>
          <cell r="F308" t="str">
            <v>MPN (Part #)</v>
          </cell>
          <cell r="G308">
            <v>0</v>
          </cell>
          <cell r="H308">
            <v>0</v>
          </cell>
          <cell r="I308">
            <v>0</v>
          </cell>
          <cell r="J308">
            <v>1.3</v>
          </cell>
          <cell r="K308">
            <v>18.600000000000001</v>
          </cell>
          <cell r="L308">
            <v>13</v>
          </cell>
          <cell r="M308">
            <v>7</v>
          </cell>
          <cell r="N308" t="str">
            <v>1-Victron</v>
          </cell>
        </row>
        <row r="309">
          <cell r="A309" t="str">
            <v>B0307</v>
          </cell>
          <cell r="B309" t="str">
            <v>Chargers</v>
          </cell>
          <cell r="C309" t="str">
            <v>Victron</v>
          </cell>
          <cell r="D309" t="str">
            <v>Orion-Tr Smart 12/24-15A (360W) DC-DC charger</v>
          </cell>
          <cell r="E309" t="str">
            <v>ORI122436120</v>
          </cell>
          <cell r="F309" t="str">
            <v>MPN (Part #)</v>
          </cell>
          <cell r="G309">
            <v>0</v>
          </cell>
          <cell r="H309">
            <v>0</v>
          </cell>
          <cell r="I309">
            <v>0</v>
          </cell>
          <cell r="J309">
            <v>1.8</v>
          </cell>
          <cell r="K309">
            <v>18.600000000000001</v>
          </cell>
          <cell r="L309">
            <v>13</v>
          </cell>
          <cell r="M309">
            <v>8</v>
          </cell>
          <cell r="N309" t="str">
            <v>1-Victron</v>
          </cell>
        </row>
        <row r="310">
          <cell r="A310" t="str">
            <v>B0308</v>
          </cell>
          <cell r="B310" t="str">
            <v>Chargers</v>
          </cell>
          <cell r="C310" t="str">
            <v>Victron</v>
          </cell>
          <cell r="D310" t="str">
            <v>Orion-Tr Smart 24/12-20A (240W) DC-DC charger</v>
          </cell>
          <cell r="E310" t="str">
            <v>ORI241224120</v>
          </cell>
          <cell r="F310" t="str">
            <v>MPN (Part #)</v>
          </cell>
          <cell r="G310">
            <v>0</v>
          </cell>
          <cell r="H310">
            <v>0</v>
          </cell>
          <cell r="I310">
            <v>0</v>
          </cell>
          <cell r="J310">
            <v>1.3</v>
          </cell>
          <cell r="K310">
            <v>18.600000000000001</v>
          </cell>
          <cell r="L310">
            <v>13</v>
          </cell>
          <cell r="M310">
            <v>7</v>
          </cell>
          <cell r="N310" t="str">
            <v>1-Victron</v>
          </cell>
        </row>
        <row r="311">
          <cell r="A311" t="str">
            <v>B0309</v>
          </cell>
          <cell r="B311" t="str">
            <v>Chargers</v>
          </cell>
          <cell r="C311" t="str">
            <v>Victron</v>
          </cell>
          <cell r="D311" t="str">
            <v>Orion-Tr Smart 24/12-30A (360W) DC-DC charger (Isolated)</v>
          </cell>
          <cell r="E311" t="str">
            <v>ORI241236120</v>
          </cell>
          <cell r="F311" t="str">
            <v>MPN (Part #)</v>
          </cell>
          <cell r="G311">
            <v>0</v>
          </cell>
          <cell r="H311">
            <v>0</v>
          </cell>
          <cell r="I311">
            <v>0</v>
          </cell>
          <cell r="J311">
            <v>1.8</v>
          </cell>
          <cell r="K311">
            <v>18.600000000000001</v>
          </cell>
          <cell r="L311">
            <v>13</v>
          </cell>
          <cell r="M311">
            <v>8</v>
          </cell>
          <cell r="N311" t="str">
            <v>1-Victron</v>
          </cell>
        </row>
        <row r="312">
          <cell r="A312" t="str">
            <v>B0310</v>
          </cell>
          <cell r="B312" t="str">
            <v>Inverters</v>
          </cell>
          <cell r="C312" t="str">
            <v>Victron</v>
          </cell>
          <cell r="D312" t="str">
            <v>Phoenix 12/800 VE.Direct AU/NZ</v>
          </cell>
          <cell r="E312" t="str">
            <v>PIN121800300</v>
          </cell>
          <cell r="F312" t="str">
            <v>PHNX-12-800-VE-AU-NZ</v>
          </cell>
          <cell r="G312">
            <v>0</v>
          </cell>
          <cell r="H312">
            <v>0</v>
          </cell>
          <cell r="I312">
            <v>0</v>
          </cell>
          <cell r="J312">
            <v>5.5</v>
          </cell>
          <cell r="K312">
            <v>30.5</v>
          </cell>
          <cell r="L312">
            <v>21.6</v>
          </cell>
          <cell r="M312">
            <v>10.5</v>
          </cell>
          <cell r="N312" t="str">
            <v>1-Victron</v>
          </cell>
        </row>
        <row r="313">
          <cell r="A313" t="str">
            <v>B0311</v>
          </cell>
          <cell r="B313" t="str">
            <v>Chargers</v>
          </cell>
          <cell r="C313" t="str">
            <v>Victron</v>
          </cell>
          <cell r="D313" t="str">
            <v>Orion-Tr Smart 24/24-12A (280W) DC-DC charger (Isolated)</v>
          </cell>
          <cell r="E313" t="str">
            <v>ORI242428120</v>
          </cell>
          <cell r="F313" t="str">
            <v>MPN (Part #)</v>
          </cell>
          <cell r="G313">
            <v>0</v>
          </cell>
          <cell r="H313">
            <v>0</v>
          </cell>
          <cell r="I313">
            <v>0</v>
          </cell>
          <cell r="J313">
            <v>1.3</v>
          </cell>
          <cell r="K313">
            <v>18.600000000000001</v>
          </cell>
          <cell r="L313">
            <v>13</v>
          </cell>
          <cell r="M313">
            <v>7</v>
          </cell>
          <cell r="N313" t="str">
            <v>1-Victron</v>
          </cell>
        </row>
        <row r="314">
          <cell r="A314" t="str">
            <v>B0312</v>
          </cell>
          <cell r="B314" t="str">
            <v>Inverters</v>
          </cell>
          <cell r="C314" t="str">
            <v>Victron</v>
          </cell>
          <cell r="D314" t="str">
            <v>Phoenix 24/250 VE.Direct AU/NZ</v>
          </cell>
          <cell r="E314" t="str">
            <v>PIN242510300</v>
          </cell>
          <cell r="F314" t="str">
            <v>Phoenix 24/250</v>
          </cell>
          <cell r="G314">
            <v>0</v>
          </cell>
          <cell r="H314">
            <v>0</v>
          </cell>
          <cell r="I314">
            <v>0</v>
          </cell>
          <cell r="J314">
            <v>2.4</v>
          </cell>
          <cell r="K314">
            <v>20</v>
          </cell>
          <cell r="L314">
            <v>13.2</v>
          </cell>
          <cell r="M314">
            <v>7.2</v>
          </cell>
          <cell r="N314" t="str">
            <v>1-Victron</v>
          </cell>
        </row>
        <row r="315">
          <cell r="A315" t="str">
            <v>B0314</v>
          </cell>
          <cell r="B315" t="str">
            <v>Inverters</v>
          </cell>
          <cell r="C315" t="str">
            <v>Victron</v>
          </cell>
          <cell r="D315" t="str">
            <v>Phoenix 24/500 VE.Direct AU/NZ</v>
          </cell>
          <cell r="E315" t="str">
            <v>PIN245010300</v>
          </cell>
          <cell r="F315" t="str">
            <v>Phoenix 24/500</v>
          </cell>
          <cell r="G315">
            <v>0</v>
          </cell>
          <cell r="H315">
            <v>0</v>
          </cell>
          <cell r="I315">
            <v>0</v>
          </cell>
          <cell r="J315">
            <v>3.9</v>
          </cell>
          <cell r="K315">
            <v>27.5</v>
          </cell>
          <cell r="L315">
            <v>17.2</v>
          </cell>
          <cell r="M315">
            <v>8.6</v>
          </cell>
          <cell r="N315" t="str">
            <v>1-Victron</v>
          </cell>
        </row>
        <row r="316">
          <cell r="A316" t="str">
            <v>B0315</v>
          </cell>
          <cell r="C316" t="str">
            <v>Victron</v>
          </cell>
          <cell r="D316" t="str">
            <v>Cyrix-Li-load 12/24V-120A</v>
          </cell>
          <cell r="E316" t="str">
            <v>CYR010120450</v>
          </cell>
          <cell r="F316" t="str">
            <v>MPN (Part #)</v>
          </cell>
          <cell r="G316">
            <v>0</v>
          </cell>
          <cell r="H316">
            <v>0</v>
          </cell>
          <cell r="I316">
            <v>0</v>
          </cell>
          <cell r="J316">
            <v>0.27</v>
          </cell>
          <cell r="K316">
            <v>8</v>
          </cell>
          <cell r="L316">
            <v>5</v>
          </cell>
          <cell r="M316">
            <v>5</v>
          </cell>
          <cell r="N316" t="str">
            <v>1-Victron</v>
          </cell>
        </row>
        <row r="317">
          <cell r="A317" t="str">
            <v>B0315</v>
          </cell>
          <cell r="B317" t="str">
            <v>Battery Accessories</v>
          </cell>
          <cell r="C317" t="str">
            <v>Victron</v>
          </cell>
          <cell r="D317" t="str">
            <v>Cyrix-Li-load 12/24V-120A</v>
          </cell>
          <cell r="E317" t="str">
            <v>CYR010120450</v>
          </cell>
          <cell r="F317" t="str">
            <v>MPN (Part #)</v>
          </cell>
          <cell r="G317">
            <v>0</v>
          </cell>
          <cell r="H317">
            <v>0</v>
          </cell>
          <cell r="I317">
            <v>0</v>
          </cell>
          <cell r="J317">
            <v>0.27</v>
          </cell>
          <cell r="K317">
            <v>8</v>
          </cell>
          <cell r="L317">
            <v>5</v>
          </cell>
          <cell r="M317">
            <v>5</v>
          </cell>
          <cell r="N317" t="str">
            <v>1-Victron</v>
          </cell>
        </row>
        <row r="318">
          <cell r="A318" t="str">
            <v>B0316</v>
          </cell>
          <cell r="B318" t="str">
            <v>Inverters</v>
          </cell>
          <cell r="C318" t="str">
            <v>Victron</v>
          </cell>
          <cell r="D318" t="str">
            <v>Phoenix 24/800 VE.Direct AU/NZ</v>
          </cell>
          <cell r="E318" t="str">
            <v>PIN241800300</v>
          </cell>
          <cell r="F318" t="str">
            <v>Phoenix 24/800</v>
          </cell>
          <cell r="G318">
            <v>0</v>
          </cell>
          <cell r="H318">
            <v>0</v>
          </cell>
          <cell r="I318">
            <v>0</v>
          </cell>
          <cell r="J318">
            <v>5.5</v>
          </cell>
          <cell r="K318">
            <v>30.5</v>
          </cell>
          <cell r="L318">
            <v>21.6</v>
          </cell>
          <cell r="M318">
            <v>10.5</v>
          </cell>
          <cell r="N318" t="str">
            <v>1-Victron</v>
          </cell>
        </row>
        <row r="319">
          <cell r="A319" t="str">
            <v>B0317</v>
          </cell>
          <cell r="C319" t="str">
            <v>Victron</v>
          </cell>
          <cell r="D319" t="str">
            <v>Cyrix-Li-load 24/48V-120A</v>
          </cell>
          <cell r="E319" t="str">
            <v>CYR020120450</v>
          </cell>
          <cell r="F319" t="str">
            <v>MPN (Part #)</v>
          </cell>
          <cell r="G319">
            <v>0</v>
          </cell>
          <cell r="H319">
            <v>0</v>
          </cell>
          <cell r="I319">
            <v>0</v>
          </cell>
          <cell r="J319">
            <v>0.27</v>
          </cell>
          <cell r="K319">
            <v>8</v>
          </cell>
          <cell r="L319">
            <v>5</v>
          </cell>
          <cell r="M319">
            <v>5</v>
          </cell>
          <cell r="N319" t="str">
            <v>1-Victron</v>
          </cell>
        </row>
        <row r="320">
          <cell r="A320" t="str">
            <v>B0317</v>
          </cell>
          <cell r="B320" t="str">
            <v>Battery Accessories</v>
          </cell>
          <cell r="C320" t="str">
            <v>Victron</v>
          </cell>
          <cell r="D320" t="str">
            <v>Cyrix-Li-load 24/48V-120A</v>
          </cell>
          <cell r="E320" t="str">
            <v>CYR020120450</v>
          </cell>
          <cell r="F320" t="str">
            <v>MPN (Part #)</v>
          </cell>
          <cell r="G320">
            <v>0</v>
          </cell>
          <cell r="H320">
            <v>0</v>
          </cell>
          <cell r="I320">
            <v>0</v>
          </cell>
          <cell r="J320">
            <v>0.27</v>
          </cell>
          <cell r="K320">
            <v>8</v>
          </cell>
          <cell r="L320">
            <v>5</v>
          </cell>
          <cell r="M320">
            <v>5</v>
          </cell>
          <cell r="N320" t="str">
            <v>1-Victron</v>
          </cell>
        </row>
        <row r="321">
          <cell r="A321" t="str">
            <v>B0318</v>
          </cell>
          <cell r="C321" t="str">
            <v>Victron</v>
          </cell>
          <cell r="D321" t="str">
            <v>Cyrix-Li-Charge 12/24V-120A</v>
          </cell>
          <cell r="E321" t="str">
            <v>CYR010120430</v>
          </cell>
          <cell r="F321" t="str">
            <v>MPN (Part #)</v>
          </cell>
          <cell r="G321">
            <v>0</v>
          </cell>
          <cell r="H321">
            <v>0</v>
          </cell>
          <cell r="I321">
            <v>0</v>
          </cell>
          <cell r="J321">
            <v>0.27</v>
          </cell>
          <cell r="K321">
            <v>8</v>
          </cell>
          <cell r="L321">
            <v>5</v>
          </cell>
          <cell r="M321">
            <v>5</v>
          </cell>
          <cell r="N321" t="str">
            <v>1-Victron</v>
          </cell>
        </row>
        <row r="322">
          <cell r="A322" t="str">
            <v>B0318</v>
          </cell>
          <cell r="B322" t="str">
            <v>Battery Accessories</v>
          </cell>
          <cell r="C322" t="str">
            <v>Victron</v>
          </cell>
          <cell r="D322" t="str">
            <v>Cyrix-Li-Charge 12/24V-120A</v>
          </cell>
          <cell r="E322" t="str">
            <v>CYR010120430</v>
          </cell>
          <cell r="F322" t="str">
            <v>MPN (Part #)</v>
          </cell>
          <cell r="G322">
            <v>0</v>
          </cell>
          <cell r="H322">
            <v>0</v>
          </cell>
          <cell r="I322">
            <v>0</v>
          </cell>
          <cell r="J322">
            <v>0.27</v>
          </cell>
          <cell r="K322">
            <v>8</v>
          </cell>
          <cell r="L322">
            <v>5</v>
          </cell>
          <cell r="M322">
            <v>5</v>
          </cell>
          <cell r="N322" t="str">
            <v>1-Victron</v>
          </cell>
        </row>
        <row r="323">
          <cell r="A323" t="str">
            <v>B0319</v>
          </cell>
          <cell r="C323" t="str">
            <v>Victron</v>
          </cell>
          <cell r="D323" t="str">
            <v>Cyrix-Li-Charge 24/48V-120A</v>
          </cell>
          <cell r="E323" t="str">
            <v>CYR020120430</v>
          </cell>
          <cell r="F323" t="str">
            <v>MPN (Part #)</v>
          </cell>
          <cell r="G323">
            <v>0</v>
          </cell>
          <cell r="H323">
            <v>0</v>
          </cell>
          <cell r="I323">
            <v>0</v>
          </cell>
          <cell r="J323">
            <v>0.27</v>
          </cell>
          <cell r="K323">
            <v>8</v>
          </cell>
          <cell r="L323">
            <v>5</v>
          </cell>
          <cell r="M323">
            <v>5</v>
          </cell>
          <cell r="N323" t="str">
            <v>1-Victron</v>
          </cell>
        </row>
        <row r="324">
          <cell r="A324" t="str">
            <v>B0319</v>
          </cell>
          <cell r="B324" t="str">
            <v>Battery Accessories</v>
          </cell>
          <cell r="C324" t="str">
            <v>Victron</v>
          </cell>
          <cell r="D324" t="str">
            <v>Cyrix-Li-Charge 24/48V-120A</v>
          </cell>
          <cell r="E324" t="str">
            <v>CYR020120430</v>
          </cell>
          <cell r="F324" t="str">
            <v>MPN (Part #)</v>
          </cell>
          <cell r="G324">
            <v>0</v>
          </cell>
          <cell r="H324">
            <v>0</v>
          </cell>
          <cell r="I324">
            <v>0</v>
          </cell>
          <cell r="J324">
            <v>0.27</v>
          </cell>
          <cell r="K324">
            <v>8</v>
          </cell>
          <cell r="L324">
            <v>5</v>
          </cell>
          <cell r="M324">
            <v>5</v>
          </cell>
          <cell r="N324" t="str">
            <v>1-Victron</v>
          </cell>
        </row>
        <row r="325">
          <cell r="A325" t="str">
            <v>B0320</v>
          </cell>
          <cell r="C325" t="str">
            <v>Victron</v>
          </cell>
          <cell r="D325" t="str">
            <v>Cyrix-Li-ct 12/24V-120A combiner</v>
          </cell>
          <cell r="E325" t="str">
            <v>CYR010120412</v>
          </cell>
          <cell r="F325" t="str">
            <v>MPN (Part #)</v>
          </cell>
          <cell r="G325">
            <v>0</v>
          </cell>
          <cell r="H325">
            <v>0</v>
          </cell>
          <cell r="I325">
            <v>0</v>
          </cell>
          <cell r="J325">
            <v>0.27</v>
          </cell>
          <cell r="K325">
            <v>8</v>
          </cell>
          <cell r="L325">
            <v>5</v>
          </cell>
          <cell r="M325">
            <v>5</v>
          </cell>
          <cell r="N325" t="str">
            <v>1-Victron</v>
          </cell>
        </row>
        <row r="326">
          <cell r="A326" t="str">
            <v>B0320</v>
          </cell>
          <cell r="B326" t="str">
            <v>Battery Accessories</v>
          </cell>
          <cell r="C326" t="str">
            <v>Victron</v>
          </cell>
          <cell r="D326" t="str">
            <v>Cyrix-Li-ct 12/24V-120A combiner</v>
          </cell>
          <cell r="E326" t="str">
            <v>CYR010120412</v>
          </cell>
          <cell r="F326" t="str">
            <v>MPN (Part #)</v>
          </cell>
          <cell r="G326">
            <v>0</v>
          </cell>
          <cell r="H326">
            <v>0</v>
          </cell>
          <cell r="I326">
            <v>0</v>
          </cell>
          <cell r="J326">
            <v>0.27</v>
          </cell>
          <cell r="K326">
            <v>8</v>
          </cell>
          <cell r="L326">
            <v>5</v>
          </cell>
          <cell r="M326">
            <v>5</v>
          </cell>
          <cell r="N326" t="str">
            <v>1-Victron</v>
          </cell>
        </row>
        <row r="327">
          <cell r="A327" t="str">
            <v>B0321</v>
          </cell>
          <cell r="B327" t="str">
            <v>Inverters</v>
          </cell>
          <cell r="C327" t="str">
            <v>Latronics</v>
          </cell>
          <cell r="D327" t="str">
            <v>12V 500W Inverter</v>
          </cell>
          <cell r="E327" t="str">
            <v>LS512</v>
          </cell>
          <cell r="F327" t="str">
            <v>LS512</v>
          </cell>
          <cell r="G327">
            <v>0</v>
          </cell>
          <cell r="H327">
            <v>0</v>
          </cell>
          <cell r="I327">
            <v>0</v>
          </cell>
          <cell r="J327">
            <v>5.5</v>
          </cell>
          <cell r="K327">
            <v>26</v>
          </cell>
          <cell r="L327">
            <v>16</v>
          </cell>
          <cell r="M327">
            <v>10</v>
          </cell>
          <cell r="N327" t="str">
            <v>5-Latronics</v>
          </cell>
        </row>
        <row r="328">
          <cell r="A328" t="str">
            <v>B0322</v>
          </cell>
          <cell r="B328" t="str">
            <v>Inverters</v>
          </cell>
          <cell r="C328" t="str">
            <v>Latronics</v>
          </cell>
          <cell r="D328" t="str">
            <v>12V 1000W Inverter</v>
          </cell>
          <cell r="E328" t="str">
            <v>LS1012</v>
          </cell>
          <cell r="F328" t="str">
            <v>LS1012</v>
          </cell>
          <cell r="G328">
            <v>0</v>
          </cell>
          <cell r="H328">
            <v>0</v>
          </cell>
          <cell r="I328">
            <v>0</v>
          </cell>
          <cell r="J328">
            <v>11</v>
          </cell>
          <cell r="K328">
            <v>33</v>
          </cell>
          <cell r="L328">
            <v>30</v>
          </cell>
          <cell r="M328">
            <v>15</v>
          </cell>
          <cell r="N328" t="str">
            <v>5-Latronics</v>
          </cell>
        </row>
        <row r="329">
          <cell r="A329" t="str">
            <v>B0323</v>
          </cell>
          <cell r="B329" t="str">
            <v>Inverters</v>
          </cell>
          <cell r="C329" t="str">
            <v>Latronics</v>
          </cell>
          <cell r="D329" t="str">
            <v>12V 1500W Inverter</v>
          </cell>
          <cell r="E329" t="str">
            <v>LS1512</v>
          </cell>
          <cell r="F329" t="str">
            <v>LS1512</v>
          </cell>
          <cell r="G329">
            <v>0</v>
          </cell>
          <cell r="H329">
            <v>0</v>
          </cell>
          <cell r="I329">
            <v>0</v>
          </cell>
          <cell r="J329">
            <v>14</v>
          </cell>
          <cell r="K329">
            <v>33</v>
          </cell>
          <cell r="L329">
            <v>30</v>
          </cell>
          <cell r="M329">
            <v>15</v>
          </cell>
          <cell r="N329" t="str">
            <v>5-Latronics</v>
          </cell>
        </row>
        <row r="330">
          <cell r="A330" t="str">
            <v>B0324</v>
          </cell>
          <cell r="B330" t="str">
            <v>Inverters</v>
          </cell>
          <cell r="C330" t="str">
            <v>Latronics</v>
          </cell>
          <cell r="D330" t="str">
            <v>12V 2000W Inverter</v>
          </cell>
          <cell r="E330" t="str">
            <v>LS2012</v>
          </cell>
          <cell r="F330" t="str">
            <v>LS2012</v>
          </cell>
          <cell r="G330">
            <v>0</v>
          </cell>
          <cell r="H330">
            <v>0</v>
          </cell>
          <cell r="I330">
            <v>0</v>
          </cell>
          <cell r="J330">
            <v>22</v>
          </cell>
          <cell r="K330">
            <v>37</v>
          </cell>
          <cell r="L330">
            <v>39</v>
          </cell>
          <cell r="M330">
            <v>18</v>
          </cell>
          <cell r="N330" t="str">
            <v>5-Latronics</v>
          </cell>
        </row>
        <row r="331">
          <cell r="A331" t="str">
            <v>B0325</v>
          </cell>
          <cell r="B331" t="str">
            <v>Inverters</v>
          </cell>
          <cell r="C331" t="str">
            <v>Latronics</v>
          </cell>
          <cell r="D331" t="str">
            <v>24V 600W Inverter</v>
          </cell>
          <cell r="E331" t="str">
            <v>LS624</v>
          </cell>
          <cell r="F331" t="str">
            <v>LS624</v>
          </cell>
          <cell r="G331">
            <v>0</v>
          </cell>
          <cell r="H331">
            <v>0</v>
          </cell>
          <cell r="I331">
            <v>0</v>
          </cell>
          <cell r="J331">
            <v>5.5</v>
          </cell>
          <cell r="K331">
            <v>26</v>
          </cell>
          <cell r="L331">
            <v>16</v>
          </cell>
          <cell r="M331">
            <v>10</v>
          </cell>
          <cell r="N331" t="str">
            <v>5-Latronics</v>
          </cell>
        </row>
        <row r="332">
          <cell r="A332" t="str">
            <v>B0326</v>
          </cell>
          <cell r="B332" t="str">
            <v>Inverters</v>
          </cell>
          <cell r="C332" t="str">
            <v>Latronics</v>
          </cell>
          <cell r="D332" t="str">
            <v>24V 1200W Inverter</v>
          </cell>
          <cell r="E332" t="str">
            <v>LS1224</v>
          </cell>
          <cell r="F332" t="str">
            <v>LS1224</v>
          </cell>
          <cell r="G332">
            <v>0</v>
          </cell>
          <cell r="H332">
            <v>0</v>
          </cell>
          <cell r="I332">
            <v>0</v>
          </cell>
          <cell r="J332">
            <v>11</v>
          </cell>
          <cell r="K332">
            <v>33</v>
          </cell>
          <cell r="L332">
            <v>30</v>
          </cell>
          <cell r="M332">
            <v>15</v>
          </cell>
          <cell r="N332" t="str">
            <v>5-Latronics</v>
          </cell>
        </row>
        <row r="333">
          <cell r="A333" t="str">
            <v>B0327</v>
          </cell>
          <cell r="B333" t="str">
            <v>Inverters</v>
          </cell>
          <cell r="C333" t="str">
            <v>Latronics</v>
          </cell>
          <cell r="D333" t="str">
            <v>24V 1800W Inverter</v>
          </cell>
          <cell r="E333" t="str">
            <v>LS1824</v>
          </cell>
          <cell r="F333" t="str">
            <v>LS1824</v>
          </cell>
          <cell r="G333">
            <v>0</v>
          </cell>
          <cell r="H333">
            <v>0</v>
          </cell>
          <cell r="I333">
            <v>0</v>
          </cell>
          <cell r="J333">
            <v>14</v>
          </cell>
          <cell r="K333">
            <v>33</v>
          </cell>
          <cell r="L333">
            <v>30</v>
          </cell>
          <cell r="M333">
            <v>15</v>
          </cell>
          <cell r="N333" t="str">
            <v>5-Latronics</v>
          </cell>
        </row>
        <row r="334">
          <cell r="A334" t="str">
            <v>B0328</v>
          </cell>
          <cell r="B334" t="str">
            <v>Inverters</v>
          </cell>
          <cell r="C334" t="str">
            <v>SMA</v>
          </cell>
          <cell r="D334" t="str">
            <v>Sunny Highpower Peak1 75KW</v>
          </cell>
          <cell r="E334" t="str">
            <v>SHP-75-10-Peak3</v>
          </cell>
          <cell r="F334" t="str">
            <v>MPN (Part #)</v>
          </cell>
          <cell r="G334">
            <v>10527</v>
          </cell>
          <cell r="H334">
            <v>9570</v>
          </cell>
          <cell r="I334">
            <v>0</v>
          </cell>
          <cell r="J334">
            <v>17.5</v>
          </cell>
          <cell r="K334">
            <v>47</v>
          </cell>
          <cell r="L334">
            <v>44</v>
          </cell>
          <cell r="M334">
            <v>18</v>
          </cell>
          <cell r="N334" t="str">
            <v>2-Krannich</v>
          </cell>
        </row>
        <row r="335">
          <cell r="A335" t="str">
            <v>B0329</v>
          </cell>
          <cell r="B335" t="str">
            <v>Inverters</v>
          </cell>
          <cell r="C335" t="str">
            <v>Victron</v>
          </cell>
          <cell r="D335" t="str">
            <v>Phoenix 48/800 VE.Direct AU/NZ</v>
          </cell>
          <cell r="E335" t="str">
            <v>PIN481800300</v>
          </cell>
          <cell r="F335" t="str">
            <v>PHNX-48-800-VE-AU-NZ</v>
          </cell>
          <cell r="G335">
            <v>429.65000000000003</v>
          </cell>
          <cell r="H335">
            <v>390.6</v>
          </cell>
          <cell r="I335">
            <v>0</v>
          </cell>
          <cell r="J335">
            <v>5.5</v>
          </cell>
          <cell r="K335">
            <v>30.5</v>
          </cell>
          <cell r="L335">
            <v>21.6</v>
          </cell>
          <cell r="M335">
            <v>10.5</v>
          </cell>
          <cell r="N335" t="str">
            <v>1-Victron</v>
          </cell>
        </row>
        <row r="336">
          <cell r="A336" t="str">
            <v>B0330</v>
          </cell>
          <cell r="D336" t="str">
            <v>Inverter Victron Phoenix 48/1200 VE.Direct AU</v>
          </cell>
          <cell r="F336" t="str">
            <v>MPN (Part #)</v>
          </cell>
          <cell r="G336">
            <v>0</v>
          </cell>
          <cell r="H336">
            <v>0</v>
          </cell>
          <cell r="I336">
            <v>0</v>
          </cell>
          <cell r="N336" t="str">
            <v>1-Victron</v>
          </cell>
        </row>
        <row r="337">
          <cell r="A337" t="str">
            <v>B0331</v>
          </cell>
          <cell r="B337" t="str">
            <v>Inverters</v>
          </cell>
          <cell r="C337" t="str">
            <v>Victron</v>
          </cell>
          <cell r="D337" t="str">
            <v>Phoenix 48/1200 VE.Direct IEC</v>
          </cell>
          <cell r="E337" t="str">
            <v>PIN482120100</v>
          </cell>
          <cell r="F337" t="str">
            <v>PHNX-48-1200-VE-IEC</v>
          </cell>
          <cell r="G337">
            <v>0</v>
          </cell>
          <cell r="H337">
            <v>0</v>
          </cell>
          <cell r="I337">
            <v>0</v>
          </cell>
          <cell r="J337">
            <v>7.4</v>
          </cell>
          <cell r="K337">
            <v>32.700000000000003</v>
          </cell>
          <cell r="L337">
            <v>23.2</v>
          </cell>
          <cell r="M337">
            <v>11.7</v>
          </cell>
          <cell r="N337" t="str">
            <v>1-Victron</v>
          </cell>
        </row>
        <row r="338">
          <cell r="A338" t="str">
            <v>B0332</v>
          </cell>
          <cell r="B338" t="str">
            <v>Inverters</v>
          </cell>
          <cell r="C338" t="str">
            <v>Victron</v>
          </cell>
          <cell r="D338" t="str">
            <v>Phoenix Inverter C 12/1200</v>
          </cell>
          <cell r="E338" t="str">
            <v>CIN121220000</v>
          </cell>
          <cell r="F338" t="str">
            <v>PHNX-C-12-1200</v>
          </cell>
          <cell r="G338">
            <v>738.55000000000007</v>
          </cell>
          <cell r="H338">
            <v>671.40000000000009</v>
          </cell>
          <cell r="I338">
            <v>0</v>
          </cell>
          <cell r="J338">
            <v>10</v>
          </cell>
          <cell r="K338">
            <v>37.5</v>
          </cell>
          <cell r="L338">
            <v>21.4</v>
          </cell>
          <cell r="M338">
            <v>11</v>
          </cell>
          <cell r="N338" t="str">
            <v>1-Victron</v>
          </cell>
        </row>
        <row r="339">
          <cell r="A339" t="str">
            <v>B0333</v>
          </cell>
          <cell r="B339" t="str">
            <v>Inverters</v>
          </cell>
          <cell r="C339" t="str">
            <v>Victron</v>
          </cell>
          <cell r="D339" t="str">
            <v>Phoenix Inverter C 12/1600</v>
          </cell>
          <cell r="E339" t="str">
            <v>CIN121620000</v>
          </cell>
          <cell r="F339" t="str">
            <v>PHNX-C-12-1600</v>
          </cell>
          <cell r="G339">
            <v>1039.5</v>
          </cell>
          <cell r="H339">
            <v>945</v>
          </cell>
          <cell r="I339">
            <v>0</v>
          </cell>
          <cell r="J339">
            <v>10</v>
          </cell>
          <cell r="K339">
            <v>37.5</v>
          </cell>
          <cell r="L339">
            <v>21.4</v>
          </cell>
          <cell r="M339">
            <v>11</v>
          </cell>
          <cell r="N339" t="str">
            <v>1-Victron</v>
          </cell>
        </row>
        <row r="340">
          <cell r="A340" t="str">
            <v>B0334</v>
          </cell>
          <cell r="B340" t="str">
            <v>Inverters</v>
          </cell>
          <cell r="C340" t="str">
            <v>Victron</v>
          </cell>
          <cell r="D340" t="str">
            <v xml:space="preserve">Phoenix Inverter C 12/2000 </v>
          </cell>
          <cell r="E340" t="str">
            <v>CIN122200000</v>
          </cell>
          <cell r="F340" t="str">
            <v>PHNX-12-2000</v>
          </cell>
          <cell r="G340">
            <v>1256.3000000000002</v>
          </cell>
          <cell r="H340">
            <v>1142.1000000000001</v>
          </cell>
          <cell r="I340">
            <v>0</v>
          </cell>
          <cell r="J340">
            <v>13</v>
          </cell>
          <cell r="K340">
            <v>52</v>
          </cell>
          <cell r="L340">
            <v>25.5</v>
          </cell>
          <cell r="M340">
            <v>12.5</v>
          </cell>
          <cell r="N340" t="str">
            <v>1-Victron</v>
          </cell>
        </row>
        <row r="341">
          <cell r="A341" t="str">
            <v>B0335</v>
          </cell>
          <cell r="B341" t="str">
            <v>Inverters</v>
          </cell>
          <cell r="C341" t="str">
            <v>Victron</v>
          </cell>
          <cell r="D341" t="str">
            <v xml:space="preserve">Phoenix Inverter  24/2000 SMART </v>
          </cell>
          <cell r="E341" t="str">
            <v>PIN242200000</v>
          </cell>
          <cell r="F341" t="str">
            <v>PHNX-S-24-2000</v>
          </cell>
          <cell r="G341">
            <v>0</v>
          </cell>
          <cell r="H341">
            <v>0</v>
          </cell>
          <cell r="I341">
            <v>0</v>
          </cell>
          <cell r="J341">
            <v>13</v>
          </cell>
          <cell r="K341">
            <v>48.5</v>
          </cell>
          <cell r="L341">
            <v>21.9</v>
          </cell>
          <cell r="M341">
            <v>12.5</v>
          </cell>
          <cell r="N341" t="str">
            <v>1-Victron</v>
          </cell>
        </row>
        <row r="342">
          <cell r="A342" t="str">
            <v>B0336</v>
          </cell>
          <cell r="B342" t="str">
            <v>Inverters</v>
          </cell>
          <cell r="C342" t="str">
            <v>Victron</v>
          </cell>
          <cell r="D342" t="str">
            <v>Phoenix Inverter C 24/1200</v>
          </cell>
          <cell r="E342" t="str">
            <v>CIN241220000</v>
          </cell>
          <cell r="F342" t="str">
            <v>PHNX-C-24-1200</v>
          </cell>
          <cell r="G342">
            <v>0</v>
          </cell>
          <cell r="H342">
            <v>0</v>
          </cell>
          <cell r="I342">
            <v>0</v>
          </cell>
          <cell r="J342">
            <v>10</v>
          </cell>
          <cell r="K342">
            <v>37.5</v>
          </cell>
          <cell r="L342">
            <v>21.4</v>
          </cell>
          <cell r="M342">
            <v>11</v>
          </cell>
          <cell r="N342" t="str">
            <v>1-Victron</v>
          </cell>
        </row>
        <row r="343">
          <cell r="A343" t="str">
            <v>B0337</v>
          </cell>
          <cell r="B343" t="str">
            <v>Inverters</v>
          </cell>
          <cell r="C343" t="str">
            <v>Victron</v>
          </cell>
          <cell r="D343" t="str">
            <v>Phoenix Inverter C 24/1600</v>
          </cell>
          <cell r="E343" t="str">
            <v>CIN241620000</v>
          </cell>
          <cell r="F343" t="str">
            <v>PHNX-C-24-1600</v>
          </cell>
          <cell r="G343">
            <v>1039.5</v>
          </cell>
          <cell r="H343">
            <v>945</v>
          </cell>
          <cell r="I343">
            <v>0</v>
          </cell>
          <cell r="J343">
            <v>10</v>
          </cell>
          <cell r="K343">
            <v>37.5</v>
          </cell>
          <cell r="L343">
            <v>21.4</v>
          </cell>
          <cell r="M343">
            <v>11</v>
          </cell>
          <cell r="N343" t="str">
            <v>1-Victron</v>
          </cell>
        </row>
        <row r="344">
          <cell r="A344" t="str">
            <v>B0338</v>
          </cell>
          <cell r="B344" t="str">
            <v>Inverters</v>
          </cell>
          <cell r="C344" t="str">
            <v>Victron</v>
          </cell>
          <cell r="D344" t="str">
            <v>Phoenix Inverter C 24/2000</v>
          </cell>
          <cell r="E344" t="str">
            <v>CIN242200000</v>
          </cell>
          <cell r="F344" t="str">
            <v>PHNX-C-24-2000</v>
          </cell>
          <cell r="G344">
            <v>1256.3000000000002</v>
          </cell>
          <cell r="H344">
            <v>1142.1000000000001</v>
          </cell>
          <cell r="I344">
            <v>0</v>
          </cell>
          <cell r="J344">
            <v>13</v>
          </cell>
          <cell r="K344">
            <v>52</v>
          </cell>
          <cell r="L344">
            <v>25.5</v>
          </cell>
          <cell r="M344">
            <v>12.5</v>
          </cell>
          <cell r="N344" t="str">
            <v>1-Victron</v>
          </cell>
        </row>
        <row r="345">
          <cell r="A345" t="str">
            <v>B0339</v>
          </cell>
          <cell r="B345" t="str">
            <v>Inverters</v>
          </cell>
          <cell r="C345" t="str">
            <v>Victron</v>
          </cell>
          <cell r="D345" t="str">
            <v>Phoenix Inverter 24/3000</v>
          </cell>
          <cell r="E345" t="str">
            <v>PIN243020000</v>
          </cell>
          <cell r="F345" t="str">
            <v>PHNX-24-3000</v>
          </cell>
          <cell r="G345">
            <v>1621.6000000000001</v>
          </cell>
          <cell r="H345">
            <v>1474.2</v>
          </cell>
          <cell r="I345">
            <v>0</v>
          </cell>
          <cell r="J345">
            <v>18</v>
          </cell>
          <cell r="K345">
            <v>36.200000000000003</v>
          </cell>
          <cell r="L345">
            <v>25.8</v>
          </cell>
          <cell r="M345">
            <v>21.8</v>
          </cell>
          <cell r="N345" t="str">
            <v>1-Victron</v>
          </cell>
        </row>
        <row r="346">
          <cell r="A346" t="str">
            <v>B0340</v>
          </cell>
          <cell r="B346" t="str">
            <v>Inverters</v>
          </cell>
          <cell r="C346" t="str">
            <v>Victron</v>
          </cell>
          <cell r="D346" t="str">
            <v>Phoenix Inverter 24/5000</v>
          </cell>
          <cell r="E346" t="str">
            <v>PIN245020000</v>
          </cell>
          <cell r="F346" t="str">
            <v>PHNX-24-5000</v>
          </cell>
          <cell r="G346">
            <v>2828.4500000000003</v>
          </cell>
          <cell r="H346">
            <v>2571.3000000000002</v>
          </cell>
          <cell r="I346">
            <v>0</v>
          </cell>
          <cell r="J346">
            <v>28</v>
          </cell>
          <cell r="K346">
            <v>44.4</v>
          </cell>
          <cell r="L346">
            <v>32.799999999999997</v>
          </cell>
          <cell r="M346">
            <v>24</v>
          </cell>
          <cell r="N346" t="str">
            <v>1-Victron</v>
          </cell>
        </row>
        <row r="347">
          <cell r="A347" t="str">
            <v>B0341</v>
          </cell>
          <cell r="B347" t="str">
            <v>Inverters</v>
          </cell>
          <cell r="C347" t="str">
            <v>Victron</v>
          </cell>
          <cell r="D347" t="str">
            <v>Phoenix Inverter 48/3000</v>
          </cell>
          <cell r="E347" t="str">
            <v>PIN483020000</v>
          </cell>
          <cell r="F347" t="str">
            <v>PHNX-48-3000</v>
          </cell>
          <cell r="G347">
            <v>1568.15</v>
          </cell>
          <cell r="H347">
            <v>1425.6000000000001</v>
          </cell>
          <cell r="I347">
            <v>0</v>
          </cell>
          <cell r="J347">
            <v>18</v>
          </cell>
          <cell r="K347">
            <v>36.200000000000003</v>
          </cell>
          <cell r="L347">
            <v>25.8</v>
          </cell>
          <cell r="M347">
            <v>21.8</v>
          </cell>
          <cell r="N347" t="str">
            <v>1-Victron</v>
          </cell>
        </row>
        <row r="348">
          <cell r="A348" t="str">
            <v>B0342</v>
          </cell>
          <cell r="B348" t="str">
            <v>Inverters</v>
          </cell>
          <cell r="C348" t="str">
            <v>Victron</v>
          </cell>
          <cell r="D348" t="str">
            <v>Phoenix Inverter 48/5000</v>
          </cell>
          <cell r="E348" t="str">
            <v>PIN485020000</v>
          </cell>
          <cell r="F348" t="str">
            <v>PHNX-48-5000</v>
          </cell>
          <cell r="G348">
            <v>2326.5</v>
          </cell>
          <cell r="H348">
            <v>2115</v>
          </cell>
          <cell r="I348">
            <v>0</v>
          </cell>
          <cell r="J348">
            <v>28</v>
          </cell>
          <cell r="K348">
            <v>44.4</v>
          </cell>
          <cell r="L348">
            <v>32.799999999999997</v>
          </cell>
          <cell r="M348">
            <v>24</v>
          </cell>
          <cell r="N348" t="str">
            <v>1-Victron</v>
          </cell>
        </row>
        <row r="349">
          <cell r="A349" t="str">
            <v>B0343</v>
          </cell>
          <cell r="B349" t="str">
            <v>Inverter-Chargers</v>
          </cell>
          <cell r="C349" t="str">
            <v>Victron</v>
          </cell>
          <cell r="D349" t="str">
            <v>MultiPlus 12/500/20-16</v>
          </cell>
          <cell r="E349" t="str">
            <v>PMP121500000</v>
          </cell>
          <cell r="F349" t="str">
            <v>Multiplus-12-500</v>
          </cell>
          <cell r="G349">
            <v>630.65000000000009</v>
          </cell>
          <cell r="H349">
            <v>573.30000000000007</v>
          </cell>
          <cell r="I349">
            <v>0</v>
          </cell>
          <cell r="J349">
            <v>4.4000000000000004</v>
          </cell>
          <cell r="K349">
            <v>31.1</v>
          </cell>
          <cell r="L349">
            <v>18.2</v>
          </cell>
          <cell r="M349">
            <v>10</v>
          </cell>
          <cell r="N349" t="str">
            <v>1-Victron</v>
          </cell>
        </row>
        <row r="350">
          <cell r="A350" t="str">
            <v>B0344</v>
          </cell>
          <cell r="B350" t="str">
            <v>Inverter-Chargers</v>
          </cell>
          <cell r="C350" t="str">
            <v>Victron</v>
          </cell>
          <cell r="D350" t="str">
            <v>MultiPlus 12/800/35-16</v>
          </cell>
          <cell r="E350" t="str">
            <v>PMP121800000</v>
          </cell>
          <cell r="F350" t="str">
            <v>Multiplus-12-800</v>
          </cell>
          <cell r="G350">
            <v>826.65000000000009</v>
          </cell>
          <cell r="H350">
            <v>751.5</v>
          </cell>
          <cell r="I350">
            <v>0</v>
          </cell>
          <cell r="J350">
            <v>10</v>
          </cell>
          <cell r="K350">
            <v>37.5</v>
          </cell>
          <cell r="L350">
            <v>21.4</v>
          </cell>
          <cell r="M350">
            <v>11</v>
          </cell>
          <cell r="N350" t="str">
            <v>1-Victron</v>
          </cell>
        </row>
        <row r="351">
          <cell r="A351" t="str">
            <v>B0345</v>
          </cell>
          <cell r="B351" t="str">
            <v>Inverter-Chargers</v>
          </cell>
          <cell r="C351" t="str">
            <v>Victron</v>
          </cell>
          <cell r="D351" t="str">
            <v>MultiPlus 12/1200/50-16</v>
          </cell>
          <cell r="E351" t="str">
            <v>PMP122120000</v>
          </cell>
          <cell r="F351" t="str">
            <v>Multiplus-12-1200</v>
          </cell>
          <cell r="G351">
            <v>1155.3500000000001</v>
          </cell>
          <cell r="H351">
            <v>1050.3</v>
          </cell>
          <cell r="I351">
            <v>0</v>
          </cell>
          <cell r="J351">
            <v>10</v>
          </cell>
          <cell r="K351">
            <v>37.5</v>
          </cell>
          <cell r="L351">
            <v>21.4</v>
          </cell>
          <cell r="M351">
            <v>11</v>
          </cell>
          <cell r="N351" t="str">
            <v>1-Victron</v>
          </cell>
        </row>
        <row r="352">
          <cell r="A352" t="str">
            <v>B0346</v>
          </cell>
          <cell r="B352" t="str">
            <v>Inverter-Chargers</v>
          </cell>
          <cell r="C352" t="str">
            <v>Victron</v>
          </cell>
          <cell r="D352" t="str">
            <v>MultiPlus C 12/800/35-16</v>
          </cell>
          <cell r="E352" t="str">
            <v>CMP128010000</v>
          </cell>
          <cell r="F352" t="str">
            <v>Multiplus-C-12-800</v>
          </cell>
          <cell r="G352">
            <v>842.5</v>
          </cell>
          <cell r="H352">
            <v>765.90000000000009</v>
          </cell>
          <cell r="I352">
            <v>0</v>
          </cell>
          <cell r="J352">
            <v>10</v>
          </cell>
          <cell r="K352">
            <v>37.5</v>
          </cell>
          <cell r="L352">
            <v>21.4</v>
          </cell>
          <cell r="M352">
            <v>11</v>
          </cell>
          <cell r="N352" t="str">
            <v>1-Victron</v>
          </cell>
        </row>
        <row r="353">
          <cell r="A353" t="str">
            <v>B0347</v>
          </cell>
          <cell r="B353" t="str">
            <v>Inverter-Chargers</v>
          </cell>
          <cell r="C353" t="str">
            <v>Victron</v>
          </cell>
          <cell r="D353" t="str">
            <v>MultiPlus C 12/1200/50-16</v>
          </cell>
          <cell r="E353" t="str">
            <v>CMP121220000</v>
          </cell>
          <cell r="F353" t="str">
            <v>Multiplus-C-12-1200</v>
          </cell>
          <cell r="G353">
            <v>1191.95</v>
          </cell>
          <cell r="H353">
            <v>1083.6000000000001</v>
          </cell>
          <cell r="I353">
            <v>0</v>
          </cell>
          <cell r="J353">
            <v>10</v>
          </cell>
          <cell r="K353">
            <v>37.5</v>
          </cell>
          <cell r="L353">
            <v>21.4</v>
          </cell>
          <cell r="M353">
            <v>11</v>
          </cell>
          <cell r="N353" t="str">
            <v>1-Victron</v>
          </cell>
        </row>
        <row r="354">
          <cell r="A354" t="str">
            <v>B0348</v>
          </cell>
          <cell r="B354" t="str">
            <v>Inverter-Chargers</v>
          </cell>
          <cell r="C354" t="str">
            <v>Victron</v>
          </cell>
          <cell r="D354" t="str">
            <v>MultiPlus C 12/1600/70-16</v>
          </cell>
          <cell r="E354" t="str">
            <v>CMP121620000</v>
          </cell>
          <cell r="F354" t="str">
            <v>Multiplus-C-12-1600</v>
          </cell>
          <cell r="G354">
            <v>1336.5</v>
          </cell>
          <cell r="H354">
            <v>1215</v>
          </cell>
          <cell r="I354">
            <v>0</v>
          </cell>
          <cell r="J354">
            <v>10</v>
          </cell>
          <cell r="K354">
            <v>37.5</v>
          </cell>
          <cell r="L354">
            <v>21.4</v>
          </cell>
          <cell r="M354">
            <v>11</v>
          </cell>
          <cell r="N354" t="str">
            <v>1-Victron</v>
          </cell>
        </row>
        <row r="355">
          <cell r="A355" t="str">
            <v>B0349</v>
          </cell>
          <cell r="B355" t="str">
            <v>Inverter-Chargers</v>
          </cell>
          <cell r="C355" t="str">
            <v>Victron</v>
          </cell>
          <cell r="D355" t="str">
            <v>MultiPlus C 12/2000/80-30</v>
          </cell>
          <cell r="E355" t="str">
            <v>CMP122200000</v>
          </cell>
          <cell r="F355" t="str">
            <v>Multiplus-C-12-2000</v>
          </cell>
          <cell r="G355">
            <v>1805.75</v>
          </cell>
          <cell r="H355">
            <v>1641.6000000000001</v>
          </cell>
          <cell r="I355">
            <v>0</v>
          </cell>
          <cell r="J355">
            <v>13</v>
          </cell>
          <cell r="K355">
            <v>52</v>
          </cell>
          <cell r="L355">
            <v>25.5</v>
          </cell>
          <cell r="M355">
            <v>12.5</v>
          </cell>
          <cell r="N355" t="str">
            <v>1-Victron</v>
          </cell>
        </row>
        <row r="356">
          <cell r="A356" t="str">
            <v>B0350</v>
          </cell>
          <cell r="B356" t="str">
            <v>Inverter-Chargers</v>
          </cell>
          <cell r="C356" t="str">
            <v>Victron</v>
          </cell>
          <cell r="D356" t="str">
            <v>MultiPlus 12/3000/120-16</v>
          </cell>
          <cell r="E356" t="str">
            <v>PMP123020001</v>
          </cell>
          <cell r="F356" t="str">
            <v>Multiplus-12-3000</v>
          </cell>
          <cell r="G356">
            <v>0</v>
          </cell>
          <cell r="H356">
            <v>0</v>
          </cell>
          <cell r="I356">
            <v>0</v>
          </cell>
          <cell r="J356">
            <v>18</v>
          </cell>
          <cell r="K356">
            <v>36.200000000000003</v>
          </cell>
          <cell r="L356">
            <v>25.8</v>
          </cell>
          <cell r="M356">
            <v>21.8</v>
          </cell>
          <cell r="N356" t="str">
            <v>1-Victron</v>
          </cell>
        </row>
        <row r="357">
          <cell r="A357" t="str">
            <v>B0351</v>
          </cell>
          <cell r="B357" t="str">
            <v>Inverter-Chargers</v>
          </cell>
          <cell r="C357" t="str">
            <v>Victron</v>
          </cell>
          <cell r="D357" t="str">
            <v>MultiPlus 12/3000/120-50</v>
          </cell>
          <cell r="E357" t="str">
            <v>PMP123021010</v>
          </cell>
          <cell r="F357" t="str">
            <v>Multiplus-12-3000</v>
          </cell>
          <cell r="G357">
            <v>2409.65</v>
          </cell>
          <cell r="H357">
            <v>2190.6</v>
          </cell>
          <cell r="I357">
            <v>0</v>
          </cell>
          <cell r="J357">
            <v>18</v>
          </cell>
          <cell r="K357">
            <v>36.200000000000003</v>
          </cell>
          <cell r="L357">
            <v>25.8</v>
          </cell>
          <cell r="M357">
            <v>21.8</v>
          </cell>
          <cell r="N357" t="str">
            <v>1-Victron</v>
          </cell>
        </row>
        <row r="358">
          <cell r="A358" t="str">
            <v>B0352</v>
          </cell>
          <cell r="B358" t="str">
            <v>Inverter-Chargers</v>
          </cell>
          <cell r="C358" t="str">
            <v>Victron</v>
          </cell>
          <cell r="D358" t="str">
            <v>Quattro 12/3000/120-50/50</v>
          </cell>
          <cell r="E358" t="str">
            <v>QUA123020010</v>
          </cell>
          <cell r="F358" t="str">
            <v>Quattro-12-3000</v>
          </cell>
          <cell r="G358">
            <v>3404.6000000000004</v>
          </cell>
          <cell r="H358">
            <v>3095.1000000000004</v>
          </cell>
          <cell r="I358">
            <v>0</v>
          </cell>
          <cell r="J358">
            <v>19</v>
          </cell>
          <cell r="K358">
            <v>36.200000000000003</v>
          </cell>
          <cell r="L358">
            <v>25.8</v>
          </cell>
          <cell r="M358">
            <v>21.8</v>
          </cell>
          <cell r="N358" t="str">
            <v>1-Victron</v>
          </cell>
        </row>
        <row r="359">
          <cell r="A359" t="str">
            <v>B0353</v>
          </cell>
          <cell r="B359" t="str">
            <v>Inverter-Chargers</v>
          </cell>
          <cell r="C359" t="str">
            <v>Victron</v>
          </cell>
          <cell r="D359" t="str">
            <v>Quattro 12/5000/220-100/100</v>
          </cell>
          <cell r="E359" t="str">
            <v>QUA125020000</v>
          </cell>
          <cell r="F359" t="str">
            <v>Quattro-12-5000</v>
          </cell>
          <cell r="G359">
            <v>5302.4500000000007</v>
          </cell>
          <cell r="H359">
            <v>4820.4000000000005</v>
          </cell>
          <cell r="I359">
            <v>0</v>
          </cell>
          <cell r="J359">
            <v>34</v>
          </cell>
          <cell r="K359">
            <v>47</v>
          </cell>
          <cell r="L359">
            <v>35</v>
          </cell>
          <cell r="M359">
            <v>28</v>
          </cell>
          <cell r="N359" t="str">
            <v>1-Victron</v>
          </cell>
        </row>
        <row r="360">
          <cell r="A360" t="str">
            <v>B0354</v>
          </cell>
          <cell r="B360" t="str">
            <v>Inverter-Chargers</v>
          </cell>
          <cell r="C360" t="str">
            <v>Victron</v>
          </cell>
          <cell r="D360" t="str">
            <v>MultiPlus 24/500/10-16</v>
          </cell>
          <cell r="E360" t="str">
            <v>PMP241500000</v>
          </cell>
          <cell r="F360" t="str">
            <v>Multiplus-24-500</v>
          </cell>
          <cell r="G360">
            <v>630.65000000000009</v>
          </cell>
          <cell r="H360">
            <v>573.30000000000007</v>
          </cell>
          <cell r="I360">
            <v>0</v>
          </cell>
          <cell r="J360">
            <v>4.4000000000000004</v>
          </cell>
          <cell r="K360">
            <v>31.1</v>
          </cell>
          <cell r="L360">
            <v>18.2</v>
          </cell>
          <cell r="M360">
            <v>10</v>
          </cell>
          <cell r="N360" t="str">
            <v>1-Victron</v>
          </cell>
        </row>
        <row r="361">
          <cell r="A361" t="str">
            <v>B0355</v>
          </cell>
          <cell r="B361" t="str">
            <v>Inverter-Chargers</v>
          </cell>
          <cell r="C361" t="str">
            <v>Victron</v>
          </cell>
          <cell r="D361" t="str">
            <v>MultiPlus 24/800/16-16</v>
          </cell>
          <cell r="E361" t="str">
            <v>PMP241800000</v>
          </cell>
          <cell r="F361" t="str">
            <v>Multiplus 24-800</v>
          </cell>
          <cell r="G361">
            <v>826.65000000000009</v>
          </cell>
          <cell r="H361">
            <v>751.5</v>
          </cell>
          <cell r="I361">
            <v>0</v>
          </cell>
          <cell r="J361">
            <v>6.4</v>
          </cell>
          <cell r="K361">
            <v>40.6</v>
          </cell>
          <cell r="L361">
            <v>25</v>
          </cell>
          <cell r="M361">
            <v>10</v>
          </cell>
          <cell r="N361" t="str">
            <v>1-Victron</v>
          </cell>
        </row>
        <row r="362">
          <cell r="A362" t="str">
            <v>B0355</v>
          </cell>
          <cell r="B362" t="str">
            <v>Inverter-Chargers</v>
          </cell>
          <cell r="C362" t="str">
            <v>Victron</v>
          </cell>
          <cell r="D362" t="str">
            <v>MultiPlus 24/800/16-16</v>
          </cell>
          <cell r="E362" t="str">
            <v>PMP241800000</v>
          </cell>
          <cell r="F362" t="str">
            <v>Multiplus-24-800</v>
          </cell>
          <cell r="G362">
            <v>826.65000000000009</v>
          </cell>
          <cell r="H362">
            <v>751.5</v>
          </cell>
          <cell r="I362">
            <v>0</v>
          </cell>
          <cell r="J362">
            <v>6.4</v>
          </cell>
          <cell r="K362">
            <v>40.6</v>
          </cell>
          <cell r="L362">
            <v>25</v>
          </cell>
          <cell r="M362">
            <v>10</v>
          </cell>
          <cell r="N362" t="str">
            <v>1-Victron</v>
          </cell>
        </row>
        <row r="363">
          <cell r="A363" t="str">
            <v>B0356</v>
          </cell>
          <cell r="B363" t="str">
            <v>Inverter-Chargers</v>
          </cell>
          <cell r="C363" t="str">
            <v>Victron</v>
          </cell>
          <cell r="D363" t="str">
            <v>MultiPlus 24/1200/25-16</v>
          </cell>
          <cell r="E363" t="str">
            <v>PMP242120000</v>
          </cell>
          <cell r="F363" t="str">
            <v>Multiplus-24-1200</v>
          </cell>
          <cell r="G363">
            <v>1155.3500000000001</v>
          </cell>
          <cell r="H363">
            <v>1050.3</v>
          </cell>
          <cell r="I363">
            <v>0</v>
          </cell>
          <cell r="J363">
            <v>8.1999999999999993</v>
          </cell>
          <cell r="K363">
            <v>40.6</v>
          </cell>
          <cell r="L363">
            <v>25</v>
          </cell>
          <cell r="M363">
            <v>10</v>
          </cell>
          <cell r="N363" t="str">
            <v>1-Victron</v>
          </cell>
        </row>
        <row r="364">
          <cell r="A364" t="str">
            <v>B0357</v>
          </cell>
          <cell r="B364" t="str">
            <v>Inverter-Chargers</v>
          </cell>
          <cell r="C364" t="str">
            <v>Victron</v>
          </cell>
          <cell r="D364" t="str">
            <v>MultiPlus C 24/800/16-16</v>
          </cell>
          <cell r="E364" t="str">
            <v>CMP248010000</v>
          </cell>
          <cell r="F364" t="str">
            <v>Multiplus-C-24-800</v>
          </cell>
          <cell r="G364">
            <v>0</v>
          </cell>
          <cell r="H364">
            <v>0</v>
          </cell>
          <cell r="I364">
            <v>0</v>
          </cell>
          <cell r="J364">
            <v>10</v>
          </cell>
          <cell r="K364">
            <v>37.5</v>
          </cell>
          <cell r="L364">
            <v>21.4</v>
          </cell>
          <cell r="M364">
            <v>11</v>
          </cell>
          <cell r="N364" t="str">
            <v>1-Victron</v>
          </cell>
        </row>
        <row r="365">
          <cell r="A365" t="str">
            <v>B0358</v>
          </cell>
          <cell r="B365" t="str">
            <v>Inverter-Chargers</v>
          </cell>
          <cell r="C365" t="str">
            <v>Victron</v>
          </cell>
          <cell r="D365" t="str">
            <v>MultiPlus C 24/1200/25-16</v>
          </cell>
          <cell r="E365" t="str">
            <v>CMP241220000</v>
          </cell>
          <cell r="F365" t="str">
            <v>Multiplus-C-24-1200</v>
          </cell>
          <cell r="G365">
            <v>1191.95</v>
          </cell>
          <cell r="H365">
            <v>1083.6000000000001</v>
          </cell>
          <cell r="I365">
            <v>0</v>
          </cell>
          <cell r="J365">
            <v>10</v>
          </cell>
          <cell r="K365">
            <v>37.5</v>
          </cell>
          <cell r="L365">
            <v>21.4</v>
          </cell>
          <cell r="M365">
            <v>11</v>
          </cell>
          <cell r="N365" t="str">
            <v>1-Victron</v>
          </cell>
        </row>
        <row r="366">
          <cell r="A366" t="str">
            <v>B0359</v>
          </cell>
          <cell r="B366" t="str">
            <v>Inverter-Chargers</v>
          </cell>
          <cell r="C366" t="str">
            <v>Victron</v>
          </cell>
          <cell r="D366" t="str">
            <v>MultiPlus C 24/1600/40-16</v>
          </cell>
          <cell r="E366" t="str">
            <v>CMP241620000</v>
          </cell>
          <cell r="F366" t="str">
            <v>Multiplus-C-24-1600</v>
          </cell>
          <cell r="G366">
            <v>1336.5</v>
          </cell>
          <cell r="H366">
            <v>1215</v>
          </cell>
          <cell r="I366">
            <v>0</v>
          </cell>
          <cell r="J366">
            <v>10</v>
          </cell>
          <cell r="K366">
            <v>37.5</v>
          </cell>
          <cell r="L366">
            <v>21.4</v>
          </cell>
          <cell r="M366">
            <v>11</v>
          </cell>
          <cell r="N366" t="str">
            <v>1-Victron</v>
          </cell>
        </row>
        <row r="367">
          <cell r="A367" t="str">
            <v>B0360</v>
          </cell>
          <cell r="B367" t="str">
            <v>Inverter-Chargers</v>
          </cell>
          <cell r="C367" t="str">
            <v>Victron</v>
          </cell>
          <cell r="D367" t="str">
            <v>MultiPlus C 24/2000/50-30</v>
          </cell>
          <cell r="E367" t="str">
            <v>CMP242200000</v>
          </cell>
          <cell r="F367" t="str">
            <v>Multiplus-C-24-2000</v>
          </cell>
          <cell r="G367">
            <v>1737.45</v>
          </cell>
          <cell r="H367">
            <v>1579.5</v>
          </cell>
          <cell r="I367">
            <v>0</v>
          </cell>
          <cell r="J367">
            <v>13</v>
          </cell>
          <cell r="K367">
            <v>52</v>
          </cell>
          <cell r="L367">
            <v>25.5</v>
          </cell>
          <cell r="M367">
            <v>12.5</v>
          </cell>
          <cell r="N367" t="str">
            <v>1-Victron</v>
          </cell>
        </row>
        <row r="368">
          <cell r="A368" t="str">
            <v>B0361</v>
          </cell>
          <cell r="B368" t="str">
            <v>Inverter-Chargers</v>
          </cell>
          <cell r="C368" t="str">
            <v>Victron</v>
          </cell>
          <cell r="D368" t="str">
            <v>MultiPlus 24/3000/70-16</v>
          </cell>
          <cell r="E368" t="str">
            <v>PMP242300001</v>
          </cell>
          <cell r="F368" t="str">
            <v>Multiplus 24-3000</v>
          </cell>
          <cell r="G368">
            <v>2232.4500000000003</v>
          </cell>
          <cell r="H368">
            <v>2029.5</v>
          </cell>
          <cell r="I368">
            <v>0</v>
          </cell>
          <cell r="J368">
            <v>18</v>
          </cell>
          <cell r="K368">
            <v>36.200000000000003</v>
          </cell>
          <cell r="L368">
            <v>25.8</v>
          </cell>
          <cell r="M368">
            <v>21.8</v>
          </cell>
          <cell r="N368" t="str">
            <v>1-Victron</v>
          </cell>
        </row>
        <row r="369">
          <cell r="A369" t="str">
            <v>B0362</v>
          </cell>
          <cell r="B369" t="str">
            <v>Inverter-Chargers</v>
          </cell>
          <cell r="C369" t="str">
            <v>Victron</v>
          </cell>
          <cell r="D369" t="str">
            <v>MultiPlus 24/3000/70-50</v>
          </cell>
          <cell r="E369" t="str">
            <v>PMP242301011</v>
          </cell>
          <cell r="F369" t="str">
            <v>Multiplus 24-3000</v>
          </cell>
          <cell r="G369">
            <v>2409.65</v>
          </cell>
          <cell r="H369">
            <v>2190.6</v>
          </cell>
          <cell r="I369">
            <v>0</v>
          </cell>
          <cell r="J369">
            <v>18</v>
          </cell>
          <cell r="K369">
            <v>36.200000000000003</v>
          </cell>
          <cell r="L369">
            <v>25.8</v>
          </cell>
          <cell r="M369">
            <v>21.8</v>
          </cell>
          <cell r="N369" t="str">
            <v>1-Victron</v>
          </cell>
        </row>
        <row r="370">
          <cell r="A370" t="str">
            <v>B0363</v>
          </cell>
          <cell r="B370" t="str">
            <v>Inverter-Chargers</v>
          </cell>
          <cell r="C370" t="str">
            <v>Victron</v>
          </cell>
          <cell r="D370" t="str">
            <v>MultiPlus 24/5000/120-100</v>
          </cell>
          <cell r="E370" t="str">
            <v>PMP245021010</v>
          </cell>
          <cell r="F370" t="str">
            <v>Multiplus 24-3000</v>
          </cell>
          <cell r="G370">
            <v>3542.2000000000003</v>
          </cell>
          <cell r="H370">
            <v>3220.2000000000003</v>
          </cell>
          <cell r="I370">
            <v>0</v>
          </cell>
          <cell r="J370">
            <v>30</v>
          </cell>
          <cell r="K370">
            <v>44.4</v>
          </cell>
          <cell r="L370">
            <v>32.799999999999997</v>
          </cell>
          <cell r="M370">
            <v>24</v>
          </cell>
          <cell r="N370" t="str">
            <v>1-Victron</v>
          </cell>
        </row>
        <row r="371">
          <cell r="A371" t="str">
            <v>B0364</v>
          </cell>
          <cell r="B371" t="str">
            <v>Inverter-Chargers</v>
          </cell>
          <cell r="C371" t="str">
            <v>Victron</v>
          </cell>
          <cell r="D371" t="str">
            <v>Quattro 24/3000/70-50/50</v>
          </cell>
          <cell r="E371" t="str">
            <v>QUA243020010</v>
          </cell>
          <cell r="F371" t="str">
            <v>Quattro-24-3000</v>
          </cell>
          <cell r="G371">
            <v>3266</v>
          </cell>
          <cell r="H371">
            <v>2969.1000000000004</v>
          </cell>
          <cell r="I371">
            <v>0</v>
          </cell>
          <cell r="J371">
            <v>19</v>
          </cell>
          <cell r="K371">
            <v>36.200000000000003</v>
          </cell>
          <cell r="L371">
            <v>25.8</v>
          </cell>
          <cell r="M371">
            <v>21.8</v>
          </cell>
          <cell r="N371" t="str">
            <v>1-Victron</v>
          </cell>
        </row>
        <row r="372">
          <cell r="A372" t="str">
            <v>B0365</v>
          </cell>
          <cell r="B372" t="str">
            <v>Inverter-Chargers</v>
          </cell>
          <cell r="C372" t="str">
            <v>Victron</v>
          </cell>
          <cell r="D372" t="str">
            <v>Quattro 24/5000/120-100/100</v>
          </cell>
          <cell r="E372" t="str">
            <v>QUA245021010</v>
          </cell>
          <cell r="F372" t="str">
            <v>Quattro-24-5000</v>
          </cell>
          <cell r="G372">
            <v>4475.8</v>
          </cell>
          <cell r="H372">
            <v>4068.9</v>
          </cell>
          <cell r="I372">
            <v>0</v>
          </cell>
          <cell r="J372">
            <v>30</v>
          </cell>
          <cell r="K372">
            <v>44.4</v>
          </cell>
          <cell r="L372">
            <v>32.799999999999997</v>
          </cell>
          <cell r="M372">
            <v>24</v>
          </cell>
          <cell r="N372" t="str">
            <v>1-Victron</v>
          </cell>
        </row>
        <row r="373">
          <cell r="A373" t="str">
            <v>B0366</v>
          </cell>
          <cell r="B373" t="str">
            <v>Inverter-Chargers</v>
          </cell>
          <cell r="C373" t="str">
            <v>Victron</v>
          </cell>
          <cell r="D373" t="str">
            <v>Quattro 24/8000/200-100/100</v>
          </cell>
          <cell r="E373" t="str">
            <v>QUA248020010</v>
          </cell>
          <cell r="F373" t="str">
            <v>Quattro-24-8000</v>
          </cell>
          <cell r="G373">
            <v>5648.9500000000007</v>
          </cell>
          <cell r="H373">
            <v>5135.4000000000005</v>
          </cell>
          <cell r="I373">
            <v>0</v>
          </cell>
          <cell r="J373">
            <v>41</v>
          </cell>
          <cell r="K373">
            <v>47</v>
          </cell>
          <cell r="L373">
            <v>35</v>
          </cell>
          <cell r="M373">
            <v>28</v>
          </cell>
          <cell r="N373" t="str">
            <v>1-Victron</v>
          </cell>
        </row>
        <row r="374">
          <cell r="A374" t="str">
            <v>B0367</v>
          </cell>
          <cell r="B374" t="str">
            <v>Inverter-Chargers</v>
          </cell>
          <cell r="C374" t="str">
            <v>Victron</v>
          </cell>
          <cell r="D374" t="str">
            <v>MultiPlus 48/500/6-16</v>
          </cell>
          <cell r="E374" t="str">
            <v>PMP481500000</v>
          </cell>
          <cell r="F374" t="str">
            <v>Multiplus-48-500</v>
          </cell>
          <cell r="G374">
            <v>544.5</v>
          </cell>
          <cell r="H374">
            <v>495</v>
          </cell>
          <cell r="I374">
            <v>0</v>
          </cell>
          <cell r="J374">
            <v>4.4000000000000004</v>
          </cell>
          <cell r="K374">
            <v>31.1</v>
          </cell>
          <cell r="L374">
            <v>18.2</v>
          </cell>
          <cell r="M374">
            <v>10</v>
          </cell>
          <cell r="N374" t="str">
            <v>1-Victron</v>
          </cell>
        </row>
        <row r="375">
          <cell r="A375" t="str">
            <v>B0368</v>
          </cell>
          <cell r="B375" t="str">
            <v>Inverter-Chargers</v>
          </cell>
          <cell r="C375" t="str">
            <v>Victron</v>
          </cell>
          <cell r="D375" t="str">
            <v>MultiPlus 48/3000/35-16</v>
          </cell>
          <cell r="E375" t="str">
            <v>PMP483020001</v>
          </cell>
          <cell r="F375" t="str">
            <v>Multiplus 48-3000</v>
          </cell>
          <cell r="G375">
            <v>1469.15</v>
          </cell>
          <cell r="H375">
            <v>1335.6000000000001</v>
          </cell>
          <cell r="I375">
            <v>0</v>
          </cell>
          <cell r="J375">
            <v>18</v>
          </cell>
          <cell r="K375">
            <v>36.200000000000003</v>
          </cell>
          <cell r="L375">
            <v>25.8</v>
          </cell>
          <cell r="M375">
            <v>21.8</v>
          </cell>
          <cell r="N375" t="str">
            <v>1-Victron</v>
          </cell>
        </row>
        <row r="376">
          <cell r="A376" t="str">
            <v>B0369</v>
          </cell>
          <cell r="B376" t="str">
            <v>Inverter-Chargers</v>
          </cell>
          <cell r="C376" t="str">
            <v>Victron</v>
          </cell>
          <cell r="D376" t="str">
            <v>MultiPlus 48/5000/70-100</v>
          </cell>
          <cell r="E376" t="str">
            <v>PMP485021010</v>
          </cell>
          <cell r="F376" t="str">
            <v>Multiplus 48-5000</v>
          </cell>
          <cell r="G376">
            <v>2189.9</v>
          </cell>
          <cell r="H376">
            <v>1990.8000000000002</v>
          </cell>
          <cell r="I376">
            <v>0</v>
          </cell>
          <cell r="J376">
            <v>30</v>
          </cell>
          <cell r="K376">
            <v>44.4</v>
          </cell>
          <cell r="L376">
            <v>32.799999999999997</v>
          </cell>
          <cell r="M376">
            <v>24</v>
          </cell>
          <cell r="N376" t="str">
            <v>1-Victron</v>
          </cell>
        </row>
        <row r="377">
          <cell r="A377" t="str">
            <v>B0370</v>
          </cell>
          <cell r="B377" t="str">
            <v>Inverter-Chargers</v>
          </cell>
          <cell r="C377" t="str">
            <v>Victron</v>
          </cell>
          <cell r="D377" t="str">
            <v>Quattro 48/5000/70-100/100</v>
          </cell>
          <cell r="E377" t="str">
            <v>QUA485021010</v>
          </cell>
          <cell r="F377" t="str">
            <v>Quattro-48-5000</v>
          </cell>
          <cell r="G377">
            <v>3691.7000000000003</v>
          </cell>
          <cell r="H377">
            <v>3356.1000000000004</v>
          </cell>
          <cell r="I377">
            <v>0</v>
          </cell>
          <cell r="J377">
            <v>30</v>
          </cell>
          <cell r="K377">
            <v>44.4</v>
          </cell>
          <cell r="L377">
            <v>32.799999999999997</v>
          </cell>
          <cell r="M377">
            <v>24</v>
          </cell>
          <cell r="N377" t="str">
            <v>1-Victron</v>
          </cell>
        </row>
        <row r="378">
          <cell r="A378" t="str">
            <v>B0371</v>
          </cell>
          <cell r="B378" t="str">
            <v>Inverter-Chargers</v>
          </cell>
          <cell r="C378" t="str">
            <v>Victron</v>
          </cell>
          <cell r="D378" t="str">
            <v>Quattro 48/5000/70-100/100-S</v>
          </cell>
          <cell r="E378" t="str">
            <v>QUA485021011</v>
          </cell>
          <cell r="F378" t="str">
            <v>Quattro-48-5000-S</v>
          </cell>
          <cell r="G378">
            <v>0</v>
          </cell>
          <cell r="H378">
            <v>0</v>
          </cell>
          <cell r="I378">
            <v>0</v>
          </cell>
          <cell r="J378">
            <v>31</v>
          </cell>
          <cell r="K378">
            <v>50</v>
          </cell>
          <cell r="L378">
            <v>32.799999999999997</v>
          </cell>
          <cell r="M378">
            <v>24</v>
          </cell>
          <cell r="N378" t="str">
            <v>1-Victron</v>
          </cell>
        </row>
        <row r="379">
          <cell r="A379" t="str">
            <v>B0372</v>
          </cell>
          <cell r="B379" t="str">
            <v>Inverter-Chargers</v>
          </cell>
          <cell r="C379" t="str">
            <v>Victron</v>
          </cell>
          <cell r="D379" t="str">
            <v>Quattro 48/8000/110-100/100</v>
          </cell>
          <cell r="E379" t="str">
            <v>QUA488024000</v>
          </cell>
          <cell r="F379" t="str">
            <v>Quattro-48-8000</v>
          </cell>
          <cell r="G379">
            <v>4872.8</v>
          </cell>
          <cell r="H379">
            <v>4429.8</v>
          </cell>
          <cell r="I379">
            <v>0</v>
          </cell>
          <cell r="J379">
            <v>41</v>
          </cell>
          <cell r="K379">
            <v>47</v>
          </cell>
          <cell r="L379">
            <v>35</v>
          </cell>
          <cell r="M379">
            <v>28</v>
          </cell>
          <cell r="N379" t="str">
            <v>1-Victron</v>
          </cell>
        </row>
        <row r="380">
          <cell r="A380" t="str">
            <v>B0373</v>
          </cell>
          <cell r="B380" t="str">
            <v>Inverter-Chargers</v>
          </cell>
          <cell r="C380" t="str">
            <v>Victron</v>
          </cell>
          <cell r="D380" t="str">
            <v>Quattro 48/10000/140-100/100</v>
          </cell>
          <cell r="E380" t="str">
            <v>QUA481030010</v>
          </cell>
          <cell r="F380" t="str">
            <v>Quattro-48-10000</v>
          </cell>
          <cell r="G380">
            <v>5821.2000000000007</v>
          </cell>
          <cell r="H380">
            <v>5292</v>
          </cell>
          <cell r="I380">
            <v>0</v>
          </cell>
          <cell r="J380">
            <v>45</v>
          </cell>
          <cell r="K380">
            <v>47</v>
          </cell>
          <cell r="L380">
            <v>35</v>
          </cell>
          <cell r="M380">
            <v>28</v>
          </cell>
          <cell r="N380" t="str">
            <v>1-Victron</v>
          </cell>
        </row>
        <row r="381">
          <cell r="A381" t="str">
            <v>B0374</v>
          </cell>
          <cell r="B381" t="str">
            <v>Inverter-Chargers</v>
          </cell>
          <cell r="C381" t="str">
            <v>Victron</v>
          </cell>
          <cell r="D381" t="str">
            <v>Quattro 48/15000/200-100/100</v>
          </cell>
          <cell r="E381" t="str">
            <v>QUA483150000</v>
          </cell>
          <cell r="F381" t="str">
            <v>Quattro-48-15000</v>
          </cell>
          <cell r="G381">
            <v>7647.75</v>
          </cell>
          <cell r="H381">
            <v>6952.5</v>
          </cell>
          <cell r="I381">
            <v>0</v>
          </cell>
          <cell r="J381">
            <v>72</v>
          </cell>
          <cell r="K381">
            <v>57.2</v>
          </cell>
          <cell r="L381">
            <v>48.8</v>
          </cell>
          <cell r="M381">
            <v>34.4</v>
          </cell>
          <cell r="N381" t="str">
            <v>1-Victron</v>
          </cell>
        </row>
        <row r="382">
          <cell r="A382" t="str">
            <v>B0375</v>
          </cell>
          <cell r="B382" t="str">
            <v>Inverter-Chargers</v>
          </cell>
          <cell r="C382" t="str">
            <v>Victron</v>
          </cell>
          <cell r="D382" t="str">
            <v>EasyPlus C 12/1600/70-16</v>
          </cell>
          <cell r="E382" t="str">
            <v>CEP121620000</v>
          </cell>
          <cell r="F382" t="str">
            <v>EasyPlus-C12-1600</v>
          </cell>
          <cell r="G382">
            <v>1710.7</v>
          </cell>
          <cell r="H382">
            <v>1555.2</v>
          </cell>
          <cell r="I382">
            <v>0</v>
          </cell>
          <cell r="J382">
            <v>11</v>
          </cell>
          <cell r="K382">
            <v>51</v>
          </cell>
          <cell r="L382">
            <v>21.4</v>
          </cell>
          <cell r="M382">
            <v>11</v>
          </cell>
          <cell r="N382" t="str">
            <v>1-Victron</v>
          </cell>
        </row>
        <row r="383">
          <cell r="A383" t="str">
            <v>B0376</v>
          </cell>
          <cell r="B383" t="str">
            <v>Cables</v>
          </cell>
          <cell r="C383" t="str">
            <v>Victron</v>
          </cell>
          <cell r="D383" t="str">
            <v>VE.Direct Cable 1.8m</v>
          </cell>
          <cell r="E383" t="str">
            <v>ASS030530218</v>
          </cell>
          <cell r="F383" t="str">
            <v>MPN (Part #)</v>
          </cell>
          <cell r="G383">
            <v>0</v>
          </cell>
          <cell r="H383">
            <v>0</v>
          </cell>
          <cell r="I383">
            <v>0</v>
          </cell>
          <cell r="J383">
            <v>0.15</v>
          </cell>
          <cell r="K383">
            <v>10</v>
          </cell>
          <cell r="L383">
            <v>10</v>
          </cell>
          <cell r="M383">
            <v>1</v>
          </cell>
          <cell r="N383" t="str">
            <v>1-Victron</v>
          </cell>
        </row>
        <row r="384">
          <cell r="A384" t="str">
            <v>B0377</v>
          </cell>
          <cell r="B384" t="str">
            <v>Inverters</v>
          </cell>
          <cell r="C384" t="str">
            <v>SMA</v>
          </cell>
          <cell r="D384" t="str">
            <v>Sunny Tripower Core2 110KW</v>
          </cell>
          <cell r="E384" t="str">
            <v>STP110-60-Core-2</v>
          </cell>
          <cell r="F384" t="str">
            <v>MPN (Part #)</v>
          </cell>
          <cell r="G384">
            <v>13750</v>
          </cell>
          <cell r="H384">
            <v>12500</v>
          </cell>
          <cell r="I384">
            <v>0</v>
          </cell>
          <cell r="J384">
            <v>93.5</v>
          </cell>
          <cell r="K384">
            <v>112</v>
          </cell>
          <cell r="L384">
            <v>68</v>
          </cell>
          <cell r="M384">
            <v>37</v>
          </cell>
          <cell r="N384" t="str">
            <v>2-Krannich</v>
          </cell>
        </row>
        <row r="385">
          <cell r="A385" t="str">
            <v>B0378</v>
          </cell>
          <cell r="B385" t="str">
            <v>Inverter-Chargers</v>
          </cell>
          <cell r="C385" t="str">
            <v>Victron</v>
          </cell>
          <cell r="D385" t="str">
            <v>MultiPlus-II 48/15000/200-100/100</v>
          </cell>
          <cell r="E385" t="str">
            <v>PMP483150000</v>
          </cell>
          <cell r="F385" t="str">
            <v>MPN (Part #)</v>
          </cell>
          <cell r="G385">
            <v>6884.4500000000007</v>
          </cell>
          <cell r="H385">
            <v>6258.6</v>
          </cell>
          <cell r="I385">
            <v>0</v>
          </cell>
          <cell r="J385">
            <v>75</v>
          </cell>
          <cell r="K385">
            <v>81</v>
          </cell>
          <cell r="L385">
            <v>40</v>
          </cell>
          <cell r="M385">
            <v>21</v>
          </cell>
          <cell r="N385" t="str">
            <v>1-Victron</v>
          </cell>
        </row>
        <row r="386">
          <cell r="A386" t="str">
            <v>B0379</v>
          </cell>
          <cell r="B386" t="str">
            <v>Inverters</v>
          </cell>
          <cell r="C386" t="str">
            <v>Fronius</v>
          </cell>
          <cell r="D386" t="str">
            <v>Eco 25KW 3Ph Inverter</v>
          </cell>
          <cell r="E386" t="str">
            <v>Eco 25.0-3-S</v>
          </cell>
          <cell r="F386" t="str">
            <v>Eco 25.0-3-S</v>
          </cell>
          <cell r="G386">
            <v>5498.4500000000007</v>
          </cell>
          <cell r="H386">
            <v>4998.55</v>
          </cell>
          <cell r="I386">
            <v>0</v>
          </cell>
          <cell r="J386">
            <v>35.700000000000003</v>
          </cell>
          <cell r="K386">
            <v>72.5</v>
          </cell>
          <cell r="L386">
            <v>51</v>
          </cell>
          <cell r="M386">
            <v>22.5</v>
          </cell>
          <cell r="N386" t="str">
            <v>2-Krannich</v>
          </cell>
        </row>
        <row r="387">
          <cell r="A387" t="str">
            <v>B0380</v>
          </cell>
          <cell r="B387" t="str">
            <v>Inverters</v>
          </cell>
          <cell r="C387" t="str">
            <v>Fronius</v>
          </cell>
          <cell r="D387" t="str">
            <v>Eco 27KW 3Ph Inverter</v>
          </cell>
          <cell r="E387" t="str">
            <v>Eco 27.0-3-S</v>
          </cell>
          <cell r="F387" t="str">
            <v>Eco 27.0-3-S</v>
          </cell>
          <cell r="G387">
            <v>5655.55</v>
          </cell>
          <cell r="H387">
            <v>5141.4500000000007</v>
          </cell>
          <cell r="I387">
            <v>0</v>
          </cell>
          <cell r="J387">
            <v>35.700000000000003</v>
          </cell>
          <cell r="K387">
            <v>72.5</v>
          </cell>
          <cell r="L387">
            <v>51</v>
          </cell>
          <cell r="M387">
            <v>22.5</v>
          </cell>
          <cell r="N387" t="str">
            <v>2-Krannich</v>
          </cell>
        </row>
        <row r="388">
          <cell r="A388" t="str">
            <v>B0381</v>
          </cell>
          <cell r="B388" t="str">
            <v>Inverters</v>
          </cell>
          <cell r="C388" t="str">
            <v>Fronius</v>
          </cell>
          <cell r="D388" t="str">
            <v>Symo 3.0KW 3ph Inverter</v>
          </cell>
          <cell r="E388" t="str">
            <v>Symo-3.0-3-M</v>
          </cell>
          <cell r="F388" t="str">
            <v>Symo-3.0-3-M</v>
          </cell>
          <cell r="G388">
            <v>2512.7000000000003</v>
          </cell>
          <cell r="H388">
            <v>2284.3000000000002</v>
          </cell>
          <cell r="I388">
            <v>0</v>
          </cell>
          <cell r="J388">
            <v>19.899999999999999</v>
          </cell>
          <cell r="K388">
            <v>64.5</v>
          </cell>
          <cell r="L388">
            <v>43.1</v>
          </cell>
          <cell r="M388">
            <v>20.399999999999999</v>
          </cell>
          <cell r="N388" t="str">
            <v>2-Krannich</v>
          </cell>
        </row>
        <row r="389">
          <cell r="A389" t="str">
            <v>B0382</v>
          </cell>
          <cell r="B389" t="str">
            <v>Inverters</v>
          </cell>
          <cell r="C389" t="str">
            <v>Fronius</v>
          </cell>
          <cell r="D389" t="str">
            <v>Symo 3.7KW 3ph Inverter</v>
          </cell>
          <cell r="E389" t="str">
            <v>Symo-3.7-3-M</v>
          </cell>
          <cell r="F389" t="str">
            <v>Symo-3.7-3-M</v>
          </cell>
          <cell r="G389">
            <v>2669.8500000000004</v>
          </cell>
          <cell r="H389">
            <v>2427.15</v>
          </cell>
          <cell r="I389">
            <v>0</v>
          </cell>
          <cell r="J389">
            <v>16</v>
          </cell>
          <cell r="K389">
            <v>64.5</v>
          </cell>
          <cell r="L389">
            <v>43.1</v>
          </cell>
          <cell r="M389">
            <v>20.399999999999999</v>
          </cell>
          <cell r="N389" t="str">
            <v>2-Krannich</v>
          </cell>
        </row>
        <row r="390">
          <cell r="A390" t="str">
            <v>B0386</v>
          </cell>
          <cell r="B390" t="str">
            <v>Inverters</v>
          </cell>
          <cell r="C390" t="str">
            <v>Fronius</v>
          </cell>
          <cell r="D390" t="str">
            <v>Symo 4.5KW 3ph Inverter</v>
          </cell>
          <cell r="E390" t="str">
            <v>Symo-4.5-3-M</v>
          </cell>
          <cell r="F390" t="str">
            <v>Symo-4.5-3-M</v>
          </cell>
          <cell r="G390">
            <v>2827</v>
          </cell>
          <cell r="H390">
            <v>2570</v>
          </cell>
          <cell r="I390">
            <v>0</v>
          </cell>
          <cell r="J390">
            <v>19.899999999999999</v>
          </cell>
          <cell r="K390">
            <v>64.5</v>
          </cell>
          <cell r="L390">
            <v>43.1</v>
          </cell>
          <cell r="M390">
            <v>20.399999999999999</v>
          </cell>
          <cell r="N390" t="str">
            <v>2-Krannich</v>
          </cell>
        </row>
        <row r="391">
          <cell r="A391" t="str">
            <v>B0387</v>
          </cell>
          <cell r="B391" t="str">
            <v>Inverters</v>
          </cell>
          <cell r="C391" t="str">
            <v>Fronius</v>
          </cell>
          <cell r="D391" t="str">
            <v>Symo 5.0KW 3ph Inverter</v>
          </cell>
          <cell r="E391" t="str">
            <v>Symo-5.0-3-M</v>
          </cell>
          <cell r="F391" t="str">
            <v>Symo-5.0-3-M</v>
          </cell>
          <cell r="G391">
            <v>2907.15</v>
          </cell>
          <cell r="H391">
            <v>2642.8500000000004</v>
          </cell>
          <cell r="I391">
            <v>0</v>
          </cell>
          <cell r="J391">
            <v>19.899999999999999</v>
          </cell>
          <cell r="K391">
            <v>64.5</v>
          </cell>
          <cell r="L391">
            <v>43.1</v>
          </cell>
          <cell r="M391">
            <v>20.399999999999999</v>
          </cell>
          <cell r="N391" t="str">
            <v>2-Krannich</v>
          </cell>
        </row>
        <row r="392">
          <cell r="A392" t="str">
            <v>B0388</v>
          </cell>
          <cell r="B392" t="str">
            <v>Inverters</v>
          </cell>
          <cell r="C392" t="str">
            <v>Fronius</v>
          </cell>
          <cell r="D392" t="str">
            <v>Symo 6.0KW 3ph Inverter</v>
          </cell>
          <cell r="E392" t="str">
            <v>Symo-6.0-3-M</v>
          </cell>
          <cell r="F392" t="str">
            <v>Symo-6.0-3-M</v>
          </cell>
          <cell r="G392">
            <v>2984.15</v>
          </cell>
          <cell r="H392">
            <v>2712.8500000000004</v>
          </cell>
          <cell r="I392">
            <v>0</v>
          </cell>
          <cell r="J392">
            <v>19.899999999999999</v>
          </cell>
          <cell r="K392">
            <v>64.5</v>
          </cell>
          <cell r="L392">
            <v>43.1</v>
          </cell>
          <cell r="M392">
            <v>20.399999999999999</v>
          </cell>
          <cell r="N392" t="str">
            <v>2-Krannich</v>
          </cell>
        </row>
        <row r="393">
          <cell r="A393" t="str">
            <v>B0389</v>
          </cell>
          <cell r="B393" t="str">
            <v>Inverters</v>
          </cell>
          <cell r="C393" t="str">
            <v>Fronius</v>
          </cell>
          <cell r="D393" t="str">
            <v>Symo 7.0KW 3ph Inverter</v>
          </cell>
          <cell r="E393" t="str">
            <v>Symo-7.0-3-M</v>
          </cell>
          <cell r="F393" t="str">
            <v>Symo-7.0-3-M</v>
          </cell>
          <cell r="G393">
            <v>3653.55</v>
          </cell>
          <cell r="H393">
            <v>3321.4500000000003</v>
          </cell>
          <cell r="I393">
            <v>0</v>
          </cell>
          <cell r="J393">
            <v>21.9</v>
          </cell>
          <cell r="K393">
            <v>64.5</v>
          </cell>
          <cell r="L393">
            <v>43.1</v>
          </cell>
          <cell r="M393">
            <v>20.399999999999999</v>
          </cell>
          <cell r="N393" t="str">
            <v>2-Krannich</v>
          </cell>
        </row>
        <row r="394">
          <cell r="A394" t="str">
            <v>B0390</v>
          </cell>
          <cell r="B394" t="str">
            <v>Inverters</v>
          </cell>
          <cell r="C394" t="str">
            <v>Fronius</v>
          </cell>
          <cell r="D394" t="str">
            <v>Symo 8.2KW 3ph Inverter</v>
          </cell>
          <cell r="E394" t="str">
            <v>Symo8.2-3-M</v>
          </cell>
          <cell r="F394" t="str">
            <v>Symo8.2-3-M</v>
          </cell>
          <cell r="G394">
            <v>4046.4500000000003</v>
          </cell>
          <cell r="H394">
            <v>3678.55</v>
          </cell>
          <cell r="I394">
            <v>0</v>
          </cell>
          <cell r="J394">
            <v>21.9</v>
          </cell>
          <cell r="K394">
            <v>64.5</v>
          </cell>
          <cell r="L394">
            <v>43.1</v>
          </cell>
          <cell r="M394">
            <v>20.399999999999999</v>
          </cell>
          <cell r="N394" t="str">
            <v>2-Krannich</v>
          </cell>
        </row>
        <row r="395">
          <cell r="A395" t="str">
            <v>B0391</v>
          </cell>
          <cell r="D395" t="str">
            <v>Control Victron Digital Multi 200/200A GX</v>
          </cell>
          <cell r="G395">
            <v>0</v>
          </cell>
          <cell r="H395">
            <v>0</v>
          </cell>
          <cell r="I395">
            <v>0</v>
          </cell>
          <cell r="N395" t="str">
            <v>1-Victron</v>
          </cell>
        </row>
        <row r="396">
          <cell r="A396" t="str">
            <v>B0392</v>
          </cell>
          <cell r="D396" t="str">
            <v>Cable Victron VE Direct to USB (double up, See B0901)</v>
          </cell>
          <cell r="E396" t="str">
            <v>ASS030530010</v>
          </cell>
          <cell r="G396">
            <v>46.550000000000004</v>
          </cell>
          <cell r="H396">
            <v>42.300000000000004</v>
          </cell>
          <cell r="I396">
            <v>0</v>
          </cell>
          <cell r="N396" t="str">
            <v>1-Victron</v>
          </cell>
        </row>
        <row r="397">
          <cell r="A397" t="str">
            <v>B0393</v>
          </cell>
          <cell r="B397" t="str">
            <v>Batteries</v>
          </cell>
          <cell r="C397" t="str">
            <v>SolarWatt</v>
          </cell>
          <cell r="D397" t="str">
            <v>Battery My Reserve Matrix 2.4 KWh Kit</v>
          </cell>
          <cell r="E397" t="str">
            <v>MRKIT-2.4</v>
          </cell>
          <cell r="F397" t="str">
            <v>MyReserveMtx-2.4-Kit</v>
          </cell>
          <cell r="G397">
            <v>0</v>
          </cell>
          <cell r="H397">
            <v>0</v>
          </cell>
          <cell r="I397">
            <v>0</v>
          </cell>
          <cell r="J397">
            <v>78</v>
          </cell>
          <cell r="K397">
            <v>98.4</v>
          </cell>
          <cell r="L397">
            <v>73.400000000000006</v>
          </cell>
          <cell r="M397">
            <v>46</v>
          </cell>
          <cell r="N397" t="str">
            <v>1-Victron</v>
          </cell>
        </row>
        <row r="398">
          <cell r="A398" t="str">
            <v>B0394</v>
          </cell>
          <cell r="B398" t="str">
            <v>Chargers</v>
          </cell>
          <cell r="C398" t="str">
            <v>Victron</v>
          </cell>
          <cell r="D398" t="str">
            <v>VICTRON Centaur IP20 Battery Charger 12/80 (3)</v>
          </cell>
          <cell r="E398" t="str">
            <v>CCH012080000</v>
          </cell>
          <cell r="F398" t="str">
            <v>CCH012080000</v>
          </cell>
          <cell r="G398">
            <v>0</v>
          </cell>
          <cell r="H398">
            <v>0</v>
          </cell>
          <cell r="I398">
            <v>0</v>
          </cell>
          <cell r="J398">
            <v>12</v>
          </cell>
          <cell r="K398">
            <v>50.5</v>
          </cell>
          <cell r="L398">
            <v>25.5</v>
          </cell>
          <cell r="M398">
            <v>13</v>
          </cell>
          <cell r="N398" t="str">
            <v>1-Victron</v>
          </cell>
        </row>
        <row r="399">
          <cell r="A399" t="str">
            <v>B0395</v>
          </cell>
          <cell r="B399" t="str">
            <v>Inverters</v>
          </cell>
          <cell r="C399" t="str">
            <v>SMA</v>
          </cell>
          <cell r="D399" t="str">
            <v>Sunny Highpower Peak3 100KW</v>
          </cell>
          <cell r="E399" t="str">
            <v>SHP-100-20-Peak3</v>
          </cell>
          <cell r="F399" t="str">
            <v>MPN (Part #)</v>
          </cell>
          <cell r="G399">
            <v>17598.45</v>
          </cell>
          <cell r="H399">
            <v>15998.550000000001</v>
          </cell>
          <cell r="I399">
            <v>0</v>
          </cell>
          <cell r="J399">
            <v>98</v>
          </cell>
          <cell r="K399">
            <v>77</v>
          </cell>
          <cell r="L399">
            <v>83</v>
          </cell>
          <cell r="M399">
            <v>44.4</v>
          </cell>
          <cell r="N399" t="str">
            <v>2-Krannich</v>
          </cell>
        </row>
        <row r="400">
          <cell r="A400" t="str">
            <v>B0396</v>
          </cell>
          <cell r="B400" t="str">
            <v>Inverters</v>
          </cell>
          <cell r="C400" t="str">
            <v>Fronius</v>
          </cell>
          <cell r="D400" t="str">
            <v>Primo 3.0kW Grid Inverter</v>
          </cell>
          <cell r="E400" t="str">
            <v>Primo 3.0-1</v>
          </cell>
          <cell r="F400" t="str">
            <v>Primo 3.0-1</v>
          </cell>
          <cell r="G400">
            <v>2041.3000000000002</v>
          </cell>
          <cell r="H400">
            <v>1855.7</v>
          </cell>
          <cell r="I400">
            <v>0</v>
          </cell>
          <cell r="J400">
            <v>21.5</v>
          </cell>
          <cell r="K400">
            <v>64.5</v>
          </cell>
          <cell r="L400">
            <v>43.1</v>
          </cell>
          <cell r="M400">
            <v>20.399999999999999</v>
          </cell>
          <cell r="N400" t="str">
            <v>2-Krannich</v>
          </cell>
        </row>
        <row r="401">
          <cell r="A401" t="str">
            <v>B0397</v>
          </cell>
          <cell r="B401" t="str">
            <v>Inverters</v>
          </cell>
          <cell r="C401" t="str">
            <v>Fronius</v>
          </cell>
          <cell r="D401" t="str">
            <v>Primo 3.5KW Grid Inverter</v>
          </cell>
          <cell r="E401" t="str">
            <v>Primo-3.5-1</v>
          </cell>
          <cell r="F401" t="str">
            <v>Primo-3.5-1</v>
          </cell>
          <cell r="G401">
            <v>2198.4500000000003</v>
          </cell>
          <cell r="H401">
            <v>1998.5500000000002</v>
          </cell>
          <cell r="I401">
            <v>0</v>
          </cell>
          <cell r="J401">
            <v>21.5</v>
          </cell>
          <cell r="K401">
            <v>64.5</v>
          </cell>
          <cell r="L401">
            <v>43.1</v>
          </cell>
          <cell r="M401">
            <v>20.399999999999999</v>
          </cell>
          <cell r="N401" t="str">
            <v>2-Krannich</v>
          </cell>
        </row>
        <row r="402">
          <cell r="A402" t="str">
            <v>B0398</v>
          </cell>
          <cell r="B402" t="str">
            <v>Inverters</v>
          </cell>
          <cell r="C402" t="str">
            <v>Fronius</v>
          </cell>
          <cell r="D402" t="str">
            <v>Primo 4.0KW Grid Inverter</v>
          </cell>
          <cell r="E402" t="str">
            <v>Primo-4.0-1</v>
          </cell>
          <cell r="F402" t="str">
            <v>Primo-4.0-1</v>
          </cell>
          <cell r="G402">
            <v>2355.5500000000002</v>
          </cell>
          <cell r="H402">
            <v>2141.4500000000003</v>
          </cell>
          <cell r="I402">
            <v>0</v>
          </cell>
          <cell r="J402">
            <v>21.5</v>
          </cell>
          <cell r="K402">
            <v>64.5</v>
          </cell>
          <cell r="L402">
            <v>43.1</v>
          </cell>
          <cell r="M402">
            <v>20.399999999999999</v>
          </cell>
          <cell r="N402" t="str">
            <v>2-Krannich</v>
          </cell>
        </row>
        <row r="403">
          <cell r="A403" t="str">
            <v>B0399</v>
          </cell>
          <cell r="B403" t="str">
            <v>Inverters</v>
          </cell>
          <cell r="C403" t="str">
            <v>Fronius</v>
          </cell>
          <cell r="D403" t="str">
            <v>Primo 5.0KW Int Grid Inverter</v>
          </cell>
          <cell r="E403" t="str">
            <v>Primo-5.0-1 INT</v>
          </cell>
          <cell r="F403" t="str">
            <v>Primo-5.0-1 INT</v>
          </cell>
          <cell r="G403">
            <v>2669.8500000000004</v>
          </cell>
          <cell r="H403">
            <v>2427.15</v>
          </cell>
          <cell r="I403">
            <v>0</v>
          </cell>
          <cell r="J403">
            <v>21.5</v>
          </cell>
          <cell r="K403">
            <v>64.5</v>
          </cell>
          <cell r="L403">
            <v>43.1</v>
          </cell>
          <cell r="M403">
            <v>20.399999999999999</v>
          </cell>
          <cell r="N403" t="str">
            <v>2-Krannich</v>
          </cell>
        </row>
        <row r="404">
          <cell r="A404" t="str">
            <v>B0400</v>
          </cell>
          <cell r="C404" t="str">
            <v>Fronius</v>
          </cell>
          <cell r="D404" t="str">
            <v>Inverter Fronius Primo 5.0KW 1ph AUS inc WiFi</v>
          </cell>
          <cell r="G404">
            <v>0</v>
          </cell>
          <cell r="H404">
            <v>0</v>
          </cell>
          <cell r="I404">
            <v>0</v>
          </cell>
          <cell r="N404" t="str">
            <v>2-Krannich</v>
          </cell>
        </row>
        <row r="405">
          <cell r="A405" t="str">
            <v>B0401</v>
          </cell>
          <cell r="B405" t="str">
            <v>Inverters</v>
          </cell>
          <cell r="C405" t="str">
            <v>Fronius</v>
          </cell>
          <cell r="D405" t="str">
            <v>Primo 6.0kW Grid Inverter</v>
          </cell>
          <cell r="E405" t="str">
            <v>Primo-6.0-1</v>
          </cell>
          <cell r="F405" t="str">
            <v>Primo-6.0-1</v>
          </cell>
          <cell r="G405">
            <v>2984.15</v>
          </cell>
          <cell r="H405">
            <v>2712.8500000000004</v>
          </cell>
          <cell r="I405">
            <v>0</v>
          </cell>
          <cell r="J405">
            <v>21.5</v>
          </cell>
          <cell r="K405">
            <v>64.5</v>
          </cell>
          <cell r="L405">
            <v>43.1</v>
          </cell>
          <cell r="M405">
            <v>20.399999999999999</v>
          </cell>
          <cell r="N405" t="str">
            <v>2-Krannich</v>
          </cell>
        </row>
        <row r="406">
          <cell r="A406" t="str">
            <v>B0402</v>
          </cell>
          <cell r="B406" t="str">
            <v>Inverters</v>
          </cell>
          <cell r="C406" t="str">
            <v>Fronius</v>
          </cell>
          <cell r="D406" t="str">
            <v>Primo 8.2kW Grid Inverter</v>
          </cell>
          <cell r="E406" t="str">
            <v>Primo-8.2-1</v>
          </cell>
          <cell r="F406" t="str">
            <v>Primo-8.2-1</v>
          </cell>
          <cell r="G406">
            <v>3417.8500000000004</v>
          </cell>
          <cell r="H406">
            <v>3107.15</v>
          </cell>
          <cell r="I406">
            <v>0</v>
          </cell>
          <cell r="J406">
            <v>21.5</v>
          </cell>
          <cell r="K406">
            <v>64.5</v>
          </cell>
          <cell r="L406">
            <v>43.1</v>
          </cell>
          <cell r="M406">
            <v>20.399999999999999</v>
          </cell>
          <cell r="N406" t="str">
            <v>2-Krannich</v>
          </cell>
        </row>
        <row r="407">
          <cell r="A407" t="str">
            <v>B0403</v>
          </cell>
          <cell r="B407" t="str">
            <v>Fuses</v>
          </cell>
          <cell r="C407" t="str">
            <v>Noark</v>
          </cell>
          <cell r="D407" t="str">
            <v>MCB 63A 360V DC 2 Pole</v>
          </cell>
          <cell r="E407">
            <v>84456</v>
          </cell>
          <cell r="F407" t="str">
            <v>MPN (Part #)</v>
          </cell>
          <cell r="G407">
            <v>32.9</v>
          </cell>
          <cell r="H407">
            <v>29.900000000000002</v>
          </cell>
          <cell r="I407">
            <v>6</v>
          </cell>
          <cell r="J407">
            <v>0.25</v>
          </cell>
          <cell r="K407">
            <v>9</v>
          </cell>
          <cell r="L407">
            <v>7.5</v>
          </cell>
          <cell r="M407">
            <v>75</v>
          </cell>
          <cell r="N407" t="str">
            <v>3-Tradezone</v>
          </cell>
        </row>
        <row r="408">
          <cell r="A408" t="str">
            <v>B0404</v>
          </cell>
          <cell r="B408" t="str">
            <v>Battery Accessories</v>
          </cell>
          <cell r="C408" t="str">
            <v>Victron</v>
          </cell>
          <cell r="D408" t="str">
            <v>Battery Protect 12/24V 65A</v>
          </cell>
          <cell r="E408" t="str">
            <v>BPR000065400</v>
          </cell>
          <cell r="F408" t="str">
            <v>MPN (Part #)</v>
          </cell>
          <cell r="G408">
            <v>0</v>
          </cell>
          <cell r="H408">
            <v>0</v>
          </cell>
          <cell r="I408">
            <v>0</v>
          </cell>
          <cell r="J408">
            <v>0.2</v>
          </cell>
          <cell r="K408">
            <v>11</v>
          </cell>
          <cell r="L408">
            <v>5</v>
          </cell>
          <cell r="M408">
            <v>4</v>
          </cell>
          <cell r="N408" t="str">
            <v>1-Victron</v>
          </cell>
        </row>
        <row r="409">
          <cell r="A409" t="str">
            <v>B0405</v>
          </cell>
          <cell r="B409" t="str">
            <v>Battery Accessories</v>
          </cell>
          <cell r="C409" t="str">
            <v>Victron</v>
          </cell>
          <cell r="D409" t="str">
            <v>Battery Protect 12/24V-220A</v>
          </cell>
          <cell r="E409" t="str">
            <v>BPR000220400</v>
          </cell>
          <cell r="F409" t="str">
            <v>MPN (Part #)</v>
          </cell>
          <cell r="G409">
            <v>0</v>
          </cell>
          <cell r="H409">
            <v>0</v>
          </cell>
          <cell r="I409">
            <v>0</v>
          </cell>
          <cell r="J409">
            <v>0.8</v>
          </cell>
          <cell r="K409">
            <v>13</v>
          </cell>
          <cell r="L409">
            <v>12</v>
          </cell>
          <cell r="M409">
            <v>7</v>
          </cell>
          <cell r="N409" t="str">
            <v>1-Victron</v>
          </cell>
        </row>
        <row r="410">
          <cell r="A410" t="str">
            <v>B0406</v>
          </cell>
          <cell r="B410" t="str">
            <v>Control</v>
          </cell>
          <cell r="C410" t="str">
            <v>Victron</v>
          </cell>
          <cell r="D410" t="str">
            <v>VE Bus Smart Dongle Bluetooth</v>
          </cell>
          <cell r="E410" t="str">
            <v>ASS030537010</v>
          </cell>
          <cell r="F410" t="str">
            <v>VE.BUSDongleBT</v>
          </cell>
          <cell r="G410">
            <v>159.4</v>
          </cell>
          <cell r="H410">
            <v>144.9</v>
          </cell>
          <cell r="I410">
            <v>0</v>
          </cell>
          <cell r="J410">
            <v>0.2</v>
          </cell>
          <cell r="K410">
            <v>4</v>
          </cell>
          <cell r="L410">
            <v>8</v>
          </cell>
          <cell r="M410">
            <v>5</v>
          </cell>
          <cell r="N410" t="str">
            <v>1-Victron</v>
          </cell>
        </row>
        <row r="411">
          <cell r="A411" t="str">
            <v>B0407</v>
          </cell>
          <cell r="B411" t="str">
            <v>Control</v>
          </cell>
          <cell r="C411" t="str">
            <v>Victron</v>
          </cell>
          <cell r="D411" t="str">
            <v>Temperature sensor for BMV-702/712</v>
          </cell>
          <cell r="E411" t="str">
            <v>ASS000100000</v>
          </cell>
          <cell r="F411" t="str">
            <v>TempsensBMV</v>
          </cell>
          <cell r="G411">
            <v>53.45</v>
          </cell>
          <cell r="H411">
            <v>48.6</v>
          </cell>
          <cell r="I411">
            <v>0</v>
          </cell>
          <cell r="J411">
            <v>0.3</v>
          </cell>
          <cell r="K411">
            <v>5</v>
          </cell>
          <cell r="L411">
            <v>10</v>
          </cell>
          <cell r="M411">
            <v>2</v>
          </cell>
          <cell r="N411" t="str">
            <v>1-Victron</v>
          </cell>
        </row>
        <row r="412">
          <cell r="A412" t="str">
            <v>B0408</v>
          </cell>
          <cell r="B412" t="str">
            <v>Inverters</v>
          </cell>
          <cell r="C412" t="str">
            <v>SMA</v>
          </cell>
          <cell r="D412" t="str">
            <v>Sunny Tripower Core1 50KW</v>
          </cell>
          <cell r="E412" t="str">
            <v>STP-50-41-Core-1</v>
          </cell>
          <cell r="F412" t="str">
            <v>MPN (Part #)</v>
          </cell>
          <cell r="G412">
            <v>10684.150000000001</v>
          </cell>
          <cell r="H412">
            <v>9712.85</v>
          </cell>
          <cell r="I412">
            <v>0</v>
          </cell>
          <cell r="J412">
            <v>84</v>
          </cell>
          <cell r="K412">
            <v>62.1</v>
          </cell>
          <cell r="L412">
            <v>73.3</v>
          </cell>
          <cell r="M412">
            <v>56.9</v>
          </cell>
          <cell r="N412" t="str">
            <v>2-Krannich</v>
          </cell>
        </row>
        <row r="413">
          <cell r="A413" t="str">
            <v>B0409</v>
          </cell>
          <cell r="B413" t="str">
            <v>Battery Accessories</v>
          </cell>
          <cell r="C413" t="str">
            <v>Victron</v>
          </cell>
          <cell r="D413" t="str">
            <v>Battery Protect 48V-100A</v>
          </cell>
          <cell r="E413" t="str">
            <v>BPR048100400</v>
          </cell>
          <cell r="F413" t="str">
            <v>MPN (Part #)</v>
          </cell>
          <cell r="G413">
            <v>0</v>
          </cell>
          <cell r="H413">
            <v>0</v>
          </cell>
          <cell r="I413">
            <v>0</v>
          </cell>
          <cell r="J413">
            <v>0.8</v>
          </cell>
          <cell r="K413">
            <v>13</v>
          </cell>
          <cell r="L413">
            <v>12</v>
          </cell>
          <cell r="M413">
            <v>7</v>
          </cell>
          <cell r="N413" t="str">
            <v>1-Victron</v>
          </cell>
        </row>
        <row r="414">
          <cell r="A414" t="str">
            <v>B0410</v>
          </cell>
          <cell r="B414" t="str">
            <v>Battery Accessories</v>
          </cell>
          <cell r="C414" t="str">
            <v>Victron</v>
          </cell>
          <cell r="D414" t="str">
            <v>Smart Battery Protect 12/24V-65A</v>
          </cell>
          <cell r="E414" t="str">
            <v>BPR065022000</v>
          </cell>
          <cell r="F414" t="str">
            <v>MPN (Part #)</v>
          </cell>
          <cell r="G414">
            <v>0</v>
          </cell>
          <cell r="H414">
            <v>0</v>
          </cell>
          <cell r="I414">
            <v>0</v>
          </cell>
          <cell r="J414">
            <v>0.2</v>
          </cell>
          <cell r="K414">
            <v>11</v>
          </cell>
          <cell r="L414">
            <v>5</v>
          </cell>
          <cell r="M414">
            <v>4</v>
          </cell>
          <cell r="N414" t="str">
            <v>1-Victron</v>
          </cell>
        </row>
        <row r="415">
          <cell r="A415" t="str">
            <v>B0411</v>
          </cell>
          <cell r="B415" t="str">
            <v>Battery Accessories</v>
          </cell>
          <cell r="C415" t="str">
            <v>Victron</v>
          </cell>
          <cell r="D415" t="str">
            <v>Smart BatteryProtect 12/24V-100A</v>
          </cell>
          <cell r="E415" t="str">
            <v>BPR110022000</v>
          </cell>
          <cell r="F415" t="str">
            <v>MPN (Part #)</v>
          </cell>
          <cell r="G415">
            <v>0</v>
          </cell>
          <cell r="H415">
            <v>0</v>
          </cell>
          <cell r="I415">
            <v>0</v>
          </cell>
          <cell r="J415">
            <v>0.6</v>
          </cell>
          <cell r="K415">
            <v>12</v>
          </cell>
          <cell r="L415">
            <v>6</v>
          </cell>
          <cell r="M415">
            <v>5</v>
          </cell>
          <cell r="N415" t="str">
            <v>1-Victron</v>
          </cell>
        </row>
        <row r="416">
          <cell r="A416" t="str">
            <v>B0412</v>
          </cell>
          <cell r="B416" t="str">
            <v>Battery Accessories</v>
          </cell>
          <cell r="C416" t="str">
            <v>Victron</v>
          </cell>
          <cell r="D416" t="str">
            <v>Smart BatteryProtect 12/24V-220A</v>
          </cell>
          <cell r="E416" t="str">
            <v>BPR122022000</v>
          </cell>
          <cell r="F416" t="str">
            <v>MPN (Part #)</v>
          </cell>
          <cell r="G416">
            <v>0</v>
          </cell>
          <cell r="H416">
            <v>0</v>
          </cell>
          <cell r="I416">
            <v>0</v>
          </cell>
          <cell r="J416">
            <v>0.8</v>
          </cell>
          <cell r="K416">
            <v>13</v>
          </cell>
          <cell r="L416">
            <v>12</v>
          </cell>
          <cell r="M416">
            <v>7</v>
          </cell>
          <cell r="N416" t="str">
            <v>1-Victron</v>
          </cell>
        </row>
        <row r="417">
          <cell r="A417" t="str">
            <v>B0413</v>
          </cell>
          <cell r="C417" t="str">
            <v>Victron</v>
          </cell>
          <cell r="D417" t="str">
            <v>Smart BatteryProtect 48V-100A</v>
          </cell>
          <cell r="E417" t="str">
            <v>BPR110048000</v>
          </cell>
          <cell r="F417" t="str">
            <v>MPN (Part #)</v>
          </cell>
          <cell r="G417">
            <v>0</v>
          </cell>
          <cell r="H417">
            <v>0</v>
          </cell>
          <cell r="I417">
            <v>0</v>
          </cell>
          <cell r="J417">
            <v>0.8</v>
          </cell>
          <cell r="K417">
            <v>13</v>
          </cell>
          <cell r="L417">
            <v>12</v>
          </cell>
          <cell r="M417">
            <v>7</v>
          </cell>
          <cell r="N417" t="str">
            <v>1-Victron</v>
          </cell>
        </row>
        <row r="418">
          <cell r="A418" t="str">
            <v>B0413</v>
          </cell>
          <cell r="B418" t="str">
            <v>Battery Accessories</v>
          </cell>
          <cell r="C418" t="str">
            <v>Victron</v>
          </cell>
          <cell r="D418" t="str">
            <v>Smart BatteryProtect 48V-100A</v>
          </cell>
          <cell r="E418" t="str">
            <v>BPR110048000</v>
          </cell>
          <cell r="F418" t="str">
            <v>MPN (Part #)</v>
          </cell>
          <cell r="G418">
            <v>0</v>
          </cell>
          <cell r="H418">
            <v>0</v>
          </cell>
          <cell r="I418">
            <v>0</v>
          </cell>
          <cell r="J418">
            <v>0.8</v>
          </cell>
          <cell r="K418">
            <v>13</v>
          </cell>
          <cell r="L418">
            <v>12</v>
          </cell>
          <cell r="M418">
            <v>7</v>
          </cell>
          <cell r="N418" t="str">
            <v>1-Victron</v>
          </cell>
        </row>
        <row r="419">
          <cell r="A419" t="str">
            <v>B0414</v>
          </cell>
          <cell r="B419" t="str">
            <v>Control</v>
          </cell>
          <cell r="C419" t="str">
            <v>Victron</v>
          </cell>
          <cell r="D419" t="str">
            <v>VE.Bus BMS (&amp; AC detector)</v>
          </cell>
          <cell r="E419" t="str">
            <v>BMS300200000</v>
          </cell>
          <cell r="F419" t="str">
            <v>MPN (Part #)</v>
          </cell>
          <cell r="G419">
            <v>0</v>
          </cell>
          <cell r="H419">
            <v>0</v>
          </cell>
          <cell r="I419">
            <v>0</v>
          </cell>
          <cell r="J419">
            <v>0.09</v>
          </cell>
          <cell r="K419">
            <v>11</v>
          </cell>
          <cell r="L419">
            <v>8</v>
          </cell>
          <cell r="M419">
            <v>3</v>
          </cell>
          <cell r="N419" t="str">
            <v>1-Victron</v>
          </cell>
        </row>
        <row r="420">
          <cell r="A420" t="str">
            <v>B0415</v>
          </cell>
          <cell r="B420" t="str">
            <v>Inverters</v>
          </cell>
          <cell r="C420" t="str">
            <v>SMA</v>
          </cell>
          <cell r="D420" t="str">
            <v>Sunny Tripower 5.0 KW</v>
          </cell>
          <cell r="E420" t="str">
            <v>STP-5.0-3AV-40</v>
          </cell>
          <cell r="F420" t="str">
            <v>MPN (Part #)</v>
          </cell>
          <cell r="G420">
            <v>2669.8500000000004</v>
          </cell>
          <cell r="H420">
            <v>2427.15</v>
          </cell>
          <cell r="I420">
            <v>0</v>
          </cell>
          <cell r="J420">
            <v>17</v>
          </cell>
          <cell r="K420">
            <v>43.5</v>
          </cell>
          <cell r="L420">
            <v>47</v>
          </cell>
          <cell r="M420">
            <v>17.600000000000001</v>
          </cell>
          <cell r="N420" t="str">
            <v>2-Krannich</v>
          </cell>
        </row>
        <row r="421">
          <cell r="A421" t="str">
            <v>B0416</v>
          </cell>
          <cell r="B421" t="str">
            <v>Inverters</v>
          </cell>
          <cell r="C421" t="str">
            <v>SMA</v>
          </cell>
          <cell r="D421" t="str">
            <v>Sunny Tripower 6.0 KW</v>
          </cell>
          <cell r="E421" t="str">
            <v>STP-6.0-3AV-40</v>
          </cell>
          <cell r="F421" t="str">
            <v>MPN (Part #)</v>
          </cell>
          <cell r="G421">
            <v>2984.15</v>
          </cell>
          <cell r="H421">
            <v>2712.8500000000004</v>
          </cell>
          <cell r="I421">
            <v>0</v>
          </cell>
          <cell r="J421">
            <v>17</v>
          </cell>
          <cell r="K421">
            <v>43.5</v>
          </cell>
          <cell r="L421">
            <v>47</v>
          </cell>
          <cell r="M421">
            <v>17.600000000000001</v>
          </cell>
          <cell r="N421" t="str">
            <v>2-Krannich</v>
          </cell>
        </row>
        <row r="422">
          <cell r="A422" t="str">
            <v>B0417</v>
          </cell>
          <cell r="B422" t="str">
            <v>Inverters</v>
          </cell>
          <cell r="C422" t="str">
            <v>SMA</v>
          </cell>
          <cell r="D422" t="str">
            <v>Sunny Highpower Peak3 150KW</v>
          </cell>
          <cell r="E422" t="str">
            <v>SHP-150-20-Peak3</v>
          </cell>
          <cell r="F422" t="str">
            <v>MPN (Part #)</v>
          </cell>
          <cell r="G422">
            <v>19171.45</v>
          </cell>
          <cell r="H422">
            <v>17428.55</v>
          </cell>
          <cell r="I422">
            <v>0</v>
          </cell>
          <cell r="J422">
            <v>98</v>
          </cell>
          <cell r="K422">
            <v>77</v>
          </cell>
          <cell r="L422">
            <v>83</v>
          </cell>
          <cell r="M422">
            <v>44.4</v>
          </cell>
          <cell r="N422" t="str">
            <v>2-Krannich</v>
          </cell>
        </row>
        <row r="423">
          <cell r="A423" t="str">
            <v>B0418</v>
          </cell>
          <cell r="B423" t="str">
            <v>Solar Controllers</v>
          </cell>
          <cell r="C423" t="str">
            <v>Victron</v>
          </cell>
          <cell r="D423" t="str">
            <v>SmartSolar MPPT 100/20-48V</v>
          </cell>
          <cell r="E423" t="str">
            <v>SCC110020160R</v>
          </cell>
          <cell r="F423" t="str">
            <v>MPPT-100/20-48</v>
          </cell>
          <cell r="G423">
            <v>151.45000000000002</v>
          </cell>
          <cell r="H423">
            <v>137.70000000000002</v>
          </cell>
          <cell r="I423">
            <v>0</v>
          </cell>
          <cell r="J423">
            <v>0.7</v>
          </cell>
          <cell r="K423">
            <v>11.3</v>
          </cell>
          <cell r="L423">
            <v>10</v>
          </cell>
          <cell r="M423">
            <v>5</v>
          </cell>
          <cell r="N423" t="str">
            <v>1-Victron</v>
          </cell>
        </row>
        <row r="424">
          <cell r="A424" t="str">
            <v>B0419</v>
          </cell>
          <cell r="B424" t="str">
            <v>Inverters</v>
          </cell>
          <cell r="C424" t="str">
            <v>SMA</v>
          </cell>
          <cell r="D424" t="str">
            <v>Sunny Tripower 3.0 KW</v>
          </cell>
          <cell r="E424" t="str">
            <v>STP-3.0-3AV-40</v>
          </cell>
          <cell r="F424" t="str">
            <v>MPN (Part #)</v>
          </cell>
          <cell r="G424">
            <v>2475</v>
          </cell>
          <cell r="H424">
            <v>2250</v>
          </cell>
          <cell r="I424">
            <v>0</v>
          </cell>
          <cell r="J424">
            <v>17</v>
          </cell>
          <cell r="K424">
            <v>43.5</v>
          </cell>
          <cell r="L424">
            <v>47</v>
          </cell>
          <cell r="M424">
            <v>17.600000000000001</v>
          </cell>
          <cell r="N424" t="str">
            <v>2-Krannich</v>
          </cell>
        </row>
        <row r="425">
          <cell r="A425" t="str">
            <v>B0420</v>
          </cell>
          <cell r="B425" t="str">
            <v>Inverters</v>
          </cell>
          <cell r="C425" t="str">
            <v>SMA</v>
          </cell>
          <cell r="D425" t="str">
            <v>Sunny Tripower 4.0 KW</v>
          </cell>
          <cell r="E425" t="str">
            <v>STP-4.0-3AV-40</v>
          </cell>
          <cell r="F425" t="str">
            <v>MPN (Part #)</v>
          </cell>
          <cell r="G425">
            <v>2632.15</v>
          </cell>
          <cell r="H425">
            <v>2392.85</v>
          </cell>
          <cell r="I425">
            <v>0</v>
          </cell>
          <cell r="J425">
            <v>17</v>
          </cell>
          <cell r="K425">
            <v>43.5</v>
          </cell>
          <cell r="L425">
            <v>47</v>
          </cell>
          <cell r="M425">
            <v>17.600000000000001</v>
          </cell>
          <cell r="N425" t="str">
            <v>2-Krannich</v>
          </cell>
        </row>
        <row r="426">
          <cell r="A426" t="str">
            <v>B0421</v>
          </cell>
          <cell r="B426" t="str">
            <v>Inverters</v>
          </cell>
          <cell r="C426" t="str">
            <v>SMA</v>
          </cell>
          <cell r="D426" t="str">
            <v>Sunny Tripower 8.0 KW</v>
          </cell>
          <cell r="E426" t="str">
            <v>STP-8.0-3AV-40</v>
          </cell>
          <cell r="F426" t="str">
            <v>MPN (Part #)</v>
          </cell>
          <cell r="G426">
            <v>3612.7000000000003</v>
          </cell>
          <cell r="H426">
            <v>3284.3</v>
          </cell>
          <cell r="I426">
            <v>0</v>
          </cell>
          <cell r="J426">
            <v>20.5</v>
          </cell>
          <cell r="K426">
            <v>46</v>
          </cell>
          <cell r="L426">
            <v>49.7</v>
          </cell>
          <cell r="M426">
            <v>17.600000000000001</v>
          </cell>
          <cell r="N426" t="str">
            <v>2-Krannich</v>
          </cell>
        </row>
        <row r="427">
          <cell r="A427" t="str">
            <v>B0422</v>
          </cell>
          <cell r="B427" t="str">
            <v>Control</v>
          </cell>
          <cell r="C427" t="str">
            <v>Victron</v>
          </cell>
          <cell r="D427" t="str">
            <v>Temperature sensor for Venus GX</v>
          </cell>
          <cell r="E427" t="str">
            <v>ASS000001000</v>
          </cell>
          <cell r="F427" t="str">
            <v>ASS000001000</v>
          </cell>
          <cell r="G427">
            <v>34.65</v>
          </cell>
          <cell r="H427">
            <v>31.5</v>
          </cell>
          <cell r="I427">
            <v>0</v>
          </cell>
          <cell r="J427">
            <v>0.1</v>
          </cell>
          <cell r="K427">
            <v>10</v>
          </cell>
          <cell r="L427">
            <v>3</v>
          </cell>
          <cell r="M427">
            <v>2</v>
          </cell>
          <cell r="N427" t="str">
            <v>1-Victron</v>
          </cell>
        </row>
        <row r="428">
          <cell r="A428" t="str">
            <v>B0423</v>
          </cell>
          <cell r="B428" t="str">
            <v>Inverters</v>
          </cell>
          <cell r="C428" t="str">
            <v>SMA</v>
          </cell>
          <cell r="D428" t="str">
            <v>Sunny Tripower 10.0 KW</v>
          </cell>
          <cell r="E428" t="str">
            <v>STP-10.0-3AV-40</v>
          </cell>
          <cell r="F428" t="str">
            <v>MPN (Part #)</v>
          </cell>
          <cell r="G428">
            <v>4084.15</v>
          </cell>
          <cell r="H428">
            <v>3712.8500000000004</v>
          </cell>
          <cell r="I428">
            <v>0</v>
          </cell>
          <cell r="J428">
            <v>20.5</v>
          </cell>
          <cell r="K428">
            <v>46</v>
          </cell>
          <cell r="L428">
            <v>49.7</v>
          </cell>
          <cell r="M428">
            <v>17.600000000000001</v>
          </cell>
          <cell r="N428" t="str">
            <v>2-Krannich</v>
          </cell>
        </row>
        <row r="429">
          <cell r="A429" t="str">
            <v>B0425</v>
          </cell>
          <cell r="D429" t="str">
            <v>Solar Panel Trina 280W Poly</v>
          </cell>
          <cell r="G429">
            <v>0</v>
          </cell>
          <cell r="H429">
            <v>0</v>
          </cell>
          <cell r="I429">
            <v>0</v>
          </cell>
          <cell r="N429" t="str">
            <v>2-Krannich</v>
          </cell>
        </row>
        <row r="430">
          <cell r="A430" t="str">
            <v>B0427</v>
          </cell>
          <cell r="B430" t="str">
            <v>Control</v>
          </cell>
          <cell r="C430" t="str">
            <v>VICTRON</v>
          </cell>
          <cell r="D430" t="str">
            <v>Battery monitor BMV 700 - Grey</v>
          </cell>
          <cell r="E430" t="str">
            <v>BAM010700000R</v>
          </cell>
          <cell r="F430" t="str">
            <v>BMV 700</v>
          </cell>
          <cell r="G430">
            <v>231.65</v>
          </cell>
          <cell r="H430">
            <v>210.60000000000002</v>
          </cell>
          <cell r="I430">
            <v>0</v>
          </cell>
          <cell r="J430">
            <v>0.3</v>
          </cell>
          <cell r="K430">
            <v>6.5</v>
          </cell>
          <cell r="L430">
            <v>6.5</v>
          </cell>
          <cell r="M430">
            <v>3</v>
          </cell>
          <cell r="N430" t="str">
            <v>1-Victron</v>
          </cell>
        </row>
        <row r="431">
          <cell r="A431" t="str">
            <v>B0428</v>
          </cell>
          <cell r="B431" t="str">
            <v>Inverters</v>
          </cell>
          <cell r="C431" t="str">
            <v>ABB</v>
          </cell>
          <cell r="D431" t="str">
            <v>Uno 4KW 1ph</v>
          </cell>
          <cell r="E431" t="str">
            <v>UNO-DM-4.0-TL</v>
          </cell>
          <cell r="F431" t="str">
            <v>MPN (Part #)</v>
          </cell>
          <cell r="G431">
            <v>0</v>
          </cell>
          <cell r="H431">
            <v>0</v>
          </cell>
          <cell r="I431">
            <v>0</v>
          </cell>
          <cell r="J431">
            <v>15</v>
          </cell>
          <cell r="K431">
            <v>55.3</v>
          </cell>
          <cell r="L431">
            <v>41.8</v>
          </cell>
          <cell r="M431">
            <v>17.5</v>
          </cell>
          <cell r="N431" t="str">
            <v>9-SolarJuice</v>
          </cell>
        </row>
        <row r="432">
          <cell r="A432" t="str">
            <v>B0429</v>
          </cell>
          <cell r="B432" t="str">
            <v>Inverters</v>
          </cell>
          <cell r="C432" t="str">
            <v>ABB</v>
          </cell>
          <cell r="D432" t="str">
            <v>Uno 4.6KW 1ph</v>
          </cell>
          <cell r="E432" t="str">
            <v>UNO-DM-4.6-TL</v>
          </cell>
          <cell r="F432" t="str">
            <v>MPN (Part #)</v>
          </cell>
          <cell r="G432">
            <v>0</v>
          </cell>
          <cell r="H432">
            <v>0</v>
          </cell>
          <cell r="I432">
            <v>0</v>
          </cell>
          <cell r="J432">
            <v>15</v>
          </cell>
          <cell r="K432">
            <v>55.3</v>
          </cell>
          <cell r="L432">
            <v>41.8</v>
          </cell>
          <cell r="M432">
            <v>17.5</v>
          </cell>
          <cell r="N432" t="str">
            <v>9-SolarJuice</v>
          </cell>
        </row>
        <row r="433">
          <cell r="A433" t="str">
            <v>B0430</v>
          </cell>
          <cell r="B433" t="str">
            <v>Chargers</v>
          </cell>
          <cell r="C433" t="str">
            <v>Victron</v>
          </cell>
          <cell r="D433" t="str">
            <v>VICTRON Centaur IP20 Battery Charger 12/100 (3)</v>
          </cell>
          <cell r="E433" t="str">
            <v>CCH012100000</v>
          </cell>
          <cell r="F433" t="str">
            <v>CCH012100000</v>
          </cell>
          <cell r="G433">
            <v>0</v>
          </cell>
          <cell r="H433">
            <v>0</v>
          </cell>
          <cell r="I433">
            <v>0</v>
          </cell>
          <cell r="J433">
            <v>12</v>
          </cell>
          <cell r="K433">
            <v>50.5</v>
          </cell>
          <cell r="L433">
            <v>25.5</v>
          </cell>
          <cell r="M433">
            <v>13</v>
          </cell>
          <cell r="N433" t="str">
            <v>1-Victron</v>
          </cell>
        </row>
        <row r="434">
          <cell r="A434" t="str">
            <v>B0431</v>
          </cell>
          <cell r="B434" t="str">
            <v>DC-DC Converters</v>
          </cell>
          <cell r="C434" t="str">
            <v>Victron</v>
          </cell>
          <cell r="D434" t="str">
            <v>VICTRON Orion-Tr 24/12-10 (120W) DC-DC Converter</v>
          </cell>
          <cell r="E434" t="str">
            <v>ORI241210200R</v>
          </cell>
          <cell r="F434" t="str">
            <v>ORI241210200R</v>
          </cell>
          <cell r="G434">
            <v>0</v>
          </cell>
          <cell r="H434">
            <v>0</v>
          </cell>
          <cell r="I434">
            <v>0</v>
          </cell>
          <cell r="J434">
            <v>0.2</v>
          </cell>
          <cell r="K434">
            <v>0.73</v>
          </cell>
          <cell r="L434">
            <v>0.94</v>
          </cell>
          <cell r="M434">
            <v>0.37</v>
          </cell>
          <cell r="N434" t="str">
            <v>1-Victron</v>
          </cell>
        </row>
        <row r="435">
          <cell r="A435" t="str">
            <v>B0432</v>
          </cell>
          <cell r="D435" t="str">
            <v>Post Power Distribution 5/16in Blue Sea</v>
          </cell>
          <cell r="G435">
            <v>0</v>
          </cell>
          <cell r="H435">
            <v>0</v>
          </cell>
          <cell r="I435">
            <v>0</v>
          </cell>
          <cell r="N435" t="str">
            <v/>
          </cell>
        </row>
        <row r="436">
          <cell r="A436" t="str">
            <v>B0433</v>
          </cell>
          <cell r="B436" t="str">
            <v>DC Bus</v>
          </cell>
          <cell r="C436" t="str">
            <v>Adafruit</v>
          </cell>
          <cell r="D436" t="str">
            <v>Busbar 7 WAY DC 6mm2 White Insul. Mount</v>
          </cell>
          <cell r="E436" t="str">
            <v>ADA737</v>
          </cell>
          <cell r="F436" t="str">
            <v>MPN (Part #)</v>
          </cell>
          <cell r="G436">
            <v>6.45</v>
          </cell>
          <cell r="H436">
            <v>5.8500000000000005</v>
          </cell>
          <cell r="I436">
            <v>0</v>
          </cell>
          <cell r="N436" t="str">
            <v>6-Various</v>
          </cell>
        </row>
        <row r="437">
          <cell r="A437" t="str">
            <v>B0434</v>
          </cell>
          <cell r="B437" t="str">
            <v>Control</v>
          </cell>
          <cell r="C437" t="str">
            <v>VICTRON</v>
          </cell>
          <cell r="D437" t="str">
            <v>Battery monitor BMV 712 Smart - Grey</v>
          </cell>
          <cell r="E437" t="str">
            <v>BAM030712000R</v>
          </cell>
          <cell r="F437" t="str">
            <v>BMV 712</v>
          </cell>
          <cell r="G437">
            <v>283.15000000000003</v>
          </cell>
          <cell r="H437">
            <v>257.40000000000003</v>
          </cell>
          <cell r="I437">
            <v>0</v>
          </cell>
          <cell r="J437">
            <v>0.3</v>
          </cell>
          <cell r="K437">
            <v>6.5</v>
          </cell>
          <cell r="L437">
            <v>6.5</v>
          </cell>
          <cell r="M437">
            <v>3</v>
          </cell>
          <cell r="N437" t="str">
            <v>1-Victron</v>
          </cell>
        </row>
        <row r="438">
          <cell r="A438" t="str">
            <v>B0435</v>
          </cell>
          <cell r="B438" t="str">
            <v>DC Bus</v>
          </cell>
          <cell r="C438" t="str">
            <v>Techbrands</v>
          </cell>
          <cell r="D438" t="str">
            <v>Busbar 8 WAY DC 4mm2 Blue Mounts</v>
          </cell>
          <cell r="E438" t="str">
            <v>SZ2003</v>
          </cell>
          <cell r="F438" t="str">
            <v>MPN (Part #)</v>
          </cell>
          <cell r="G438">
            <v>6.3500000000000005</v>
          </cell>
          <cell r="H438">
            <v>5.75</v>
          </cell>
          <cell r="I438">
            <v>0</v>
          </cell>
          <cell r="N438" t="str">
            <v>6-Various</v>
          </cell>
        </row>
        <row r="439">
          <cell r="A439" t="str">
            <v>B0436</v>
          </cell>
          <cell r="B439" t="str">
            <v>Inverter-Chargers</v>
          </cell>
          <cell r="C439" t="str">
            <v>VICTRON</v>
          </cell>
          <cell r="D439" t="str">
            <v>Current Transformer for Multiplus II</v>
          </cell>
          <cell r="E439" t="str">
            <v>CTR110000500</v>
          </cell>
          <cell r="F439" t="str">
            <v>MuliPlusII CT</v>
          </cell>
          <cell r="G439">
            <v>62.35</v>
          </cell>
          <cell r="H439">
            <v>56.7</v>
          </cell>
          <cell r="I439">
            <v>0</v>
          </cell>
          <cell r="J439">
            <v>0.1</v>
          </cell>
          <cell r="K439">
            <v>8</v>
          </cell>
          <cell r="L439">
            <v>4</v>
          </cell>
          <cell r="M439">
            <v>3</v>
          </cell>
          <cell r="N439" t="str">
            <v>1-Victron</v>
          </cell>
        </row>
        <row r="440">
          <cell r="A440" t="str">
            <v>B0437</v>
          </cell>
          <cell r="D440" t="str">
            <v>Temperature Sensor Plasmatronics PLT</v>
          </cell>
          <cell r="E440" t="str">
            <v>PLT</v>
          </cell>
          <cell r="F440" t="str">
            <v>MPN (Part #)</v>
          </cell>
          <cell r="G440">
            <v>40.700000000000003</v>
          </cell>
          <cell r="H440">
            <v>37</v>
          </cell>
          <cell r="I440">
            <v>0</v>
          </cell>
          <cell r="N440" t="str">
            <v>4-Plasmatronics</v>
          </cell>
        </row>
        <row r="441">
          <cell r="A441" t="str">
            <v>B0438</v>
          </cell>
          <cell r="B441" t="str">
            <v>Enclosures</v>
          </cell>
          <cell r="C441" t="str">
            <v>IP Enclosures</v>
          </cell>
          <cell r="D441" t="str">
            <v>Bracket Kit for IP Enclosures Wall Mtg</v>
          </cell>
          <cell r="E441" t="str">
            <v>IPWMBKIT</v>
          </cell>
          <cell r="F441" t="str">
            <v>MPN (Part #)</v>
          </cell>
          <cell r="G441">
            <v>11.25</v>
          </cell>
          <cell r="H441">
            <v>10.200000000000001</v>
          </cell>
          <cell r="I441">
            <v>0</v>
          </cell>
          <cell r="N441" t="str">
            <v>3-Tradezone</v>
          </cell>
        </row>
        <row r="442">
          <cell r="A442" t="str">
            <v>B0439</v>
          </cell>
          <cell r="B442" t="str">
            <v>Electrical</v>
          </cell>
          <cell r="C442" t="str">
            <v>Wattmaster</v>
          </cell>
          <cell r="D442" t="str">
            <v>Cable Lug 6mm2 x 6mm Hole Copper</v>
          </cell>
          <cell r="E442" t="str">
            <v>ALCL6M6/50</v>
          </cell>
          <cell r="F442" t="str">
            <v>MPN (Part #)</v>
          </cell>
          <cell r="G442">
            <v>0.4</v>
          </cell>
          <cell r="H442">
            <v>0.35000000000000003</v>
          </cell>
          <cell r="I442">
            <v>0</v>
          </cell>
          <cell r="N442" t="str">
            <v>3-Tradezone</v>
          </cell>
        </row>
        <row r="443">
          <cell r="A443" t="str">
            <v>B0440</v>
          </cell>
          <cell r="B443" t="str">
            <v>Signage &amp; Labels</v>
          </cell>
          <cell r="C443" t="str">
            <v>Avery</v>
          </cell>
          <cell r="D443" t="str">
            <v>Label Adhesive A4 Clear 1/page (Avery #L7567)</v>
          </cell>
          <cell r="E443" t="str">
            <v>L7567</v>
          </cell>
          <cell r="F443" t="str">
            <v>MPN (Part #)</v>
          </cell>
          <cell r="G443">
            <v>1.9500000000000002</v>
          </cell>
          <cell r="H443">
            <v>1.75</v>
          </cell>
          <cell r="I443">
            <v>0</v>
          </cell>
          <cell r="N443" t="str">
            <v>6-Various</v>
          </cell>
        </row>
        <row r="444">
          <cell r="A444" t="str">
            <v>B0441</v>
          </cell>
          <cell r="B444" t="str">
            <v>Signage &amp; Labels</v>
          </cell>
          <cell r="C444" t="str">
            <v>Avery</v>
          </cell>
          <cell r="D444" t="str">
            <v>Label Adhesive A4 White 1/page (Avery #PVC White)</v>
          </cell>
          <cell r="F444" t="str">
            <v>MPN (Part #)</v>
          </cell>
          <cell r="G444">
            <v>0</v>
          </cell>
          <cell r="H444">
            <v>0</v>
          </cell>
          <cell r="I444">
            <v>0</v>
          </cell>
          <cell r="N444" t="str">
            <v>6-Various</v>
          </cell>
        </row>
        <row r="445">
          <cell r="A445" t="str">
            <v>B0442</v>
          </cell>
          <cell r="D445" t="str">
            <v>Enclosure MCB 6 Pole Legrand (Plexo3: #601976)</v>
          </cell>
          <cell r="F445" t="str">
            <v>MPN (Part #)</v>
          </cell>
          <cell r="G445">
            <v>0</v>
          </cell>
          <cell r="H445">
            <v>0</v>
          </cell>
          <cell r="I445">
            <v>0</v>
          </cell>
          <cell r="N445" t="str">
            <v/>
          </cell>
        </row>
        <row r="446">
          <cell r="A446" t="str">
            <v>B0443</v>
          </cell>
          <cell r="D446" t="str">
            <v>MCB 3 Pole 63A (ABB: S203)</v>
          </cell>
          <cell r="F446" t="str">
            <v>MPN (Part #)</v>
          </cell>
          <cell r="G446">
            <v>0</v>
          </cell>
          <cell r="H446">
            <v>0</v>
          </cell>
          <cell r="I446">
            <v>0</v>
          </cell>
          <cell r="N446" t="str">
            <v/>
          </cell>
        </row>
        <row r="447">
          <cell r="A447" t="str">
            <v>B0444</v>
          </cell>
          <cell r="D447" t="str">
            <v>Conduit Entry M32 PVC Grey</v>
          </cell>
          <cell r="E447" t="str">
            <v>263/32GY</v>
          </cell>
          <cell r="F447" t="str">
            <v>MPN (Part #)</v>
          </cell>
          <cell r="G447">
            <v>1.3</v>
          </cell>
          <cell r="H447">
            <v>1.1500000000000001</v>
          </cell>
          <cell r="I447">
            <v>0</v>
          </cell>
          <cell r="N447" t="str">
            <v>3-Tradezone</v>
          </cell>
        </row>
        <row r="448">
          <cell r="A448" t="str">
            <v>B0445</v>
          </cell>
          <cell r="D448" t="str">
            <v>Conduit Electrical Medium Duty 32mm Grey</v>
          </cell>
          <cell r="F448" t="str">
            <v>MPN (Part #)</v>
          </cell>
          <cell r="G448">
            <v>0</v>
          </cell>
          <cell r="H448">
            <v>0</v>
          </cell>
          <cell r="I448">
            <v>0</v>
          </cell>
          <cell r="N448" t="str">
            <v/>
          </cell>
        </row>
        <row r="449">
          <cell r="A449" t="str">
            <v>B0446</v>
          </cell>
          <cell r="B449" t="str">
            <v>Fuses</v>
          </cell>
          <cell r="C449" t="str">
            <v>RSPro</v>
          </cell>
          <cell r="D449" t="str">
            <v>Fuse 3AG Type 1 Amp</v>
          </cell>
          <cell r="E449" t="str">
            <v>Fuse-3AG-1A</v>
          </cell>
          <cell r="F449" t="str">
            <v>MPN (Part #)</v>
          </cell>
          <cell r="G449">
            <v>0.60000000000000009</v>
          </cell>
          <cell r="H449">
            <v>0.55000000000000004</v>
          </cell>
          <cell r="I449">
            <v>0</v>
          </cell>
          <cell r="N449" t="str">
            <v>6-Various</v>
          </cell>
        </row>
        <row r="450">
          <cell r="A450" t="str">
            <v>B0447</v>
          </cell>
          <cell r="B450" t="str">
            <v>Fuses</v>
          </cell>
          <cell r="C450" t="str">
            <v>RSPro</v>
          </cell>
          <cell r="D450" t="str">
            <v>Fuse Holder 3AG Type</v>
          </cell>
          <cell r="E450" t="str">
            <v>Fhold-3AG</v>
          </cell>
          <cell r="F450" t="str">
            <v>MPN (Part #)</v>
          </cell>
          <cell r="G450">
            <v>2.7</v>
          </cell>
          <cell r="H450">
            <v>2.4500000000000002</v>
          </cell>
          <cell r="I450">
            <v>0</v>
          </cell>
          <cell r="N450" t="str">
            <v>6-Various</v>
          </cell>
        </row>
        <row r="451">
          <cell r="A451" t="str">
            <v>B0448</v>
          </cell>
          <cell r="B451" t="str">
            <v>Monitoring</v>
          </cell>
          <cell r="C451" t="str">
            <v>Kemet</v>
          </cell>
          <cell r="D451" t="str">
            <v>Switch Thermostatic, 50DegC N/O (Kemet OHD3-50M)</v>
          </cell>
          <cell r="E451" t="str">
            <v>OHD3-50M</v>
          </cell>
          <cell r="F451" t="str">
            <v>MPN (Part #)</v>
          </cell>
          <cell r="G451">
            <v>20.8</v>
          </cell>
          <cell r="H451">
            <v>18.900000000000002</v>
          </cell>
          <cell r="I451">
            <v>0</v>
          </cell>
          <cell r="N451" t="str">
            <v>6-Various</v>
          </cell>
        </row>
        <row r="452">
          <cell r="A452" t="str">
            <v>B0449</v>
          </cell>
          <cell r="D452" t="str">
            <v>Ring Binder A5 25mm Black (AJ Burrows)</v>
          </cell>
          <cell r="F452" t="str">
            <v>MPN (Part #)</v>
          </cell>
          <cell r="G452">
            <v>0</v>
          </cell>
          <cell r="H452">
            <v>0</v>
          </cell>
          <cell r="I452">
            <v>0</v>
          </cell>
          <cell r="N452" t="str">
            <v/>
          </cell>
        </row>
        <row r="453">
          <cell r="A453" t="str">
            <v>B0450</v>
          </cell>
          <cell r="D453" t="str">
            <v>Cable Tie 200X4.6mm Black</v>
          </cell>
          <cell r="F453" t="str">
            <v>MPN (Part #)</v>
          </cell>
          <cell r="G453">
            <v>0</v>
          </cell>
          <cell r="H453">
            <v>0</v>
          </cell>
          <cell r="I453">
            <v>0</v>
          </cell>
          <cell r="N453" t="str">
            <v/>
          </cell>
        </row>
        <row r="454">
          <cell r="A454" t="str">
            <v>B0451</v>
          </cell>
          <cell r="B454" t="str">
            <v>Enclosures</v>
          </cell>
          <cell r="C454" t="str">
            <v>Goliath</v>
          </cell>
          <cell r="D454" t="str">
            <v>Rubber Buffer DIA60x25mm Black</v>
          </cell>
          <cell r="E454">
            <v>9106</v>
          </cell>
          <cell r="F454" t="str">
            <v>MPN (Part #)</v>
          </cell>
          <cell r="G454">
            <v>6.45</v>
          </cell>
          <cell r="H454">
            <v>5.9</v>
          </cell>
          <cell r="I454">
            <v>0</v>
          </cell>
          <cell r="N454" t="str">
            <v>6-Various</v>
          </cell>
        </row>
        <row r="455">
          <cell r="A455" t="str">
            <v>B0452</v>
          </cell>
          <cell r="B455" t="str">
            <v>Monitoring</v>
          </cell>
          <cell r="C455" t="str">
            <v>Multicomp</v>
          </cell>
          <cell r="D455" t="str">
            <v xml:space="preserve">Buzzer DIA25mm 5-25V </v>
          </cell>
          <cell r="E455" t="str">
            <v>MCABI-047-RC</v>
          </cell>
          <cell r="F455" t="str">
            <v>MPN (Part #)</v>
          </cell>
          <cell r="G455">
            <v>23.35</v>
          </cell>
          <cell r="H455">
            <v>21.25</v>
          </cell>
          <cell r="I455">
            <v>0</v>
          </cell>
          <cell r="N455" t="str">
            <v>6-Various</v>
          </cell>
        </row>
        <row r="456">
          <cell r="A456" t="str">
            <v>B0453</v>
          </cell>
          <cell r="B456" t="str">
            <v>Inverters</v>
          </cell>
          <cell r="C456" t="str">
            <v>Redback</v>
          </cell>
          <cell r="D456" t="str">
            <v>SH5000 Hybrid Solar-Battery Inverter-charger</v>
          </cell>
          <cell r="E456" t="str">
            <v>SH5000</v>
          </cell>
          <cell r="F456" t="str">
            <v>SH5000</v>
          </cell>
          <cell r="G456">
            <v>0</v>
          </cell>
          <cell r="H456">
            <v>0</v>
          </cell>
          <cell r="I456">
            <v>0</v>
          </cell>
          <cell r="J456">
            <v>44</v>
          </cell>
          <cell r="K456">
            <v>83.2</v>
          </cell>
          <cell r="L456">
            <v>51.6</v>
          </cell>
          <cell r="M456">
            <v>29</v>
          </cell>
          <cell r="N456" t="str">
            <v/>
          </cell>
        </row>
        <row r="457">
          <cell r="A457" t="str">
            <v>B0454</v>
          </cell>
          <cell r="B457" t="str">
            <v>Enclosures</v>
          </cell>
          <cell r="C457" t="str">
            <v>IP Enclosures</v>
          </cell>
          <cell r="D457" t="str">
            <v>Enclosure 700H x 500W x 250D Steel Powdercoated</v>
          </cell>
          <cell r="E457" t="str">
            <v>IP705025</v>
          </cell>
          <cell r="F457" t="str">
            <v>MPN (Part #)</v>
          </cell>
          <cell r="G457">
            <v>343.85</v>
          </cell>
          <cell r="H457">
            <v>312.60000000000002</v>
          </cell>
          <cell r="I457">
            <v>0</v>
          </cell>
          <cell r="N457" t="str">
            <v>3-Tradezone</v>
          </cell>
        </row>
        <row r="458">
          <cell r="A458" t="str">
            <v>B0455</v>
          </cell>
          <cell r="B458" t="str">
            <v>Enclosures</v>
          </cell>
          <cell r="C458" t="str">
            <v>IP Enclosures</v>
          </cell>
          <cell r="D458" t="str">
            <v>Enclosure 600H x 400W x 250D Steel Powdercoated</v>
          </cell>
          <cell r="E458" t="str">
            <v>IP604025</v>
          </cell>
          <cell r="F458" t="str">
            <v>MPN (Part #)</v>
          </cell>
          <cell r="G458">
            <v>259.40000000000003</v>
          </cell>
          <cell r="H458">
            <v>235.8</v>
          </cell>
          <cell r="I458">
            <v>0</v>
          </cell>
          <cell r="N458" t="str">
            <v>3-Tradezone</v>
          </cell>
        </row>
        <row r="459">
          <cell r="A459" t="str">
            <v>B0456</v>
          </cell>
          <cell r="B459" t="str">
            <v>Batteries</v>
          </cell>
          <cell r="C459" t="str">
            <v>LG</v>
          </cell>
          <cell r="D459" t="str">
            <v>LG Chem RESU 6.5KWh 48V Lithium Battery</v>
          </cell>
          <cell r="E459" t="str">
            <v>RESU6.5</v>
          </cell>
          <cell r="F459" t="str">
            <v>RESU6.5</v>
          </cell>
          <cell r="G459">
            <v>6598.4500000000007</v>
          </cell>
          <cell r="H459">
            <v>5998.55</v>
          </cell>
          <cell r="I459">
            <v>0</v>
          </cell>
          <cell r="J459">
            <v>52</v>
          </cell>
          <cell r="K459">
            <v>45.2</v>
          </cell>
          <cell r="L459">
            <v>65.599999999999994</v>
          </cell>
          <cell r="M459">
            <v>12</v>
          </cell>
          <cell r="N459" t="str">
            <v>2-Krannich</v>
          </cell>
        </row>
        <row r="460">
          <cell r="A460" t="str">
            <v>B0457</v>
          </cell>
          <cell r="B460" t="str">
            <v>Batteries</v>
          </cell>
          <cell r="C460" t="str">
            <v>LG</v>
          </cell>
          <cell r="D460" t="str">
            <v>LG Chem RESU 10KWh 48V Lithium Battery</v>
          </cell>
          <cell r="E460" t="str">
            <v>RESU10</v>
          </cell>
          <cell r="F460" t="str">
            <v>RESU10</v>
          </cell>
          <cell r="G460">
            <v>9192.85</v>
          </cell>
          <cell r="H460">
            <v>8357.15</v>
          </cell>
          <cell r="I460">
            <v>0</v>
          </cell>
          <cell r="J460">
            <v>75</v>
          </cell>
          <cell r="K460">
            <v>45.5</v>
          </cell>
          <cell r="L460">
            <v>48.4</v>
          </cell>
          <cell r="M460">
            <v>22.7</v>
          </cell>
          <cell r="N460" t="str">
            <v>2-Krannich</v>
          </cell>
        </row>
        <row r="461">
          <cell r="A461" t="str">
            <v>B0458</v>
          </cell>
          <cell r="B461" t="str">
            <v>Batteries</v>
          </cell>
          <cell r="C461" t="str">
            <v>LG</v>
          </cell>
          <cell r="D461" t="str">
            <v>LG Chem RESU 13KWh 48V Lithium Battery</v>
          </cell>
          <cell r="E461" t="str">
            <v>RESU13</v>
          </cell>
          <cell r="F461" t="str">
            <v>RESU13</v>
          </cell>
          <cell r="G461">
            <v>11784.150000000001</v>
          </cell>
          <cell r="H461">
            <v>10712.85</v>
          </cell>
          <cell r="I461">
            <v>0</v>
          </cell>
          <cell r="J461">
            <v>99</v>
          </cell>
          <cell r="K461">
            <v>45.2</v>
          </cell>
          <cell r="L461">
            <v>62.6</v>
          </cell>
          <cell r="M461">
            <v>22.7</v>
          </cell>
          <cell r="N461" t="str">
            <v>2-Krannich</v>
          </cell>
        </row>
        <row r="462">
          <cell r="A462" t="str">
            <v>B0459</v>
          </cell>
          <cell r="B462" t="str">
            <v>Inverters</v>
          </cell>
          <cell r="C462" t="str">
            <v>Fronius</v>
          </cell>
          <cell r="D462" t="str">
            <v>Symo 12.5kW Grid 3Ph Inverter</v>
          </cell>
          <cell r="E462" t="str">
            <v>Symo-12.5-3-M</v>
          </cell>
          <cell r="F462" t="str">
            <v>Symo-12.5-3-M</v>
          </cell>
          <cell r="G462">
            <v>4712.7</v>
          </cell>
          <cell r="H462">
            <v>4284.3</v>
          </cell>
          <cell r="I462">
            <v>0</v>
          </cell>
          <cell r="J462">
            <v>34.799999999999997</v>
          </cell>
          <cell r="K462">
            <v>72.5</v>
          </cell>
          <cell r="L462">
            <v>5.0999999999999996</v>
          </cell>
          <cell r="M462">
            <v>22.5</v>
          </cell>
          <cell r="N462" t="str">
            <v>2-Krannich</v>
          </cell>
        </row>
        <row r="463">
          <cell r="A463" t="str">
            <v>B0460</v>
          </cell>
          <cell r="B463" t="str">
            <v>Inverters</v>
          </cell>
          <cell r="C463" t="str">
            <v>Fronius</v>
          </cell>
          <cell r="D463" t="str">
            <v>Symo 10.0KW 3ph Inverter</v>
          </cell>
          <cell r="E463" t="str">
            <v>Symo-10.0-3-M</v>
          </cell>
          <cell r="F463" t="str">
            <v>Symo-10.0-3-M</v>
          </cell>
          <cell r="G463">
            <v>4164.3</v>
          </cell>
          <cell r="H463">
            <v>3785.7000000000003</v>
          </cell>
          <cell r="I463">
            <v>0</v>
          </cell>
          <cell r="J463">
            <v>34.799999999999997</v>
          </cell>
          <cell r="K463">
            <v>72.5</v>
          </cell>
          <cell r="L463">
            <v>51</v>
          </cell>
          <cell r="M463">
            <v>22.5</v>
          </cell>
          <cell r="N463" t="str">
            <v>2-Krannich</v>
          </cell>
        </row>
        <row r="464">
          <cell r="A464" t="str">
            <v>B0461</v>
          </cell>
          <cell r="B464" t="str">
            <v>Inverters</v>
          </cell>
          <cell r="C464" t="str">
            <v>Fronius</v>
          </cell>
          <cell r="D464" t="str">
            <v>Symo 15.0KW 3ph Inverter</v>
          </cell>
          <cell r="E464" t="str">
            <v>Symo-15.0-3-M</v>
          </cell>
          <cell r="F464" t="str">
            <v>Symo-15.0-3-M</v>
          </cell>
          <cell r="G464">
            <v>5027</v>
          </cell>
          <cell r="H464">
            <v>4570</v>
          </cell>
          <cell r="I464">
            <v>0</v>
          </cell>
          <cell r="J464">
            <v>43.4</v>
          </cell>
          <cell r="K464">
            <v>72.5</v>
          </cell>
          <cell r="L464">
            <v>51</v>
          </cell>
          <cell r="M464">
            <v>22.5</v>
          </cell>
          <cell r="N464" t="str">
            <v>2-Krannich</v>
          </cell>
        </row>
        <row r="465">
          <cell r="A465" t="str">
            <v>B0462</v>
          </cell>
          <cell r="B465" t="str">
            <v>Inverters</v>
          </cell>
          <cell r="C465" t="str">
            <v>Fronius</v>
          </cell>
          <cell r="D465" t="str">
            <v>Symo 17.5KW 3ph Inverter</v>
          </cell>
          <cell r="E465" t="str">
            <v>Symo-17.5-3-M</v>
          </cell>
          <cell r="F465" t="str">
            <v>Symo-17.5-3-M</v>
          </cell>
          <cell r="G465">
            <v>5184.1500000000005</v>
          </cell>
          <cell r="H465">
            <v>4712.8500000000004</v>
          </cell>
          <cell r="I465">
            <v>0</v>
          </cell>
          <cell r="J465">
            <v>43.4</v>
          </cell>
          <cell r="K465">
            <v>72.5</v>
          </cell>
          <cell r="L465">
            <v>51</v>
          </cell>
          <cell r="M465">
            <v>22.5</v>
          </cell>
          <cell r="N465" t="str">
            <v>2-Krannich</v>
          </cell>
        </row>
        <row r="466">
          <cell r="A466" t="str">
            <v>B0463</v>
          </cell>
          <cell r="B466" t="str">
            <v>Inverters</v>
          </cell>
          <cell r="C466" t="str">
            <v>Fronius</v>
          </cell>
          <cell r="D466" t="str">
            <v>Symo 20.0KW 3ph Inverter</v>
          </cell>
          <cell r="E466" t="str">
            <v>Symo-20.0-3-M</v>
          </cell>
          <cell r="F466" t="str">
            <v>Symo-20.0-3-M</v>
          </cell>
          <cell r="G466">
            <v>5341.3</v>
          </cell>
          <cell r="H466">
            <v>4855.7</v>
          </cell>
          <cell r="I466">
            <v>0</v>
          </cell>
          <cell r="J466">
            <v>43.4</v>
          </cell>
          <cell r="K466">
            <v>72.5</v>
          </cell>
          <cell r="L466">
            <v>51</v>
          </cell>
          <cell r="M466">
            <v>22.5</v>
          </cell>
          <cell r="N466" t="str">
            <v>2-Krannich</v>
          </cell>
        </row>
        <row r="467">
          <cell r="A467" t="str">
            <v>B0464</v>
          </cell>
          <cell r="B467" t="str">
            <v>Inverters</v>
          </cell>
          <cell r="C467" t="str">
            <v>Fronius</v>
          </cell>
          <cell r="D467" t="str">
            <v>Symo 3.0KW Hyrbid 3Ph Inverter</v>
          </cell>
          <cell r="E467" t="str">
            <v>Symo-3.0-3-S</v>
          </cell>
          <cell r="F467" t="str">
            <v>Symo-3.0-3-S</v>
          </cell>
          <cell r="G467">
            <v>3612.7000000000003</v>
          </cell>
          <cell r="H467">
            <v>3284.3</v>
          </cell>
          <cell r="I467">
            <v>0</v>
          </cell>
          <cell r="J467">
            <v>19.899999999999999</v>
          </cell>
          <cell r="K467">
            <v>64.5</v>
          </cell>
          <cell r="L467">
            <v>43.1</v>
          </cell>
          <cell r="M467">
            <v>20.399999999999999</v>
          </cell>
          <cell r="N467" t="str">
            <v>2-Krannich</v>
          </cell>
        </row>
        <row r="468">
          <cell r="A468" t="str">
            <v>B0465</v>
          </cell>
          <cell r="B468" t="str">
            <v>Inverters</v>
          </cell>
          <cell r="C468" t="str">
            <v>Fronius</v>
          </cell>
          <cell r="D468" t="str">
            <v>Symo 4.0KW Hyrbid 3Ph Inverter</v>
          </cell>
          <cell r="E468" t="str">
            <v>Symo-4.0-3-S</v>
          </cell>
          <cell r="F468" t="str">
            <v>Symo-4.0-3-S</v>
          </cell>
          <cell r="G468">
            <v>4084.15</v>
          </cell>
          <cell r="H468">
            <v>3712.8500000000004</v>
          </cell>
          <cell r="I468">
            <v>0</v>
          </cell>
          <cell r="J468">
            <v>19.899999999999999</v>
          </cell>
          <cell r="K468">
            <v>64.5</v>
          </cell>
          <cell r="L468">
            <v>43.1</v>
          </cell>
          <cell r="M468">
            <v>20.399999999999999</v>
          </cell>
          <cell r="N468" t="str">
            <v>2-Krannich</v>
          </cell>
        </row>
        <row r="469">
          <cell r="A469" t="str">
            <v>B0466</v>
          </cell>
          <cell r="B469" t="str">
            <v>Inverters</v>
          </cell>
          <cell r="C469" t="str">
            <v>Fronius</v>
          </cell>
          <cell r="D469" t="str">
            <v xml:space="preserve">Symo 5.0KW Hyrbid 3Ph Inverter </v>
          </cell>
          <cell r="E469" t="str">
            <v>Symo-5.0-3-S</v>
          </cell>
          <cell r="F469" t="str">
            <v>Symo-5.0-3-S</v>
          </cell>
          <cell r="G469">
            <v>4241.3</v>
          </cell>
          <cell r="H469">
            <v>3855.7000000000003</v>
          </cell>
          <cell r="I469">
            <v>0</v>
          </cell>
          <cell r="J469">
            <v>19.899999999999999</v>
          </cell>
          <cell r="K469">
            <v>64.5</v>
          </cell>
          <cell r="L469">
            <v>43.1</v>
          </cell>
          <cell r="M469">
            <v>20.399999999999999</v>
          </cell>
          <cell r="N469" t="str">
            <v>2-Krannich</v>
          </cell>
        </row>
        <row r="470">
          <cell r="A470" t="str">
            <v>B0468</v>
          </cell>
          <cell r="B470" t="str">
            <v>Control</v>
          </cell>
          <cell r="C470" t="str">
            <v>PGK</v>
          </cell>
          <cell r="D470" t="str">
            <v>Solar Isolator 32A 4Pole</v>
          </cell>
          <cell r="E470" t="str">
            <v>SE030A</v>
          </cell>
          <cell r="F470" t="str">
            <v>SE030A</v>
          </cell>
          <cell r="G470">
            <v>58.050000000000004</v>
          </cell>
          <cell r="H470">
            <v>52.75</v>
          </cell>
          <cell r="I470">
            <v>0</v>
          </cell>
          <cell r="J470">
            <v>0.7</v>
          </cell>
          <cell r="K470">
            <v>18.760000000000002</v>
          </cell>
          <cell r="L470">
            <v>9.86</v>
          </cell>
          <cell r="M470">
            <v>10.86</v>
          </cell>
          <cell r="N470" t="str">
            <v>3-Tradezone</v>
          </cell>
        </row>
        <row r="471">
          <cell r="A471" t="str">
            <v>B0469</v>
          </cell>
          <cell r="B471" t="str">
            <v>Batteries</v>
          </cell>
          <cell r="C471" t="str">
            <v>LG</v>
          </cell>
          <cell r="D471" t="str">
            <v>LG Chem RESU 7KWh 400V Lithium Battery (Type R)</v>
          </cell>
          <cell r="E471" t="str">
            <v>RESU7H-R</v>
          </cell>
          <cell r="F471" t="str">
            <v>RESU7H-R</v>
          </cell>
          <cell r="G471">
            <v>8169.85</v>
          </cell>
          <cell r="H471">
            <v>7427.1500000000005</v>
          </cell>
          <cell r="I471">
            <v>0</v>
          </cell>
          <cell r="J471">
            <v>76</v>
          </cell>
          <cell r="K471">
            <v>75</v>
          </cell>
          <cell r="L471">
            <v>70</v>
          </cell>
          <cell r="M471">
            <v>21</v>
          </cell>
          <cell r="N471" t="str">
            <v>2-Krannich</v>
          </cell>
        </row>
        <row r="472">
          <cell r="A472" t="str">
            <v>B0470</v>
          </cell>
          <cell r="B472" t="str">
            <v>Batteries</v>
          </cell>
          <cell r="C472" t="str">
            <v>LG</v>
          </cell>
          <cell r="D472" t="str">
            <v>LG Chem RESU 10KWh 400V Lithium Battery (Type R)</v>
          </cell>
          <cell r="E472" t="str">
            <v>RESU10H-R</v>
          </cell>
          <cell r="F472" t="str">
            <v>RESU10H-R</v>
          </cell>
          <cell r="G472">
            <v>10450</v>
          </cell>
          <cell r="H472">
            <v>9500</v>
          </cell>
          <cell r="I472">
            <v>0</v>
          </cell>
          <cell r="J472">
            <v>100</v>
          </cell>
          <cell r="K472">
            <v>75</v>
          </cell>
          <cell r="L472">
            <v>91</v>
          </cell>
          <cell r="M472">
            <v>21</v>
          </cell>
          <cell r="N472" t="str">
            <v>2-Krannich</v>
          </cell>
        </row>
        <row r="473">
          <cell r="A473" t="str">
            <v>B0471</v>
          </cell>
          <cell r="D473" t="str">
            <v>Battery LG Chem RESU 7KWh 400V Lithium (Type C)</v>
          </cell>
          <cell r="F473" t="str">
            <v>MPN (Part #)</v>
          </cell>
          <cell r="G473">
            <v>0</v>
          </cell>
          <cell r="H473">
            <v>0</v>
          </cell>
          <cell r="I473">
            <v>0</v>
          </cell>
          <cell r="N473" t="str">
            <v>2-Krannich</v>
          </cell>
        </row>
        <row r="474">
          <cell r="A474" t="str">
            <v>B0472</v>
          </cell>
          <cell r="B474" t="str">
            <v>Batteries</v>
          </cell>
          <cell r="C474" t="str">
            <v>LG</v>
          </cell>
          <cell r="D474" t="str">
            <v>LG Chem RESU 10KWh 400V Lithium Battery (Type C)</v>
          </cell>
          <cell r="E474" t="str">
            <v>RESU10H-C</v>
          </cell>
          <cell r="F474" t="str">
            <v>RESU10H-C</v>
          </cell>
          <cell r="G474">
            <v>10685.7</v>
          </cell>
          <cell r="H474">
            <v>9714.3000000000011</v>
          </cell>
          <cell r="I474">
            <v>0</v>
          </cell>
          <cell r="J474">
            <v>100</v>
          </cell>
          <cell r="K474">
            <v>75</v>
          </cell>
          <cell r="L474">
            <v>91</v>
          </cell>
          <cell r="M474">
            <v>21</v>
          </cell>
          <cell r="N474" t="str">
            <v>2-Krannich</v>
          </cell>
        </row>
        <row r="475">
          <cell r="A475" t="str">
            <v>B0473</v>
          </cell>
          <cell r="B475" t="str">
            <v>Batteries</v>
          </cell>
          <cell r="C475" t="str">
            <v>LG</v>
          </cell>
          <cell r="D475" t="str">
            <v>Resu Plus Battery combiner</v>
          </cell>
          <cell r="E475" t="str">
            <v>LG Resu Plus</v>
          </cell>
          <cell r="F475" t="str">
            <v>LG Resu Plus</v>
          </cell>
          <cell r="G475">
            <v>727.95</v>
          </cell>
          <cell r="H475">
            <v>661.75</v>
          </cell>
          <cell r="I475">
            <v>0</v>
          </cell>
          <cell r="J475">
            <v>2</v>
          </cell>
          <cell r="K475">
            <v>21.6</v>
          </cell>
          <cell r="L475">
            <v>15.6</v>
          </cell>
          <cell r="M475">
            <v>12.1</v>
          </cell>
          <cell r="N475" t="str">
            <v>2-Krannich</v>
          </cell>
        </row>
        <row r="476">
          <cell r="A476" t="str">
            <v>B0474</v>
          </cell>
          <cell r="B476" t="str">
            <v>Battery Accessories</v>
          </cell>
          <cell r="C476" t="str">
            <v>Victron</v>
          </cell>
          <cell r="D476" t="str">
            <v>Battery Protect 12/24V 100A</v>
          </cell>
          <cell r="E476" t="str">
            <v>BPR000100400</v>
          </cell>
          <cell r="F476" t="str">
            <v>BPR 12/12-100</v>
          </cell>
          <cell r="G476">
            <v>0</v>
          </cell>
          <cell r="H476">
            <v>0</v>
          </cell>
          <cell r="I476">
            <v>0</v>
          </cell>
          <cell r="J476">
            <v>0.5</v>
          </cell>
          <cell r="K476">
            <v>5.9</v>
          </cell>
          <cell r="L476">
            <v>4.2</v>
          </cell>
          <cell r="M476">
            <v>11.5</v>
          </cell>
          <cell r="N476" t="str">
            <v>1-Victron</v>
          </cell>
        </row>
        <row r="477">
          <cell r="A477" t="str">
            <v>B0475</v>
          </cell>
          <cell r="B477" t="str">
            <v>Control</v>
          </cell>
          <cell r="C477" t="str">
            <v>SMA</v>
          </cell>
          <cell r="D477" t="str">
            <v>Multi Function Relay - for load control</v>
          </cell>
          <cell r="E477" t="str">
            <v>MFR01-10</v>
          </cell>
          <cell r="F477" t="str">
            <v>MPN (Part #)</v>
          </cell>
          <cell r="G477">
            <v>0</v>
          </cell>
          <cell r="H477">
            <v>0</v>
          </cell>
          <cell r="I477">
            <v>0</v>
          </cell>
          <cell r="J477">
            <v>0.4</v>
          </cell>
          <cell r="K477">
            <v>12</v>
          </cell>
          <cell r="L477">
            <v>4</v>
          </cell>
          <cell r="M477">
            <v>3</v>
          </cell>
          <cell r="N477" t="str">
            <v/>
          </cell>
        </row>
        <row r="478">
          <cell r="A478" t="str">
            <v>B0476</v>
          </cell>
          <cell r="D478" t="str">
            <v>Fronius Checkbox 500V (For LG Battery)</v>
          </cell>
          <cell r="E478" t="str">
            <v>CheckBox</v>
          </cell>
          <cell r="F478" t="str">
            <v>MPN (Part #)</v>
          </cell>
          <cell r="G478">
            <v>630.90000000000009</v>
          </cell>
          <cell r="H478">
            <v>573.55000000000007</v>
          </cell>
          <cell r="I478">
            <v>0</v>
          </cell>
          <cell r="N478" t="str">
            <v>2-Krannich</v>
          </cell>
        </row>
        <row r="479">
          <cell r="A479" t="str">
            <v>B0477</v>
          </cell>
          <cell r="B479" t="str">
            <v>Control</v>
          </cell>
          <cell r="C479" t="str">
            <v>Fronius</v>
          </cell>
          <cell r="D479" t="str">
            <v>Smart Meter 63A Single Phase</v>
          </cell>
          <cell r="E479" t="str">
            <v>SM63A-1</v>
          </cell>
          <cell r="F479" t="str">
            <v>SM63A-1</v>
          </cell>
          <cell r="G479">
            <v>283.10000000000002</v>
          </cell>
          <cell r="H479">
            <v>257.35000000000002</v>
          </cell>
          <cell r="I479">
            <v>0</v>
          </cell>
          <cell r="J479">
            <v>0.3</v>
          </cell>
          <cell r="K479">
            <v>6.5</v>
          </cell>
          <cell r="L479">
            <v>6.5</v>
          </cell>
          <cell r="M479">
            <v>3</v>
          </cell>
          <cell r="N479" t="str">
            <v>2-Krannich</v>
          </cell>
        </row>
        <row r="480">
          <cell r="A480" t="str">
            <v>B0478</v>
          </cell>
          <cell r="B480" t="str">
            <v>Solar Panels</v>
          </cell>
          <cell r="C480" t="str">
            <v>Victron</v>
          </cell>
          <cell r="D480" t="str">
            <v xml:space="preserve">Solar Panel 175W 12V Poly </v>
          </cell>
          <cell r="E480" t="str">
            <v>SPP041751200</v>
          </cell>
          <cell r="F480" t="str">
            <v>SPP041751200</v>
          </cell>
          <cell r="G480">
            <v>0</v>
          </cell>
          <cell r="H480">
            <v>0</v>
          </cell>
          <cell r="I480">
            <v>0</v>
          </cell>
          <cell r="J480">
            <v>12</v>
          </cell>
          <cell r="K480">
            <v>149</v>
          </cell>
          <cell r="L480">
            <v>69</v>
          </cell>
          <cell r="M480">
            <v>3.5</v>
          </cell>
          <cell r="N480" t="str">
            <v>1-Victron</v>
          </cell>
        </row>
        <row r="481">
          <cell r="A481" t="str">
            <v>B0479</v>
          </cell>
          <cell r="D481" t="str">
            <v>Screw Metal 10G x 25mm Galv Hex Head Metal</v>
          </cell>
          <cell r="F481" t="str">
            <v>MPN (Part #)</v>
          </cell>
          <cell r="G481">
            <v>0</v>
          </cell>
          <cell r="H481">
            <v>0</v>
          </cell>
          <cell r="I481">
            <v>0</v>
          </cell>
          <cell r="N481" t="str">
            <v/>
          </cell>
        </row>
        <row r="482">
          <cell r="A482" t="str">
            <v>B0480</v>
          </cell>
          <cell r="D482" t="str">
            <v>Enclosure MCB 8 Pole IP65 DKSH N8D</v>
          </cell>
          <cell r="F482" t="str">
            <v>MPN (Part #)</v>
          </cell>
          <cell r="G482">
            <v>0</v>
          </cell>
          <cell r="H482">
            <v>0</v>
          </cell>
          <cell r="I482">
            <v>0</v>
          </cell>
          <cell r="N482" t="str">
            <v/>
          </cell>
        </row>
        <row r="483">
          <cell r="A483" t="str">
            <v>B0481</v>
          </cell>
          <cell r="C483" t="str">
            <v>Victron</v>
          </cell>
          <cell r="D483" t="str">
            <v>Battery balancer</v>
          </cell>
          <cell r="E483" t="str">
            <v>BBA000100100</v>
          </cell>
          <cell r="F483" t="str">
            <v>MPN (Part #)</v>
          </cell>
          <cell r="G483">
            <v>0</v>
          </cell>
          <cell r="H483">
            <v>0</v>
          </cell>
          <cell r="I483">
            <v>0</v>
          </cell>
          <cell r="J483">
            <v>0.6</v>
          </cell>
          <cell r="K483">
            <v>11.3</v>
          </cell>
          <cell r="L483">
            <v>10</v>
          </cell>
          <cell r="M483">
            <v>5</v>
          </cell>
          <cell r="N483" t="str">
            <v>1-Victron</v>
          </cell>
        </row>
        <row r="484">
          <cell r="A484" t="str">
            <v>B0481</v>
          </cell>
          <cell r="B484" t="str">
            <v>Battery Accessories</v>
          </cell>
          <cell r="C484" t="str">
            <v>Victron</v>
          </cell>
          <cell r="D484" t="str">
            <v>Battery Balancer</v>
          </cell>
          <cell r="E484" t="str">
            <v>BBA000100100</v>
          </cell>
          <cell r="F484" t="str">
            <v>MPN (Part #)</v>
          </cell>
          <cell r="G484">
            <v>0</v>
          </cell>
          <cell r="H484">
            <v>0</v>
          </cell>
          <cell r="I484">
            <v>0</v>
          </cell>
          <cell r="J484">
            <v>0.6</v>
          </cell>
          <cell r="K484">
            <v>11.3</v>
          </cell>
          <cell r="L484">
            <v>10</v>
          </cell>
          <cell r="M484">
            <v>5</v>
          </cell>
          <cell r="N484" t="str">
            <v>1-Victron</v>
          </cell>
        </row>
        <row r="485">
          <cell r="A485" t="str">
            <v>B0482</v>
          </cell>
          <cell r="B485" t="str">
            <v>Chargers</v>
          </cell>
          <cell r="C485" t="str">
            <v>Victron</v>
          </cell>
          <cell r="D485" t="str">
            <v>Battery Charger Blue Smart IP22 12/30(3)</v>
          </cell>
          <cell r="E485" t="str">
            <v>BPC123048012</v>
          </cell>
          <cell r="F485" t="str">
            <v>MPN (Part #)</v>
          </cell>
          <cell r="G485">
            <v>0</v>
          </cell>
          <cell r="H485">
            <v>0</v>
          </cell>
          <cell r="I485">
            <v>0</v>
          </cell>
          <cell r="J485">
            <v>1.4</v>
          </cell>
          <cell r="K485">
            <v>23.5</v>
          </cell>
          <cell r="L485">
            <v>10.8</v>
          </cell>
          <cell r="M485">
            <v>6.5</v>
          </cell>
          <cell r="N485" t="str">
            <v>1-Victron</v>
          </cell>
        </row>
        <row r="486">
          <cell r="A486" t="str">
            <v>B0483</v>
          </cell>
          <cell r="B486" t="str">
            <v>Inverter-Chargers</v>
          </cell>
          <cell r="C486" t="str">
            <v>Victron</v>
          </cell>
          <cell r="D486" t="str">
            <v>MultiPlus-II 48/5000/70-50</v>
          </cell>
          <cell r="E486" t="str">
            <v>PMP482505010</v>
          </cell>
          <cell r="F486" t="str">
            <v>MultiPlus-II</v>
          </cell>
          <cell r="G486">
            <v>1941.4</v>
          </cell>
          <cell r="H486">
            <v>1764.9</v>
          </cell>
          <cell r="I486">
            <v>0</v>
          </cell>
          <cell r="J486">
            <v>31</v>
          </cell>
          <cell r="K486">
            <v>56</v>
          </cell>
          <cell r="L486">
            <v>32</v>
          </cell>
          <cell r="M486">
            <v>14.1</v>
          </cell>
          <cell r="N486" t="str">
            <v>1-Victron</v>
          </cell>
        </row>
        <row r="487">
          <cell r="A487" t="str">
            <v>B0484</v>
          </cell>
          <cell r="D487" t="str">
            <v>Battery Charger Victron Blue Smart IP65 24/5A</v>
          </cell>
          <cell r="G487">
            <v>0</v>
          </cell>
          <cell r="H487">
            <v>0</v>
          </cell>
          <cell r="I487">
            <v>0</v>
          </cell>
          <cell r="N487" t="str">
            <v>1-Victron</v>
          </cell>
        </row>
        <row r="488">
          <cell r="A488" t="str">
            <v>B0485</v>
          </cell>
          <cell r="B488" t="str">
            <v>Inverter-Chargers</v>
          </cell>
          <cell r="C488" t="str">
            <v>Selectronic</v>
          </cell>
          <cell r="D488" t="str">
            <v>SP Pro 48V/5.0KW Series 2i</v>
          </cell>
          <cell r="E488" t="str">
            <v>SPMC481-AU</v>
          </cell>
          <cell r="F488" t="str">
            <v>SPMC481-AU</v>
          </cell>
          <cell r="G488">
            <v>7817.85</v>
          </cell>
          <cell r="H488">
            <v>7107.1500000000005</v>
          </cell>
          <cell r="I488">
            <v>0</v>
          </cell>
          <cell r="J488">
            <v>40</v>
          </cell>
          <cell r="K488">
            <v>69</v>
          </cell>
          <cell r="L488">
            <v>37.5</v>
          </cell>
          <cell r="M488">
            <v>22</v>
          </cell>
          <cell r="N488" t="str">
            <v>2-Krannich</v>
          </cell>
        </row>
        <row r="489">
          <cell r="A489" t="str">
            <v>B0486</v>
          </cell>
          <cell r="B489" t="str">
            <v>Inverter-Chargers</v>
          </cell>
          <cell r="C489" t="str">
            <v>Selectronic</v>
          </cell>
          <cell r="D489" t="str">
            <v>SP Pro 48V/7.5KW Series 2i</v>
          </cell>
          <cell r="E489" t="str">
            <v>SPMC482-AU</v>
          </cell>
          <cell r="F489" t="str">
            <v>SPMC482-AU</v>
          </cell>
          <cell r="G489">
            <v>9703.5500000000011</v>
          </cell>
          <cell r="H489">
            <v>8821.4500000000007</v>
          </cell>
          <cell r="I489">
            <v>0</v>
          </cell>
          <cell r="J489">
            <v>42</v>
          </cell>
          <cell r="K489">
            <v>69</v>
          </cell>
          <cell r="L489">
            <v>37.5</v>
          </cell>
          <cell r="M489">
            <v>22</v>
          </cell>
          <cell r="N489" t="str">
            <v>2-Krannich</v>
          </cell>
        </row>
        <row r="490">
          <cell r="A490" t="str">
            <v>B0487</v>
          </cell>
          <cell r="B490" t="str">
            <v>Control</v>
          </cell>
          <cell r="C490" t="str">
            <v>Selectronic</v>
          </cell>
          <cell r="D490" t="str">
            <v>Select.live Remote Monitoring Unit</v>
          </cell>
          <cell r="E490" t="str">
            <v>Select.Live</v>
          </cell>
          <cell r="F490" t="str">
            <v>MPN (Part #)</v>
          </cell>
          <cell r="G490">
            <v>509.55</v>
          </cell>
          <cell r="H490">
            <v>463.25</v>
          </cell>
          <cell r="I490">
            <v>0</v>
          </cell>
          <cell r="J490">
            <v>0.313</v>
          </cell>
          <cell r="K490">
            <v>16.5</v>
          </cell>
          <cell r="L490">
            <v>16.5</v>
          </cell>
          <cell r="M490">
            <v>4</v>
          </cell>
          <cell r="N490" t="str">
            <v>2-Krannich</v>
          </cell>
        </row>
        <row r="491">
          <cell r="A491" t="str">
            <v>B0488</v>
          </cell>
          <cell r="B491" t="str">
            <v>Victron Accessories</v>
          </cell>
          <cell r="C491" t="str">
            <v>Victron</v>
          </cell>
          <cell r="D491" t="str">
            <v>Cable Victron RS485 to USB 5m</v>
          </cell>
          <cell r="E491" t="str">
            <v>ASS030572050</v>
          </cell>
          <cell r="F491" t="str">
            <v>MPN (Part #)</v>
          </cell>
          <cell r="G491">
            <v>0</v>
          </cell>
          <cell r="H491">
            <v>0</v>
          </cell>
          <cell r="I491">
            <v>0</v>
          </cell>
          <cell r="N491" t="str">
            <v>1-Victron</v>
          </cell>
        </row>
        <row r="492">
          <cell r="A492" t="str">
            <v>B0489</v>
          </cell>
          <cell r="D492" t="str">
            <v>Communications Kit Selectronic Battery Upgrade Uni</v>
          </cell>
          <cell r="F492" t="str">
            <v>MPN (Part #)</v>
          </cell>
          <cell r="G492">
            <v>0</v>
          </cell>
          <cell r="H492">
            <v>0</v>
          </cell>
          <cell r="I492">
            <v>0</v>
          </cell>
          <cell r="N492" t="str">
            <v/>
          </cell>
        </row>
        <row r="493">
          <cell r="A493" t="str">
            <v>B0490</v>
          </cell>
          <cell r="B493" t="str">
            <v>Electrical</v>
          </cell>
          <cell r="C493" t="str">
            <v>Wattmaster</v>
          </cell>
          <cell r="D493" t="str">
            <v>Cable Lug 16mm2 x 6mm Hole</v>
          </cell>
          <cell r="E493" t="str">
            <v>ALCL16M6/25</v>
          </cell>
          <cell r="F493" t="str">
            <v>MPN (Part #)</v>
          </cell>
          <cell r="G493">
            <v>0.8</v>
          </cell>
          <cell r="H493">
            <v>0.70000000000000007</v>
          </cell>
          <cell r="I493">
            <v>0</v>
          </cell>
          <cell r="J493">
            <v>0.1</v>
          </cell>
          <cell r="K493">
            <v>5</v>
          </cell>
          <cell r="L493">
            <v>2</v>
          </cell>
          <cell r="M493">
            <v>1</v>
          </cell>
          <cell r="N493" t="str">
            <v>3-Tradezone</v>
          </cell>
        </row>
        <row r="494">
          <cell r="A494" t="str">
            <v>B0491</v>
          </cell>
          <cell r="B494" t="str">
            <v>Fuses</v>
          </cell>
          <cell r="C494" t="str">
            <v>Noark</v>
          </cell>
          <cell r="D494" t="str">
            <v xml:space="preserve">MCB 50A 360V DC 2 Pole </v>
          </cell>
          <cell r="E494">
            <v>84455</v>
          </cell>
          <cell r="F494" t="str">
            <v>MPN (Part #)</v>
          </cell>
          <cell r="G494">
            <v>41.7</v>
          </cell>
          <cell r="H494">
            <v>37.9</v>
          </cell>
          <cell r="I494">
            <v>0</v>
          </cell>
          <cell r="J494">
            <v>0.25</v>
          </cell>
          <cell r="K494">
            <v>9</v>
          </cell>
          <cell r="L494">
            <v>7.5</v>
          </cell>
          <cell r="M494">
            <v>3.5</v>
          </cell>
          <cell r="N494" t="str">
            <v>3-Tradezone</v>
          </cell>
        </row>
        <row r="495">
          <cell r="A495" t="str">
            <v>B0492</v>
          </cell>
          <cell r="D495" t="str">
            <v>Cable Lug - M6 x 35mm2 Cu</v>
          </cell>
          <cell r="F495" t="str">
            <v>MPN (Part #)</v>
          </cell>
          <cell r="G495">
            <v>0</v>
          </cell>
          <cell r="H495">
            <v>0</v>
          </cell>
          <cell r="I495">
            <v>0</v>
          </cell>
          <cell r="N495" t="str">
            <v>3-Tradezone</v>
          </cell>
        </row>
        <row r="496">
          <cell r="A496" t="str">
            <v>B0493</v>
          </cell>
          <cell r="B496" t="str">
            <v>Control</v>
          </cell>
          <cell r="C496" t="str">
            <v>Victron</v>
          </cell>
          <cell r="D496" t="str">
            <v xml:space="preserve">Wall Mount Enclosure for Color GX </v>
          </cell>
          <cell r="E496" t="str">
            <v>ASS050400000</v>
          </cell>
          <cell r="F496" t="str">
            <v>MPN (Part #)</v>
          </cell>
          <cell r="G496">
            <v>0</v>
          </cell>
          <cell r="H496">
            <v>0</v>
          </cell>
          <cell r="I496">
            <v>0</v>
          </cell>
          <cell r="J496">
            <v>0.8</v>
          </cell>
          <cell r="K496">
            <v>17</v>
          </cell>
          <cell r="L496">
            <v>14</v>
          </cell>
          <cell r="M496">
            <v>7</v>
          </cell>
          <cell r="N496" t="str">
            <v>1-Victron</v>
          </cell>
        </row>
        <row r="497">
          <cell r="A497" t="str">
            <v>B0494</v>
          </cell>
          <cell r="B497" t="str">
            <v>Fuses</v>
          </cell>
          <cell r="C497" t="str">
            <v>DC Solutions</v>
          </cell>
          <cell r="D497" t="str">
            <v>Fuse disconnector NH1 3 pole</v>
          </cell>
          <cell r="E497" t="str">
            <v>FH01/3P</v>
          </cell>
          <cell r="F497" t="str">
            <v>MPN (Part #)</v>
          </cell>
          <cell r="G497">
            <v>167.60000000000002</v>
          </cell>
          <cell r="H497">
            <v>152.35</v>
          </cell>
          <cell r="I497">
            <v>0</v>
          </cell>
          <cell r="J497">
            <v>2.339</v>
          </cell>
          <cell r="K497">
            <v>26.9</v>
          </cell>
          <cell r="L497">
            <v>30</v>
          </cell>
          <cell r="M497">
            <v>12.5</v>
          </cell>
          <cell r="N497" t="str">
            <v>3-Tradezone</v>
          </cell>
        </row>
        <row r="498">
          <cell r="A498" t="str">
            <v>B0495</v>
          </cell>
          <cell r="B498" t="str">
            <v>Fuses</v>
          </cell>
          <cell r="C498" t="str">
            <v>DC Solutions</v>
          </cell>
          <cell r="D498" t="str">
            <v>Fuse disconnector NH00 3 pole</v>
          </cell>
          <cell r="E498" t="str">
            <v>FH00/3P</v>
          </cell>
          <cell r="F498" t="str">
            <v>MPN (Part #)</v>
          </cell>
          <cell r="G498">
            <v>89.100000000000009</v>
          </cell>
          <cell r="H498">
            <v>81</v>
          </cell>
          <cell r="I498">
            <v>0</v>
          </cell>
          <cell r="J498">
            <v>0.81200000000000006</v>
          </cell>
          <cell r="K498">
            <v>21</v>
          </cell>
          <cell r="L498">
            <v>11.5</v>
          </cell>
          <cell r="M498">
            <v>9</v>
          </cell>
          <cell r="N498" t="str">
            <v>3-Tradezone</v>
          </cell>
        </row>
        <row r="499">
          <cell r="A499" t="str">
            <v>B0496</v>
          </cell>
          <cell r="D499" t="str">
            <v>Cable Tie 150x3.6mm Black</v>
          </cell>
          <cell r="F499" t="str">
            <v>MPN (Part #)</v>
          </cell>
          <cell r="G499">
            <v>0</v>
          </cell>
          <cell r="H499">
            <v>0</v>
          </cell>
          <cell r="I499">
            <v>0</v>
          </cell>
          <cell r="N499" t="str">
            <v/>
          </cell>
        </row>
        <row r="500">
          <cell r="A500" t="str">
            <v>B0497</v>
          </cell>
          <cell r="B500" t="str">
            <v>Control</v>
          </cell>
          <cell r="C500" t="str">
            <v>Victron</v>
          </cell>
          <cell r="D500" t="str">
            <v>Interface MK3-USB (VE.Bus to USB)</v>
          </cell>
          <cell r="E500" t="str">
            <v>ASS030140000</v>
          </cell>
          <cell r="F500" t="str">
            <v>MK3-USB</v>
          </cell>
          <cell r="G500">
            <v>116.80000000000001</v>
          </cell>
          <cell r="H500">
            <v>106.2</v>
          </cell>
          <cell r="I500">
            <v>0</v>
          </cell>
          <cell r="J500">
            <v>0.2</v>
          </cell>
          <cell r="K500">
            <v>8</v>
          </cell>
          <cell r="L500">
            <v>5</v>
          </cell>
          <cell r="M500">
            <v>3</v>
          </cell>
          <cell r="N500" t="str">
            <v>1-Victron</v>
          </cell>
        </row>
        <row r="501">
          <cell r="A501" t="str">
            <v>B0498</v>
          </cell>
          <cell r="D501" t="str">
            <v>Wall Bracket LG Chem Resu 10/13</v>
          </cell>
          <cell r="F501" t="str">
            <v>MPN (Part #)</v>
          </cell>
          <cell r="G501">
            <v>0</v>
          </cell>
          <cell r="H501">
            <v>0</v>
          </cell>
          <cell r="I501">
            <v>0</v>
          </cell>
          <cell r="N501" t="str">
            <v/>
          </cell>
        </row>
        <row r="502">
          <cell r="A502" t="str">
            <v>B0499</v>
          </cell>
          <cell r="B502" t="str">
            <v>Inverters</v>
          </cell>
          <cell r="C502" t="str">
            <v>SMA</v>
          </cell>
          <cell r="D502" t="str">
            <v>Tripower 25000TL-30</v>
          </cell>
          <cell r="E502" t="str">
            <v>STP 25000TL-30</v>
          </cell>
          <cell r="F502" t="str">
            <v>25000TL-30</v>
          </cell>
          <cell r="G502">
            <v>5453.9500000000007</v>
          </cell>
          <cell r="H502">
            <v>4958.1500000000005</v>
          </cell>
          <cell r="I502">
            <v>0</v>
          </cell>
          <cell r="J502">
            <v>61</v>
          </cell>
          <cell r="K502">
            <v>68.2</v>
          </cell>
          <cell r="L502">
            <v>66.099999999999994</v>
          </cell>
          <cell r="M502">
            <v>26.4</v>
          </cell>
          <cell r="N502" t="str">
            <v>7-Baywa</v>
          </cell>
        </row>
        <row r="503">
          <cell r="A503" t="str">
            <v>B0500</v>
          </cell>
          <cell r="B503" t="str">
            <v>REDUNDANT</v>
          </cell>
          <cell r="D503" t="str">
            <v>Solar Controller Victron BlueSolar MPPT 150/100-Tr</v>
          </cell>
          <cell r="F503" t="str">
            <v>MPN (Part #)</v>
          </cell>
          <cell r="G503">
            <v>0</v>
          </cell>
          <cell r="H503">
            <v>0</v>
          </cell>
          <cell r="I503">
            <v>0</v>
          </cell>
          <cell r="N503" t="str">
            <v/>
          </cell>
        </row>
        <row r="504">
          <cell r="A504" t="str">
            <v>B0501</v>
          </cell>
          <cell r="B504" t="str">
            <v>REDUNDANT</v>
          </cell>
          <cell r="D504" t="str">
            <v>Solar Controller Victron BlueSolar MPPT 150/100-MC</v>
          </cell>
          <cell r="F504" t="str">
            <v>MPN (Part #)</v>
          </cell>
          <cell r="G504">
            <v>0</v>
          </cell>
          <cell r="H504">
            <v>0</v>
          </cell>
          <cell r="I504">
            <v>0</v>
          </cell>
          <cell r="N504" t="str">
            <v/>
          </cell>
        </row>
        <row r="505">
          <cell r="A505" t="str">
            <v>B0502</v>
          </cell>
          <cell r="B505" t="str">
            <v>Inverters</v>
          </cell>
          <cell r="C505" t="str">
            <v>Victron</v>
          </cell>
          <cell r="D505" t="str">
            <v xml:space="preserve">Phoenix Inverter  24/1600 SMART </v>
          </cell>
          <cell r="E505" t="str">
            <v>PIN242160000</v>
          </cell>
          <cell r="F505" t="str">
            <v>PHNX-S-24-1600</v>
          </cell>
          <cell r="G505">
            <v>0</v>
          </cell>
          <cell r="H505">
            <v>0</v>
          </cell>
          <cell r="I505">
            <v>0</v>
          </cell>
          <cell r="J505">
            <v>12</v>
          </cell>
          <cell r="K505">
            <v>48.5</v>
          </cell>
          <cell r="L505">
            <v>21.9</v>
          </cell>
          <cell r="M505">
            <v>12.5</v>
          </cell>
          <cell r="N505" t="str">
            <v>1-Victron</v>
          </cell>
        </row>
        <row r="506">
          <cell r="A506" t="str">
            <v>B0503</v>
          </cell>
          <cell r="B506" t="str">
            <v>Inverters</v>
          </cell>
          <cell r="C506" t="str">
            <v>Victron</v>
          </cell>
          <cell r="D506" t="str">
            <v xml:space="preserve">Phoenix Inverter  48/2000 SMART </v>
          </cell>
          <cell r="E506" t="str">
            <v>PIN482200000</v>
          </cell>
          <cell r="F506" t="str">
            <v>PHNX-S-48-2000</v>
          </cell>
          <cell r="G506">
            <v>0</v>
          </cell>
          <cell r="H506">
            <v>0</v>
          </cell>
          <cell r="I506">
            <v>0</v>
          </cell>
          <cell r="J506">
            <v>13</v>
          </cell>
          <cell r="K506">
            <v>48.5</v>
          </cell>
          <cell r="L506">
            <v>21.9</v>
          </cell>
          <cell r="M506">
            <v>12.5</v>
          </cell>
          <cell r="N506" t="str">
            <v>1-Victron</v>
          </cell>
        </row>
        <row r="507">
          <cell r="A507" t="str">
            <v>B0504</v>
          </cell>
          <cell r="B507" t="str">
            <v>Inverters</v>
          </cell>
          <cell r="C507" t="str">
            <v>Victron</v>
          </cell>
          <cell r="D507" t="str">
            <v xml:space="preserve">Phoenix Inverter  48/1600 SMART </v>
          </cell>
          <cell r="E507" t="str">
            <v>PIN482160000</v>
          </cell>
          <cell r="F507" t="str">
            <v>PHNX-S-48-1600</v>
          </cell>
          <cell r="G507">
            <v>1014.75</v>
          </cell>
          <cell r="H507">
            <v>922.5</v>
          </cell>
          <cell r="I507">
            <v>0</v>
          </cell>
          <cell r="J507">
            <v>12</v>
          </cell>
          <cell r="K507">
            <v>48.5</v>
          </cell>
          <cell r="L507">
            <v>21.9</v>
          </cell>
          <cell r="M507">
            <v>12.5</v>
          </cell>
          <cell r="N507" t="str">
            <v>1-Victron</v>
          </cell>
        </row>
        <row r="508">
          <cell r="A508" t="str">
            <v>B0505</v>
          </cell>
          <cell r="B508" t="str">
            <v>Inverters</v>
          </cell>
          <cell r="C508" t="str">
            <v>Victron</v>
          </cell>
          <cell r="D508" t="str">
            <v xml:space="preserve">Phoenix Inverter  12/2000 SMART </v>
          </cell>
          <cell r="E508" t="str">
            <v>PIN122200000</v>
          </cell>
          <cell r="F508" t="str">
            <v>PHNX-S-12-2000</v>
          </cell>
          <cell r="G508">
            <v>0</v>
          </cell>
          <cell r="H508">
            <v>0</v>
          </cell>
          <cell r="I508">
            <v>0</v>
          </cell>
          <cell r="J508">
            <v>13</v>
          </cell>
          <cell r="K508">
            <v>48.5</v>
          </cell>
          <cell r="L508">
            <v>21.9</v>
          </cell>
          <cell r="M508">
            <v>12.5</v>
          </cell>
          <cell r="N508" t="str">
            <v>1-Victron</v>
          </cell>
        </row>
        <row r="509">
          <cell r="A509" t="str">
            <v>B0506</v>
          </cell>
          <cell r="B509" t="str">
            <v>Inverters</v>
          </cell>
          <cell r="C509" t="str">
            <v>Victron</v>
          </cell>
          <cell r="D509" t="str">
            <v xml:space="preserve">Phoenix Inverter  12/1600 SMART </v>
          </cell>
          <cell r="E509" t="str">
            <v>PIN122160000</v>
          </cell>
          <cell r="F509" t="str">
            <v>PHNX-S-12-1600</v>
          </cell>
          <cell r="G509">
            <v>0</v>
          </cell>
          <cell r="H509">
            <v>0</v>
          </cell>
          <cell r="I509">
            <v>0</v>
          </cell>
          <cell r="J509">
            <v>12</v>
          </cell>
          <cell r="K509">
            <v>48.5</v>
          </cell>
          <cell r="L509">
            <v>21.9</v>
          </cell>
          <cell r="M509">
            <v>12.5</v>
          </cell>
          <cell r="N509" t="str">
            <v>1-Victron</v>
          </cell>
        </row>
        <row r="510">
          <cell r="A510" t="str">
            <v>B0507</v>
          </cell>
          <cell r="B510" t="str">
            <v>Inverters</v>
          </cell>
          <cell r="C510" t="str">
            <v>Victron</v>
          </cell>
          <cell r="D510" t="str">
            <v>Phoenix 48/250 VE.Direct AU/NZ</v>
          </cell>
          <cell r="E510" t="str">
            <v>PIN482510300</v>
          </cell>
          <cell r="F510" t="str">
            <v>PHNX-48-250-VE-AU-NZ</v>
          </cell>
          <cell r="G510">
            <v>164.35000000000002</v>
          </cell>
          <cell r="H510">
            <v>149.4</v>
          </cell>
          <cell r="I510">
            <v>0</v>
          </cell>
          <cell r="J510">
            <v>2.4</v>
          </cell>
          <cell r="K510">
            <v>26</v>
          </cell>
          <cell r="L510">
            <v>16.5</v>
          </cell>
          <cell r="M510">
            <v>8.6</v>
          </cell>
          <cell r="N510" t="str">
            <v>1-Victron</v>
          </cell>
        </row>
        <row r="511">
          <cell r="A511" t="str">
            <v>B0508</v>
          </cell>
          <cell r="B511" t="str">
            <v>Fuses</v>
          </cell>
          <cell r="C511" t="str">
            <v>DKSH</v>
          </cell>
          <cell r="D511" t="str">
            <v>Solar Fuse 15 Amp GPV 10mm x 38mm</v>
          </cell>
          <cell r="E511" t="str">
            <v>30F15PV</v>
          </cell>
          <cell r="F511" t="str">
            <v>MPN (Part #)</v>
          </cell>
          <cell r="G511">
            <v>15.65</v>
          </cell>
          <cell r="H511">
            <v>14.25</v>
          </cell>
          <cell r="I511">
            <v>0</v>
          </cell>
          <cell r="K511">
            <v>3.8</v>
          </cell>
          <cell r="L511">
            <v>1</v>
          </cell>
          <cell r="M511">
            <v>1</v>
          </cell>
          <cell r="N511" t="str">
            <v>3-Tradezone</v>
          </cell>
        </row>
        <row r="512">
          <cell r="A512" t="str">
            <v>B0509</v>
          </cell>
          <cell r="B512" t="str">
            <v>Inverters</v>
          </cell>
          <cell r="C512" t="str">
            <v>Victron</v>
          </cell>
          <cell r="D512" t="str">
            <v>Phoenix 48/375 VE.Direct AU/NZ</v>
          </cell>
          <cell r="E512" t="str">
            <v>PIN483750300</v>
          </cell>
          <cell r="F512" t="str">
            <v>PHNX-48-375-VE-AU-NZ</v>
          </cell>
          <cell r="G512">
            <v>211.85000000000002</v>
          </cell>
          <cell r="H512">
            <v>192.60000000000002</v>
          </cell>
          <cell r="I512">
            <v>0</v>
          </cell>
          <cell r="J512">
            <v>3</v>
          </cell>
          <cell r="K512">
            <v>26</v>
          </cell>
          <cell r="L512">
            <v>16.5</v>
          </cell>
          <cell r="M512">
            <v>8.6</v>
          </cell>
          <cell r="N512" t="str">
            <v>1-Victron</v>
          </cell>
        </row>
        <row r="513">
          <cell r="A513" t="str">
            <v>B0510</v>
          </cell>
          <cell r="D513" t="str">
            <v>Heatshrink Tube DIA10mm Red</v>
          </cell>
          <cell r="F513" t="str">
            <v>MPN (Part #)</v>
          </cell>
          <cell r="G513">
            <v>0</v>
          </cell>
          <cell r="H513">
            <v>0</v>
          </cell>
          <cell r="I513">
            <v>0</v>
          </cell>
          <cell r="N513" t="str">
            <v/>
          </cell>
        </row>
        <row r="514">
          <cell r="A514" t="str">
            <v>B0511</v>
          </cell>
          <cell r="B514" t="str">
            <v>Inverters</v>
          </cell>
          <cell r="C514" t="str">
            <v>Victron</v>
          </cell>
          <cell r="D514" t="str">
            <v>Phoenix 48/500 VE.Direct AU/NZ</v>
          </cell>
          <cell r="E514" t="str">
            <v>PIN485010300</v>
          </cell>
          <cell r="F514" t="str">
            <v>PHNX-48-500-VE-AU-NZ</v>
          </cell>
          <cell r="G514">
            <v>264.35000000000002</v>
          </cell>
          <cell r="H514">
            <v>240.3</v>
          </cell>
          <cell r="I514">
            <v>0</v>
          </cell>
          <cell r="J514">
            <v>3.9</v>
          </cell>
          <cell r="K514">
            <v>27.5</v>
          </cell>
          <cell r="L514">
            <v>17.2</v>
          </cell>
          <cell r="M514">
            <v>8.6</v>
          </cell>
          <cell r="N514" t="str">
            <v>1-Victron</v>
          </cell>
        </row>
        <row r="515">
          <cell r="A515" t="str">
            <v>B0512</v>
          </cell>
          <cell r="B515" t="str">
            <v>Fuses</v>
          </cell>
          <cell r="C515" t="str">
            <v>DKSH</v>
          </cell>
          <cell r="D515" t="str">
            <v>Solar PV Fuse Disconnector 2 Pole 1000 Volts DC</v>
          </cell>
          <cell r="E515" t="str">
            <v>N85515</v>
          </cell>
          <cell r="F515" t="str">
            <v>MPN (Part #)</v>
          </cell>
          <cell r="G515">
            <v>18.400000000000002</v>
          </cell>
          <cell r="H515">
            <v>16.7</v>
          </cell>
          <cell r="I515">
            <v>0</v>
          </cell>
          <cell r="J515">
            <v>0.15</v>
          </cell>
          <cell r="K515">
            <v>8</v>
          </cell>
          <cell r="L515">
            <v>4</v>
          </cell>
          <cell r="M515">
            <v>6</v>
          </cell>
          <cell r="N515" t="str">
            <v>3-Tradezone</v>
          </cell>
        </row>
        <row r="516">
          <cell r="A516" t="str">
            <v>B0513</v>
          </cell>
          <cell r="B516" t="str">
            <v>Control</v>
          </cell>
          <cell r="C516" t="str">
            <v>Victron</v>
          </cell>
          <cell r="D516" t="str">
            <v>Cable Victron VE.Direct 0.9m (one side Right Angle conn)</v>
          </cell>
          <cell r="E516" t="str">
            <v>ASS030531209</v>
          </cell>
          <cell r="F516" t="str">
            <v>MPN (Part #)</v>
          </cell>
          <cell r="G516">
            <v>22.75</v>
          </cell>
          <cell r="H516">
            <v>20.700000000000003</v>
          </cell>
          <cell r="I516">
            <v>0</v>
          </cell>
          <cell r="J516">
            <v>0.15</v>
          </cell>
          <cell r="K516">
            <v>10</v>
          </cell>
          <cell r="L516">
            <v>10</v>
          </cell>
          <cell r="M516">
            <v>1</v>
          </cell>
          <cell r="N516" t="str">
            <v>1-Victron</v>
          </cell>
        </row>
        <row r="517">
          <cell r="A517" t="str">
            <v>B0513</v>
          </cell>
          <cell r="B517" t="str">
            <v>Cables</v>
          </cell>
          <cell r="C517" t="str">
            <v>Victron</v>
          </cell>
          <cell r="D517" t="str">
            <v>VE.Direct Cable 0.9m</v>
          </cell>
          <cell r="E517" t="str">
            <v>ASS030530209</v>
          </cell>
          <cell r="F517" t="str">
            <v>MPN (Part #)</v>
          </cell>
          <cell r="G517">
            <v>22.75</v>
          </cell>
          <cell r="H517">
            <v>20.700000000000003</v>
          </cell>
          <cell r="I517">
            <v>0</v>
          </cell>
          <cell r="J517">
            <v>0.15</v>
          </cell>
          <cell r="K517">
            <v>10</v>
          </cell>
          <cell r="L517">
            <v>10</v>
          </cell>
          <cell r="M517">
            <v>1</v>
          </cell>
          <cell r="N517" t="str">
            <v>1-Victron</v>
          </cell>
        </row>
        <row r="518">
          <cell r="A518" t="str">
            <v>B0514</v>
          </cell>
          <cell r="B518" t="str">
            <v>Victron Accessories</v>
          </cell>
          <cell r="C518" t="str">
            <v>Victron</v>
          </cell>
          <cell r="D518" t="str">
            <v>VE.Can to CAN-bus BMS type B Cable 1.8m</v>
          </cell>
          <cell r="E518" t="str">
            <v>ASS030720018</v>
          </cell>
          <cell r="F518" t="str">
            <v>MPN (Part #)</v>
          </cell>
          <cell r="G518">
            <v>23.75</v>
          </cell>
          <cell r="H518">
            <v>21.6</v>
          </cell>
          <cell r="I518">
            <v>0</v>
          </cell>
          <cell r="J518">
            <v>0.1</v>
          </cell>
          <cell r="K518">
            <v>15</v>
          </cell>
          <cell r="L518">
            <v>15</v>
          </cell>
          <cell r="M518">
            <v>1</v>
          </cell>
          <cell r="N518" t="str">
            <v>1-Victron</v>
          </cell>
        </row>
        <row r="519">
          <cell r="A519" t="str">
            <v>B0515</v>
          </cell>
          <cell r="B519" t="str">
            <v>Hardware</v>
          </cell>
          <cell r="C519" t="str">
            <v>Konnect</v>
          </cell>
          <cell r="D519" t="str">
            <v>Battery Cap M5 Black plastic domed</v>
          </cell>
          <cell r="E519" t="str">
            <v>Cap-M5</v>
          </cell>
          <cell r="F519" t="str">
            <v>MPN (Part #)</v>
          </cell>
          <cell r="G519">
            <v>0.2</v>
          </cell>
          <cell r="H519">
            <v>0.2</v>
          </cell>
          <cell r="I519">
            <v>0</v>
          </cell>
          <cell r="N519" t="str">
            <v>6-Various</v>
          </cell>
        </row>
        <row r="520">
          <cell r="A520" t="str">
            <v>B0516</v>
          </cell>
          <cell r="B520" t="str">
            <v>Batteries</v>
          </cell>
          <cell r="C520" t="str">
            <v>Pylontech</v>
          </cell>
          <cell r="D520" t="str">
            <v xml:space="preserve">Lithium Battery Module US2000B </v>
          </cell>
          <cell r="E520" t="str">
            <v>PYLON-US2000/P1</v>
          </cell>
          <cell r="F520" t="str">
            <v>MPN (Part #)</v>
          </cell>
          <cell r="G520">
            <v>0</v>
          </cell>
          <cell r="H520">
            <v>0</v>
          </cell>
          <cell r="I520">
            <v>0</v>
          </cell>
          <cell r="J520">
            <v>1.2</v>
          </cell>
          <cell r="K520">
            <v>25</v>
          </cell>
          <cell r="L520">
            <v>12</v>
          </cell>
          <cell r="M520">
            <v>7.5</v>
          </cell>
          <cell r="N520" t="str">
            <v>1-Victron</v>
          </cell>
        </row>
        <row r="521">
          <cell r="A521" t="str">
            <v>B0517</v>
          </cell>
          <cell r="B521" t="str">
            <v>Batteries</v>
          </cell>
          <cell r="C521" t="str">
            <v>SolarWatt</v>
          </cell>
          <cell r="D521" t="str">
            <v>Battery My Reserve Matrix 7.2 KWh Kit</v>
          </cell>
          <cell r="E521" t="str">
            <v>MRKIT-7.2</v>
          </cell>
          <cell r="F521" t="str">
            <v>MyReserveMtx-7.2-Kit</v>
          </cell>
          <cell r="G521">
            <v>0</v>
          </cell>
          <cell r="H521">
            <v>0</v>
          </cell>
          <cell r="I521">
            <v>0</v>
          </cell>
          <cell r="J521">
            <v>132</v>
          </cell>
          <cell r="K521">
            <v>98.4</v>
          </cell>
          <cell r="L521">
            <v>73.400000000000006</v>
          </cell>
          <cell r="M521">
            <v>98</v>
          </cell>
          <cell r="N521" t="str">
            <v>7-Baywa</v>
          </cell>
        </row>
        <row r="522">
          <cell r="A522" t="str">
            <v>B0518</v>
          </cell>
          <cell r="B522" t="str">
            <v>Batteries</v>
          </cell>
          <cell r="C522" t="str">
            <v>SolarWatt</v>
          </cell>
          <cell r="D522" t="str">
            <v>Battery My Reserve Matrix 9.6 KWh Kit</v>
          </cell>
          <cell r="E522" t="str">
            <v>MRKIT-9.6</v>
          </cell>
          <cell r="F522" t="str">
            <v>MyReserveMtx-9.6-Kit</v>
          </cell>
          <cell r="G522">
            <v>0</v>
          </cell>
          <cell r="H522">
            <v>0</v>
          </cell>
          <cell r="I522">
            <v>0</v>
          </cell>
          <cell r="J522">
            <v>159</v>
          </cell>
          <cell r="K522">
            <v>98.4</v>
          </cell>
          <cell r="L522">
            <v>73.400000000000006</v>
          </cell>
          <cell r="M522">
            <v>124</v>
          </cell>
          <cell r="N522" t="str">
            <v>7-Baywa</v>
          </cell>
        </row>
        <row r="523">
          <cell r="A523" t="str">
            <v>B0519</v>
          </cell>
          <cell r="B523" t="str">
            <v>Control</v>
          </cell>
          <cell r="C523" t="str">
            <v>Victron</v>
          </cell>
          <cell r="D523" t="str">
            <v>Energy Meter Victron ET340 3 Phase</v>
          </cell>
          <cell r="E523" t="str">
            <v>REL300300000</v>
          </cell>
          <cell r="F523" t="str">
            <v>MPN (Part #)</v>
          </cell>
          <cell r="G523">
            <v>206.9</v>
          </cell>
          <cell r="H523">
            <v>188.10000000000002</v>
          </cell>
          <cell r="I523">
            <v>0</v>
          </cell>
          <cell r="J523">
            <v>0.5</v>
          </cell>
          <cell r="K523">
            <v>10</v>
          </cell>
          <cell r="L523">
            <v>8</v>
          </cell>
          <cell r="M523">
            <v>5</v>
          </cell>
          <cell r="N523" t="str">
            <v>1-Victron</v>
          </cell>
        </row>
        <row r="524">
          <cell r="A524" t="str">
            <v>B0520</v>
          </cell>
          <cell r="B524" t="str">
            <v>Electrical</v>
          </cell>
          <cell r="C524" t="str">
            <v>Wattmaster</v>
          </cell>
          <cell r="D524" t="str">
            <v xml:space="preserve">Cable Lug 25mm2 10mm Hole </v>
          </cell>
          <cell r="E524" t="str">
            <v>ALCL25M10/25</v>
          </cell>
          <cell r="F524" t="str">
            <v>MPN (Part #)</v>
          </cell>
          <cell r="G524">
            <v>1.1500000000000001</v>
          </cell>
          <cell r="H524">
            <v>1.05</v>
          </cell>
          <cell r="I524">
            <v>0</v>
          </cell>
          <cell r="N524" t="str">
            <v>3-Tradezone</v>
          </cell>
        </row>
        <row r="525">
          <cell r="A525" t="str">
            <v>B0521</v>
          </cell>
          <cell r="D525" t="str">
            <v>Fuse Blade 1 Amp</v>
          </cell>
          <cell r="F525" t="str">
            <v>MPN (Part #)</v>
          </cell>
          <cell r="G525">
            <v>0</v>
          </cell>
          <cell r="H525">
            <v>0</v>
          </cell>
          <cell r="I525">
            <v>0</v>
          </cell>
          <cell r="N525" t="str">
            <v/>
          </cell>
        </row>
        <row r="526">
          <cell r="A526" t="str">
            <v>B0522</v>
          </cell>
          <cell r="D526" t="str">
            <v>Plug RJ45 Cat6 Excel</v>
          </cell>
          <cell r="F526" t="str">
            <v>MPN (Part #)</v>
          </cell>
          <cell r="G526">
            <v>0</v>
          </cell>
          <cell r="H526">
            <v>0</v>
          </cell>
          <cell r="I526">
            <v>0</v>
          </cell>
          <cell r="N526" t="str">
            <v/>
          </cell>
        </row>
        <row r="527">
          <cell r="A527" t="str">
            <v>B0523</v>
          </cell>
          <cell r="B527" t="str">
            <v>Electrical</v>
          </cell>
          <cell r="C527" t="str">
            <v>Wattmaster</v>
          </cell>
          <cell r="D527" t="str">
            <v>Cable Lug 25mm Cable 8mm Hole</v>
          </cell>
          <cell r="E527" t="str">
            <v>ALCL25M8/25</v>
          </cell>
          <cell r="F527" t="str">
            <v>MPN (Part #)</v>
          </cell>
          <cell r="G527">
            <v>1.1500000000000001</v>
          </cell>
          <cell r="H527">
            <v>1.05</v>
          </cell>
          <cell r="I527">
            <v>0</v>
          </cell>
          <cell r="N527" t="str">
            <v>3-Tradezone</v>
          </cell>
        </row>
        <row r="528">
          <cell r="A528" t="str">
            <v>B0524</v>
          </cell>
          <cell r="B528" t="str">
            <v>Victron Accessories</v>
          </cell>
          <cell r="C528" t="str">
            <v>Victron</v>
          </cell>
          <cell r="D528" t="str">
            <v>GSM GX Dongle for Victron GX Devices</v>
          </cell>
          <cell r="E528" t="str">
            <v>GSM100100100</v>
          </cell>
          <cell r="F528" t="str">
            <v>MPN (Part #)</v>
          </cell>
          <cell r="G528">
            <v>0</v>
          </cell>
          <cell r="H528">
            <v>0</v>
          </cell>
          <cell r="I528">
            <v>0</v>
          </cell>
          <cell r="J528">
            <v>0.3</v>
          </cell>
          <cell r="K528">
            <v>4.3</v>
          </cell>
          <cell r="L528">
            <v>10.6</v>
          </cell>
          <cell r="M528">
            <v>2.2999999999999998</v>
          </cell>
          <cell r="N528" t="str">
            <v/>
          </cell>
        </row>
        <row r="529">
          <cell r="A529" t="str">
            <v>B0526</v>
          </cell>
          <cell r="B529" t="str">
            <v>Batteries</v>
          </cell>
          <cell r="C529" t="str">
            <v>SolarWatt</v>
          </cell>
          <cell r="D529" t="str">
            <v>Battery My Reserve Matrix 4.8 KWh Kit</v>
          </cell>
          <cell r="E529" t="str">
            <v>MRKIT-4.8</v>
          </cell>
          <cell r="F529" t="str">
            <v>MyReserveMtx-4.8-Kit</v>
          </cell>
          <cell r="G529">
            <v>0</v>
          </cell>
          <cell r="H529">
            <v>0</v>
          </cell>
          <cell r="I529">
            <v>0</v>
          </cell>
          <cell r="J529">
            <v>105</v>
          </cell>
          <cell r="K529">
            <v>98.4</v>
          </cell>
          <cell r="L529">
            <v>73.400000000000006</v>
          </cell>
          <cell r="M529">
            <v>72</v>
          </cell>
          <cell r="N529" t="str">
            <v>7-Baywa</v>
          </cell>
        </row>
        <row r="530">
          <cell r="A530" t="str">
            <v>B0527</v>
          </cell>
          <cell r="B530" t="str">
            <v>Batteries</v>
          </cell>
          <cell r="C530" t="str">
            <v>SolarWatt</v>
          </cell>
          <cell r="D530" t="str">
            <v>Battery My Reserve Matrix 12.0 KWh Kit</v>
          </cell>
          <cell r="E530" t="str">
            <v>MRKIT-12</v>
          </cell>
          <cell r="F530" t="str">
            <v>MyReserveMtx-12.0-Kit</v>
          </cell>
          <cell r="G530">
            <v>0</v>
          </cell>
          <cell r="H530">
            <v>0</v>
          </cell>
          <cell r="I530">
            <v>0</v>
          </cell>
          <cell r="J530">
            <v>186</v>
          </cell>
          <cell r="K530">
            <v>98.4</v>
          </cell>
          <cell r="L530">
            <v>73.400000000000006</v>
          </cell>
          <cell r="M530">
            <v>150</v>
          </cell>
          <cell r="N530" t="str">
            <v>7-Baywa</v>
          </cell>
        </row>
        <row r="531">
          <cell r="A531" t="str">
            <v>B0528</v>
          </cell>
          <cell r="B531" t="str">
            <v>Batteries</v>
          </cell>
          <cell r="C531" t="str">
            <v>SolarWatt</v>
          </cell>
          <cell r="D531" t="str">
            <v>Battery Matrix Command 20.2</v>
          </cell>
          <cell r="E531" t="str">
            <v>MRCommand</v>
          </cell>
          <cell r="F531" t="str">
            <v>MyReserveCommand</v>
          </cell>
          <cell r="G531">
            <v>2812.8500000000004</v>
          </cell>
          <cell r="H531">
            <v>2557.15</v>
          </cell>
          <cell r="I531">
            <v>0</v>
          </cell>
          <cell r="J531">
            <v>15</v>
          </cell>
          <cell r="K531">
            <v>38.4</v>
          </cell>
          <cell r="L531">
            <v>27.7</v>
          </cell>
          <cell r="M531">
            <v>20.100000000000001</v>
          </cell>
          <cell r="N531" t="str">
            <v>7-Baywa</v>
          </cell>
        </row>
        <row r="532">
          <cell r="A532" t="str">
            <v>B0529</v>
          </cell>
          <cell r="B532" t="str">
            <v>Batteries</v>
          </cell>
          <cell r="C532" t="str">
            <v>SolarWatt</v>
          </cell>
          <cell r="D532" t="str">
            <v>Battery Matrix single pack 2.4KWh</v>
          </cell>
          <cell r="E532" t="str">
            <v>MRSingle</v>
          </cell>
          <cell r="F532" t="str">
            <v>MyReserveSingle</v>
          </cell>
          <cell r="G532">
            <v>3037.5</v>
          </cell>
          <cell r="H532">
            <v>2761.3500000000004</v>
          </cell>
          <cell r="I532">
            <v>0</v>
          </cell>
          <cell r="J532">
            <v>25</v>
          </cell>
          <cell r="K532">
            <v>38.4</v>
          </cell>
          <cell r="L532">
            <v>27.7</v>
          </cell>
          <cell r="M532">
            <v>20.100000000000001</v>
          </cell>
          <cell r="N532" t="str">
            <v>7-Baywa</v>
          </cell>
        </row>
        <row r="533">
          <cell r="A533" t="str">
            <v>B0530</v>
          </cell>
          <cell r="D533" t="str">
            <v>Cable Tie Mount 32x25mm TY8G1</v>
          </cell>
          <cell r="E533" t="str">
            <v>TY8G1</v>
          </cell>
          <cell r="F533" t="str">
            <v>MPN (Part #)</v>
          </cell>
          <cell r="G533">
            <v>0.70000000000000007</v>
          </cell>
          <cell r="H533">
            <v>0.65</v>
          </cell>
          <cell r="I533">
            <v>0</v>
          </cell>
          <cell r="N533" t="str">
            <v>6-Various</v>
          </cell>
        </row>
        <row r="534">
          <cell r="A534" t="str">
            <v>B0531</v>
          </cell>
          <cell r="B534" t="str">
            <v>Electrical</v>
          </cell>
          <cell r="C534" t="str">
            <v>HellermanTyton</v>
          </cell>
          <cell r="D534" t="str">
            <v>Cable Tie Mount 19x19mm MB3A</v>
          </cell>
          <cell r="E534" t="str">
            <v>MB3A</v>
          </cell>
          <cell r="F534" t="str">
            <v>MPN (Part #)</v>
          </cell>
          <cell r="G534">
            <v>0.5</v>
          </cell>
          <cell r="H534">
            <v>0.45</v>
          </cell>
          <cell r="I534">
            <v>0</v>
          </cell>
          <cell r="N534" t="str">
            <v>6-Various</v>
          </cell>
        </row>
        <row r="535">
          <cell r="A535" t="str">
            <v>B0532</v>
          </cell>
          <cell r="B535" t="str">
            <v>Inverter-Chargers</v>
          </cell>
          <cell r="C535" t="str">
            <v>Victron</v>
          </cell>
          <cell r="D535" t="str">
            <v>EasySolar-II 48/5000/70</v>
          </cell>
          <cell r="E535" t="str">
            <v>PMP482507010</v>
          </cell>
          <cell r="F535" t="str">
            <v>MPN (Part #)</v>
          </cell>
          <cell r="G535">
            <v>3715.4500000000003</v>
          </cell>
          <cell r="H535">
            <v>3377.7000000000003</v>
          </cell>
          <cell r="I535">
            <v>0</v>
          </cell>
          <cell r="J535">
            <v>26</v>
          </cell>
          <cell r="K535">
            <v>50</v>
          </cell>
          <cell r="L535">
            <v>27</v>
          </cell>
          <cell r="M535">
            <v>24</v>
          </cell>
          <cell r="N535" t="str">
            <v>1-Victron</v>
          </cell>
        </row>
        <row r="536">
          <cell r="A536" t="str">
            <v>B0533</v>
          </cell>
          <cell r="B536" t="str">
            <v>Inverter-Chargers</v>
          </cell>
          <cell r="C536" t="str">
            <v>Victron</v>
          </cell>
          <cell r="D536" t="str">
            <v>EasySolar 48/5000/70</v>
          </cell>
          <cell r="E536" t="str">
            <v>PMP485027010</v>
          </cell>
          <cell r="F536" t="str">
            <v>EasySolar_48/5000/70</v>
          </cell>
          <cell r="G536">
            <v>0</v>
          </cell>
          <cell r="H536">
            <v>0</v>
          </cell>
          <cell r="I536">
            <v>0</v>
          </cell>
          <cell r="J536">
            <v>48</v>
          </cell>
          <cell r="K536">
            <v>87.7</v>
          </cell>
          <cell r="L536">
            <v>32.799999999999997</v>
          </cell>
          <cell r="M536">
            <v>24.1</v>
          </cell>
          <cell r="N536" t="str">
            <v>1-Victron</v>
          </cell>
        </row>
        <row r="537">
          <cell r="A537" t="str">
            <v>B0534</v>
          </cell>
          <cell r="B537" t="str">
            <v>Inverter-Chargers</v>
          </cell>
          <cell r="C537" t="str">
            <v>Victron</v>
          </cell>
          <cell r="D537" t="str">
            <v>EasySolar 12/1600/70-16</v>
          </cell>
          <cell r="E537" t="str">
            <v>CEP121621000</v>
          </cell>
          <cell r="F537" t="str">
            <v>EasysolarII_48/3000/35-32GX</v>
          </cell>
          <cell r="G537">
            <v>2238.4</v>
          </cell>
          <cell r="H537">
            <v>2034.9</v>
          </cell>
          <cell r="I537">
            <v>0</v>
          </cell>
          <cell r="J537">
            <v>15</v>
          </cell>
          <cell r="K537">
            <v>75.400000000000006</v>
          </cell>
          <cell r="L537">
            <v>24.5</v>
          </cell>
          <cell r="M537">
            <v>11</v>
          </cell>
          <cell r="N537" t="str">
            <v>1-Victron</v>
          </cell>
        </row>
        <row r="538">
          <cell r="A538" t="str">
            <v>B0535</v>
          </cell>
          <cell r="B538" t="str">
            <v>Inverter-Chargers</v>
          </cell>
          <cell r="C538" t="str">
            <v>Victron</v>
          </cell>
          <cell r="D538" t="str">
            <v>EasySolar 24/1600/40-16</v>
          </cell>
          <cell r="E538" t="str">
            <v>CEP241621010</v>
          </cell>
          <cell r="F538" t="str">
            <v>EasySolar_24/1600/40-16</v>
          </cell>
          <cell r="G538">
            <v>2238.4</v>
          </cell>
          <cell r="H538">
            <v>2034.9</v>
          </cell>
          <cell r="I538">
            <v>0</v>
          </cell>
          <cell r="J538">
            <v>15</v>
          </cell>
          <cell r="K538">
            <v>74.5</v>
          </cell>
          <cell r="L538">
            <v>21.4</v>
          </cell>
          <cell r="M538">
            <v>11</v>
          </cell>
          <cell r="N538" t="str">
            <v>1-Victron</v>
          </cell>
        </row>
        <row r="539">
          <cell r="A539" t="str">
            <v>B0537</v>
          </cell>
          <cell r="B539" t="str">
            <v>Inverter-Chargers</v>
          </cell>
          <cell r="C539" t="str">
            <v>Victron</v>
          </cell>
          <cell r="D539" t="str">
            <v>Multiplus-II GX 48/3000/35-32</v>
          </cell>
          <cell r="E539" t="str">
            <v>PMP482306000</v>
          </cell>
          <cell r="F539" t="str">
            <v>Multi-II GX_48/3000/35-32</v>
          </cell>
          <cell r="G539">
            <v>1327.6000000000001</v>
          </cell>
          <cell r="H539">
            <v>1206.9000000000001</v>
          </cell>
          <cell r="I539">
            <v>0</v>
          </cell>
          <cell r="J539">
            <v>26</v>
          </cell>
          <cell r="K539">
            <v>50.6</v>
          </cell>
          <cell r="L539">
            <v>27.5</v>
          </cell>
          <cell r="M539">
            <v>14.7</v>
          </cell>
          <cell r="N539" t="str">
            <v>1-Victron</v>
          </cell>
        </row>
        <row r="540">
          <cell r="A540" t="str">
            <v>B0538</v>
          </cell>
          <cell r="B540" t="str">
            <v>Inverter-Chargers</v>
          </cell>
          <cell r="C540" t="str">
            <v>Victron</v>
          </cell>
          <cell r="D540" t="str">
            <v>Multiplus 12/1600/70</v>
          </cell>
          <cell r="E540" t="str">
            <v>PMP122160000</v>
          </cell>
          <cell r="F540" t="str">
            <v>Multi_12/1600/70</v>
          </cell>
          <cell r="G540">
            <v>1310.75</v>
          </cell>
          <cell r="H540">
            <v>1191.6000000000001</v>
          </cell>
          <cell r="I540">
            <v>0</v>
          </cell>
          <cell r="J540">
            <v>10.199999999999999</v>
          </cell>
          <cell r="K540">
            <v>47</v>
          </cell>
          <cell r="L540">
            <v>26.5</v>
          </cell>
          <cell r="M540">
            <v>12</v>
          </cell>
          <cell r="N540" t="str">
            <v>1-Victron</v>
          </cell>
        </row>
        <row r="541">
          <cell r="A541" t="str">
            <v>B0539</v>
          </cell>
          <cell r="B541" t="str">
            <v>Control</v>
          </cell>
          <cell r="C541" t="str">
            <v>Fronius</v>
          </cell>
          <cell r="D541" t="str">
            <v>Smart Meter 63A 3 phase</v>
          </cell>
          <cell r="E541" t="str">
            <v>SM63-3</v>
          </cell>
          <cell r="F541" t="str">
            <v>MPN (Part #)</v>
          </cell>
          <cell r="G541">
            <v>614.70000000000005</v>
          </cell>
          <cell r="H541">
            <v>558.80000000000007</v>
          </cell>
          <cell r="I541">
            <v>0</v>
          </cell>
          <cell r="J541">
            <v>0.35</v>
          </cell>
          <cell r="K541">
            <v>11</v>
          </cell>
          <cell r="L541">
            <v>7.5</v>
          </cell>
          <cell r="M541">
            <v>9.5</v>
          </cell>
          <cell r="N541" t="str">
            <v>2-Krannich</v>
          </cell>
        </row>
        <row r="542">
          <cell r="A542" t="str">
            <v>B0540</v>
          </cell>
          <cell r="B542" t="str">
            <v>Control</v>
          </cell>
          <cell r="C542" t="str">
            <v>Fronius</v>
          </cell>
          <cell r="D542" t="str">
            <v>Smart Meter 3ph Commercial</v>
          </cell>
          <cell r="E542" t="str">
            <v>SM63-3-C</v>
          </cell>
          <cell r="F542" t="str">
            <v>MPN (Part #)</v>
          </cell>
          <cell r="G542">
            <v>645.45000000000005</v>
          </cell>
          <cell r="H542">
            <v>586.75</v>
          </cell>
          <cell r="I542">
            <v>0</v>
          </cell>
          <cell r="J542">
            <v>0.35</v>
          </cell>
          <cell r="K542">
            <v>11</v>
          </cell>
          <cell r="L542">
            <v>7.5</v>
          </cell>
          <cell r="M542">
            <v>9.5</v>
          </cell>
          <cell r="N542" t="str">
            <v>2-Krannich</v>
          </cell>
        </row>
        <row r="543">
          <cell r="A543" t="str">
            <v>B0541</v>
          </cell>
          <cell r="D543" t="str">
            <v>Littelfuse 250A Pink Bolt Down Car Fuse, 32V dc</v>
          </cell>
          <cell r="F543" t="str">
            <v>MPN (Part #)</v>
          </cell>
          <cell r="G543">
            <v>0</v>
          </cell>
          <cell r="H543">
            <v>0</v>
          </cell>
          <cell r="I543">
            <v>0</v>
          </cell>
          <cell r="N543" t="str">
            <v/>
          </cell>
        </row>
        <row r="544">
          <cell r="A544" t="str">
            <v>B0542</v>
          </cell>
          <cell r="B544" t="str">
            <v>Fuses</v>
          </cell>
          <cell r="C544" t="str">
            <v>DKSH</v>
          </cell>
          <cell r="D544" t="str">
            <v>MCB 16A DC 2 pole</v>
          </cell>
          <cell r="E544" t="str">
            <v>N84450</v>
          </cell>
          <cell r="F544" t="str">
            <v>MPN (Part #)</v>
          </cell>
          <cell r="G544">
            <v>32.9</v>
          </cell>
          <cell r="H544">
            <v>29.900000000000002</v>
          </cell>
          <cell r="I544">
            <v>0</v>
          </cell>
          <cell r="N544" t="str">
            <v>3-Tradezone</v>
          </cell>
        </row>
        <row r="545">
          <cell r="A545" t="str">
            <v>B0543</v>
          </cell>
          <cell r="B545" t="str">
            <v>Solar Accessories</v>
          </cell>
          <cell r="C545" t="str">
            <v>PGK</v>
          </cell>
          <cell r="D545" t="str">
            <v>Solar cable 4mm Single PV1-F 100M drum</v>
          </cell>
          <cell r="E545" t="str">
            <v>4MMTWINDC</v>
          </cell>
          <cell r="F545" t="str">
            <v>MPN (Part #)</v>
          </cell>
          <cell r="G545">
            <v>184.4</v>
          </cell>
          <cell r="H545">
            <v>167.65</v>
          </cell>
          <cell r="I545">
            <v>0</v>
          </cell>
          <cell r="J545">
            <v>10.26</v>
          </cell>
          <cell r="K545">
            <v>24</v>
          </cell>
          <cell r="L545">
            <v>22</v>
          </cell>
          <cell r="M545">
            <v>22</v>
          </cell>
          <cell r="N545" t="str">
            <v>3-Tradezone</v>
          </cell>
        </row>
        <row r="546">
          <cell r="A546" t="str">
            <v>B0544</v>
          </cell>
          <cell r="B546" t="str">
            <v>Cables</v>
          </cell>
          <cell r="C546" t="str">
            <v>Victron</v>
          </cell>
          <cell r="D546" t="str">
            <v>VE.Direct Cable 0.3m</v>
          </cell>
          <cell r="E546" t="str">
            <v>ASS030530203</v>
          </cell>
          <cell r="F546" t="str">
            <v>MPN (Part #)</v>
          </cell>
          <cell r="G546">
            <v>0</v>
          </cell>
          <cell r="H546">
            <v>0</v>
          </cell>
          <cell r="I546">
            <v>0</v>
          </cell>
          <cell r="J546">
            <v>0.15</v>
          </cell>
          <cell r="K546">
            <v>10</v>
          </cell>
          <cell r="L546">
            <v>10</v>
          </cell>
          <cell r="M546">
            <v>1</v>
          </cell>
          <cell r="N546" t="str">
            <v>1-Victron</v>
          </cell>
        </row>
        <row r="547">
          <cell r="A547" t="str">
            <v>B0545</v>
          </cell>
          <cell r="B547" t="str">
            <v>Batteries</v>
          </cell>
          <cell r="C547" t="str">
            <v>VICTRON</v>
          </cell>
          <cell r="D547" t="str">
            <v xml:space="preserve">AGM Super Cycle Batt. 12V/15Ah </v>
          </cell>
          <cell r="E547" t="str">
            <v>BAT212120086</v>
          </cell>
          <cell r="F547" t="str">
            <v>AGMSCB12V15</v>
          </cell>
          <cell r="G547">
            <v>0</v>
          </cell>
          <cell r="H547">
            <v>0</v>
          </cell>
          <cell r="I547">
            <v>0</v>
          </cell>
          <cell r="J547">
            <v>4</v>
          </cell>
          <cell r="K547">
            <v>15.1</v>
          </cell>
          <cell r="L547">
            <v>9.9</v>
          </cell>
          <cell r="M547">
            <v>10.3</v>
          </cell>
          <cell r="N547" t="str">
            <v>1-Victron</v>
          </cell>
        </row>
        <row r="548">
          <cell r="A548" t="str">
            <v>B0546</v>
          </cell>
          <cell r="B548" t="str">
            <v>Batteries</v>
          </cell>
          <cell r="C548" t="str">
            <v>VICTRON</v>
          </cell>
          <cell r="D548" t="str">
            <v>Gel Deep Cycle Batt. 12V60Ah (C20)</v>
          </cell>
          <cell r="E548" t="str">
            <v>BAT412550104</v>
          </cell>
          <cell r="F548" t="str">
            <v>GELDC12/60</v>
          </cell>
          <cell r="G548">
            <v>0</v>
          </cell>
          <cell r="H548">
            <v>0</v>
          </cell>
          <cell r="I548">
            <v>0</v>
          </cell>
          <cell r="J548">
            <v>19</v>
          </cell>
          <cell r="K548">
            <v>22.9</v>
          </cell>
          <cell r="L548">
            <v>13.8</v>
          </cell>
          <cell r="M548">
            <v>22.7</v>
          </cell>
          <cell r="N548" t="str">
            <v>1-Victron</v>
          </cell>
        </row>
        <row r="549">
          <cell r="A549" t="str">
            <v>B0547</v>
          </cell>
          <cell r="B549" t="str">
            <v>Batteries</v>
          </cell>
          <cell r="C549" t="str">
            <v>VICTRON</v>
          </cell>
          <cell r="D549" t="str">
            <v>Lead Carbon Battery 12V/106Ah (M8)</v>
          </cell>
          <cell r="E549" t="str">
            <v>BAT612110081</v>
          </cell>
          <cell r="F549" t="str">
            <v>LEADCB12/106</v>
          </cell>
          <cell r="G549">
            <v>0</v>
          </cell>
          <cell r="H549">
            <v>0</v>
          </cell>
          <cell r="I549">
            <v>0</v>
          </cell>
          <cell r="J549">
            <v>36</v>
          </cell>
          <cell r="K549">
            <v>41</v>
          </cell>
          <cell r="L549">
            <v>18</v>
          </cell>
          <cell r="M549">
            <v>21</v>
          </cell>
          <cell r="N549" t="str">
            <v>1-Victron</v>
          </cell>
        </row>
        <row r="550">
          <cell r="A550" t="str">
            <v>B0548</v>
          </cell>
          <cell r="D550" t="str">
            <v>LiFePO4 battery 24V/180Ah 4,75 kW</v>
          </cell>
          <cell r="F550" t="str">
            <v>MPN (Part #)</v>
          </cell>
          <cell r="G550">
            <v>0</v>
          </cell>
          <cell r="H550">
            <v>0</v>
          </cell>
          <cell r="I550">
            <v>0</v>
          </cell>
          <cell r="N550" t="str">
            <v>1-Victron</v>
          </cell>
        </row>
        <row r="551">
          <cell r="A551" t="str">
            <v>B0549</v>
          </cell>
          <cell r="B551" t="str">
            <v>Batteries</v>
          </cell>
          <cell r="C551" t="str">
            <v>VICTRON</v>
          </cell>
          <cell r="D551" t="str">
            <v>LiFePO4 battery 12.8V/60Ah - Smart</v>
          </cell>
          <cell r="E551" t="str">
            <v>BAT512060410</v>
          </cell>
          <cell r="F551" t="str">
            <v>LIFEPO4BAT12.8/60</v>
          </cell>
          <cell r="G551">
            <v>0</v>
          </cell>
          <cell r="H551">
            <v>0</v>
          </cell>
          <cell r="I551">
            <v>0</v>
          </cell>
          <cell r="J551">
            <v>12</v>
          </cell>
          <cell r="K551">
            <v>23.5</v>
          </cell>
          <cell r="L551">
            <v>28.5</v>
          </cell>
          <cell r="M551">
            <v>13.6</v>
          </cell>
          <cell r="N551" t="str">
            <v>1-Victron</v>
          </cell>
        </row>
        <row r="552">
          <cell r="A552" t="str">
            <v>B0550</v>
          </cell>
          <cell r="B552" t="str">
            <v>Batteries</v>
          </cell>
          <cell r="C552" t="str">
            <v>VICTRON</v>
          </cell>
          <cell r="D552" t="str">
            <v>Lithium SuperPack 12,8V/20Ah (M5)</v>
          </cell>
          <cell r="E552" t="str">
            <v>BAT512020705</v>
          </cell>
          <cell r="F552" t="str">
            <v>LI-IONSUPACK12.8/20</v>
          </cell>
          <cell r="G552">
            <v>0</v>
          </cell>
          <cell r="H552">
            <v>0</v>
          </cell>
          <cell r="I552">
            <v>0</v>
          </cell>
          <cell r="J552">
            <v>3.3</v>
          </cell>
          <cell r="K552">
            <v>19.27</v>
          </cell>
          <cell r="L552">
            <v>18</v>
          </cell>
          <cell r="M552">
            <v>18</v>
          </cell>
          <cell r="N552" t="str">
            <v>1-Victron</v>
          </cell>
        </row>
        <row r="553">
          <cell r="A553" t="str">
            <v>B0551</v>
          </cell>
          <cell r="B553" t="str">
            <v>Batteries</v>
          </cell>
          <cell r="C553" t="str">
            <v>VICTRON</v>
          </cell>
          <cell r="D553" t="str">
            <v>AGM Deep Cycle 12V/8Ah</v>
          </cell>
          <cell r="E553" t="str">
            <v>BAT212070084</v>
          </cell>
          <cell r="F553" t="str">
            <v>AGMDC12V/8</v>
          </cell>
          <cell r="G553">
            <v>0</v>
          </cell>
          <cell r="H553">
            <v>0</v>
          </cell>
          <cell r="I553">
            <v>0</v>
          </cell>
          <cell r="J553">
            <v>2.2999999999999998</v>
          </cell>
          <cell r="K553">
            <v>15.1</v>
          </cell>
          <cell r="L553">
            <v>6.5</v>
          </cell>
          <cell r="M553">
            <v>10.1</v>
          </cell>
          <cell r="N553" t="str">
            <v>1-Victron</v>
          </cell>
        </row>
        <row r="554">
          <cell r="A554" t="str">
            <v>B0552</v>
          </cell>
          <cell r="B554" t="str">
            <v>Batteries</v>
          </cell>
          <cell r="C554" t="str">
            <v>VICTRON</v>
          </cell>
          <cell r="D554" t="str">
            <v>AGM Deep Cycle 12V/14Ah</v>
          </cell>
          <cell r="E554" t="str">
            <v>BAT212120086</v>
          </cell>
          <cell r="F554" t="str">
            <v>AGMDC12V/14</v>
          </cell>
          <cell r="G554">
            <v>0</v>
          </cell>
          <cell r="H554">
            <v>0</v>
          </cell>
          <cell r="I554">
            <v>0</v>
          </cell>
          <cell r="J554">
            <v>4.4000000000000004</v>
          </cell>
          <cell r="K554">
            <v>15.1</v>
          </cell>
          <cell r="L554">
            <v>9.8000000000000007</v>
          </cell>
          <cell r="M554">
            <v>10.1</v>
          </cell>
          <cell r="N554" t="str">
            <v>1-Victron</v>
          </cell>
        </row>
        <row r="555">
          <cell r="A555" t="str">
            <v>B0553</v>
          </cell>
          <cell r="B555" t="str">
            <v>Batteries</v>
          </cell>
          <cell r="C555" t="str">
            <v>VICTRON</v>
          </cell>
          <cell r="D555" t="str">
            <v>AGM Deep Cycle 12V/22Ah</v>
          </cell>
          <cell r="E555" t="str">
            <v>BAT212200084</v>
          </cell>
          <cell r="F555" t="str">
            <v>AGMDC12V/22</v>
          </cell>
          <cell r="G555">
            <v>0</v>
          </cell>
          <cell r="H555">
            <v>0</v>
          </cell>
          <cell r="I555">
            <v>0</v>
          </cell>
          <cell r="J555">
            <v>5.8</v>
          </cell>
          <cell r="K555">
            <v>18.100000000000001</v>
          </cell>
          <cell r="L555">
            <v>7.7</v>
          </cell>
          <cell r="M555">
            <v>16.7</v>
          </cell>
          <cell r="N555" t="str">
            <v>1-Victron</v>
          </cell>
        </row>
        <row r="556">
          <cell r="A556" t="str">
            <v>B0554</v>
          </cell>
          <cell r="B556" t="str">
            <v>Batteries</v>
          </cell>
          <cell r="C556" t="str">
            <v>VICTRON</v>
          </cell>
          <cell r="D556" t="str">
            <v>AGM Deep Cycle 12V/38Ah</v>
          </cell>
          <cell r="E556" t="str">
            <v>BAT412350084</v>
          </cell>
          <cell r="F556" t="str">
            <v>AGMDC12V/38</v>
          </cell>
          <cell r="G556">
            <v>0</v>
          </cell>
          <cell r="H556">
            <v>0</v>
          </cell>
          <cell r="I556">
            <v>0</v>
          </cell>
          <cell r="J556">
            <v>15</v>
          </cell>
          <cell r="K556">
            <v>19.7</v>
          </cell>
          <cell r="L556">
            <v>16.5</v>
          </cell>
          <cell r="M556">
            <v>17</v>
          </cell>
          <cell r="N556" t="str">
            <v>1-Victron</v>
          </cell>
        </row>
        <row r="557">
          <cell r="A557" t="str">
            <v>B0555</v>
          </cell>
          <cell r="B557" t="str">
            <v>Batteries</v>
          </cell>
          <cell r="C557" t="str">
            <v>VICTRON</v>
          </cell>
          <cell r="D557" t="str">
            <v>AGM Deep Cycle 12V/60Ah</v>
          </cell>
          <cell r="E557" t="str">
            <v>BAT412550084</v>
          </cell>
          <cell r="F557" t="str">
            <v>AGMDC12V/60</v>
          </cell>
          <cell r="G557">
            <v>0</v>
          </cell>
          <cell r="H557">
            <v>0</v>
          </cell>
          <cell r="I557">
            <v>0</v>
          </cell>
          <cell r="J557">
            <v>18</v>
          </cell>
          <cell r="K557">
            <v>22.9</v>
          </cell>
          <cell r="L557">
            <v>13.8</v>
          </cell>
          <cell r="M557">
            <v>22.7</v>
          </cell>
          <cell r="N557" t="str">
            <v>1-Victron</v>
          </cell>
        </row>
        <row r="558">
          <cell r="A558" t="str">
            <v>B0556</v>
          </cell>
          <cell r="B558" t="str">
            <v>Batteries</v>
          </cell>
          <cell r="C558" t="str">
            <v>VICTRON</v>
          </cell>
          <cell r="D558" t="str">
            <v>AGM Deep Cycle 12V/66Ah</v>
          </cell>
          <cell r="E558" t="str">
            <v>BAT412600084</v>
          </cell>
          <cell r="F558" t="str">
            <v>AGMDC12V/66</v>
          </cell>
          <cell r="G558">
            <v>0</v>
          </cell>
          <cell r="H558">
            <v>0</v>
          </cell>
          <cell r="I558">
            <v>0</v>
          </cell>
          <cell r="J558">
            <v>24</v>
          </cell>
          <cell r="K558">
            <v>25.8</v>
          </cell>
          <cell r="L558">
            <v>16.600000000000001</v>
          </cell>
          <cell r="M558">
            <v>23.5</v>
          </cell>
          <cell r="N558" t="str">
            <v>1-Victron</v>
          </cell>
        </row>
        <row r="559">
          <cell r="A559" t="str">
            <v>B0557</v>
          </cell>
          <cell r="B559" t="str">
            <v>Batteries</v>
          </cell>
          <cell r="C559" t="str">
            <v>VICTRON</v>
          </cell>
          <cell r="D559" t="str">
            <v>AGM Deep Cycle 12V/90Ah</v>
          </cell>
          <cell r="E559" t="str">
            <v>BAT412800084</v>
          </cell>
          <cell r="F559" t="str">
            <v>AGMDC12V/90</v>
          </cell>
          <cell r="G559">
            <v>0</v>
          </cell>
          <cell r="H559">
            <v>0</v>
          </cell>
          <cell r="I559">
            <v>0</v>
          </cell>
          <cell r="J559">
            <v>27</v>
          </cell>
          <cell r="K559">
            <v>35</v>
          </cell>
          <cell r="L559">
            <v>16.7</v>
          </cell>
          <cell r="M559">
            <v>18.3</v>
          </cell>
          <cell r="N559" t="str">
            <v>1-Victron</v>
          </cell>
        </row>
        <row r="560">
          <cell r="A560" t="str">
            <v>B0558</v>
          </cell>
          <cell r="B560" t="str">
            <v>Batteries</v>
          </cell>
          <cell r="C560" t="str">
            <v>VICTRON</v>
          </cell>
          <cell r="D560" t="str">
            <v xml:space="preserve">AGM Deep Cycle 12V/110Ah </v>
          </cell>
          <cell r="E560" t="str">
            <v>BAT412101084</v>
          </cell>
          <cell r="F560" t="str">
            <v>AGMDC12V/110</v>
          </cell>
          <cell r="G560">
            <v>0</v>
          </cell>
          <cell r="H560">
            <v>0</v>
          </cell>
          <cell r="I560">
            <v>0</v>
          </cell>
          <cell r="J560">
            <v>32</v>
          </cell>
          <cell r="K560">
            <v>33</v>
          </cell>
          <cell r="L560">
            <v>17.100000000000001</v>
          </cell>
          <cell r="M560">
            <v>22</v>
          </cell>
          <cell r="N560" t="str">
            <v>1-Victron</v>
          </cell>
        </row>
        <row r="561">
          <cell r="A561" t="str">
            <v>B0559</v>
          </cell>
          <cell r="B561" t="str">
            <v>Batteries</v>
          </cell>
          <cell r="C561" t="str">
            <v>VICTRON</v>
          </cell>
          <cell r="D561" t="str">
            <v>AGM Deep Cycle 12V/130Ah</v>
          </cell>
          <cell r="E561" t="str">
            <v>BAT412121084</v>
          </cell>
          <cell r="F561" t="str">
            <v>AGMDC12V/130</v>
          </cell>
          <cell r="G561">
            <v>0</v>
          </cell>
          <cell r="H561">
            <v>0</v>
          </cell>
          <cell r="I561">
            <v>0</v>
          </cell>
          <cell r="J561">
            <v>38</v>
          </cell>
          <cell r="K561">
            <v>41</v>
          </cell>
          <cell r="L561">
            <v>17.600000000000001</v>
          </cell>
          <cell r="M561">
            <v>22.7</v>
          </cell>
          <cell r="N561" t="str">
            <v>1-Victron</v>
          </cell>
        </row>
        <row r="562">
          <cell r="A562" t="str">
            <v>B0560</v>
          </cell>
          <cell r="B562" t="str">
            <v>Batteries</v>
          </cell>
          <cell r="C562" t="str">
            <v>VICTRON</v>
          </cell>
          <cell r="D562" t="str">
            <v>AGM Deep Cycle 12V/165Ah</v>
          </cell>
          <cell r="E562" t="str">
            <v>BAT412151084</v>
          </cell>
          <cell r="F562" t="str">
            <v>AGMDC12V/165</v>
          </cell>
          <cell r="G562">
            <v>0</v>
          </cell>
          <cell r="H562">
            <v>0</v>
          </cell>
          <cell r="I562">
            <v>0</v>
          </cell>
          <cell r="J562">
            <v>47</v>
          </cell>
          <cell r="K562">
            <v>48.5</v>
          </cell>
          <cell r="L562">
            <v>17.2</v>
          </cell>
          <cell r="M562">
            <v>24</v>
          </cell>
          <cell r="N562" t="str">
            <v>1-Victron</v>
          </cell>
        </row>
        <row r="563">
          <cell r="A563" t="str">
            <v>B0561</v>
          </cell>
          <cell r="B563" t="str">
            <v>Batteries</v>
          </cell>
          <cell r="C563" t="str">
            <v>VICTRON</v>
          </cell>
          <cell r="D563" t="str">
            <v xml:space="preserve">AGM Deep Cycle 12V/220Ah </v>
          </cell>
          <cell r="E563" t="str">
            <v>BAT412201084</v>
          </cell>
          <cell r="F563" t="str">
            <v>AGMDC12V/220</v>
          </cell>
          <cell r="G563">
            <v>0</v>
          </cell>
          <cell r="H563">
            <v>0</v>
          </cell>
          <cell r="I563">
            <v>0</v>
          </cell>
          <cell r="J563">
            <v>65</v>
          </cell>
          <cell r="K563">
            <v>52.2</v>
          </cell>
          <cell r="L563">
            <v>23.8</v>
          </cell>
          <cell r="M563">
            <v>24</v>
          </cell>
          <cell r="N563" t="str">
            <v>1-Victron</v>
          </cell>
        </row>
        <row r="564">
          <cell r="A564" t="str">
            <v>B0562</v>
          </cell>
          <cell r="B564" t="str">
            <v>Batteries</v>
          </cell>
          <cell r="C564" t="str">
            <v>VICTRON</v>
          </cell>
          <cell r="D564" t="str">
            <v>AGM Dp Cycle 12V/90Ah Threaded insert (M6)</v>
          </cell>
          <cell r="E564" t="str">
            <v>BAT412800085</v>
          </cell>
          <cell r="F564" t="str">
            <v>AGMDCThread12V/90</v>
          </cell>
          <cell r="G564">
            <v>0</v>
          </cell>
          <cell r="H564">
            <v>0</v>
          </cell>
          <cell r="I564">
            <v>0</v>
          </cell>
          <cell r="J564">
            <v>27</v>
          </cell>
          <cell r="K564">
            <v>35</v>
          </cell>
          <cell r="L564">
            <v>16.7</v>
          </cell>
          <cell r="M564">
            <v>18.3</v>
          </cell>
          <cell r="N564" t="str">
            <v>1-Victron</v>
          </cell>
        </row>
        <row r="565">
          <cell r="A565" t="str">
            <v>B0563</v>
          </cell>
          <cell r="B565" t="str">
            <v>Batteries</v>
          </cell>
          <cell r="C565" t="str">
            <v>VICTRON</v>
          </cell>
          <cell r="D565" t="str">
            <v>AGM Dp Cycle 12V/110Ah Threaded insert (M8)</v>
          </cell>
          <cell r="E565" t="str">
            <v>BAT412101085</v>
          </cell>
          <cell r="F565" t="str">
            <v>AGMDCThread12V110</v>
          </cell>
          <cell r="G565">
            <v>0</v>
          </cell>
          <cell r="H565">
            <v>0</v>
          </cell>
          <cell r="I565">
            <v>0</v>
          </cell>
          <cell r="J565">
            <v>32</v>
          </cell>
          <cell r="K565">
            <v>33</v>
          </cell>
          <cell r="L565">
            <v>17.100000000000001</v>
          </cell>
          <cell r="M565">
            <v>22</v>
          </cell>
          <cell r="N565" t="str">
            <v>1-Victron</v>
          </cell>
        </row>
        <row r="566">
          <cell r="A566" t="str">
            <v>B0565</v>
          </cell>
          <cell r="B566" t="str">
            <v>Batteries</v>
          </cell>
          <cell r="C566" t="str">
            <v>VICTRON</v>
          </cell>
          <cell r="D566" t="str">
            <v>AGM Dp Cycle 12V/165Ah Threaded insert (M8)</v>
          </cell>
          <cell r="E566" t="str">
            <v>BAT412151085</v>
          </cell>
          <cell r="F566" t="str">
            <v>AGMDCThread12V/165</v>
          </cell>
          <cell r="G566">
            <v>0</v>
          </cell>
          <cell r="H566">
            <v>0</v>
          </cell>
          <cell r="I566">
            <v>0</v>
          </cell>
          <cell r="J566">
            <v>47</v>
          </cell>
          <cell r="K566">
            <v>48.5</v>
          </cell>
          <cell r="L566">
            <v>17.2</v>
          </cell>
          <cell r="M566">
            <v>24</v>
          </cell>
          <cell r="N566" t="str">
            <v>1-Victron</v>
          </cell>
        </row>
        <row r="567">
          <cell r="A567" t="str">
            <v>B0566</v>
          </cell>
          <cell r="B567" t="str">
            <v>Batteries</v>
          </cell>
          <cell r="C567" t="str">
            <v>VICTRON</v>
          </cell>
          <cell r="D567" t="str">
            <v>AGM Dp Cycle 12V/220Ah Threaded insert (M8)</v>
          </cell>
          <cell r="E567" t="str">
            <v>BAT412201085</v>
          </cell>
          <cell r="F567" t="str">
            <v>AGMDCThread12V/220</v>
          </cell>
          <cell r="G567">
            <v>0</v>
          </cell>
          <cell r="H567">
            <v>0</v>
          </cell>
          <cell r="I567">
            <v>0</v>
          </cell>
          <cell r="J567">
            <v>65</v>
          </cell>
          <cell r="K567">
            <v>52.2</v>
          </cell>
          <cell r="L567">
            <v>23.8</v>
          </cell>
          <cell r="M567">
            <v>24</v>
          </cell>
          <cell r="N567" t="str">
            <v>1-Victron</v>
          </cell>
        </row>
        <row r="568">
          <cell r="A568" t="str">
            <v>B0567</v>
          </cell>
          <cell r="B568" t="str">
            <v>Batteries</v>
          </cell>
          <cell r="C568" t="str">
            <v>VICTRON</v>
          </cell>
          <cell r="D568" t="str">
            <v>AGM Dp Cycle 12V/240Ah Threaded insert (M8)</v>
          </cell>
          <cell r="E568" t="str">
            <v>BAT412124081</v>
          </cell>
          <cell r="F568" t="str">
            <v>AGMDCThread12V/240</v>
          </cell>
          <cell r="G568">
            <v>0</v>
          </cell>
          <cell r="H568">
            <v>0</v>
          </cell>
          <cell r="I568">
            <v>0</v>
          </cell>
          <cell r="J568">
            <v>67</v>
          </cell>
          <cell r="K568">
            <v>52.2</v>
          </cell>
          <cell r="L568">
            <v>24</v>
          </cell>
          <cell r="M568">
            <v>22.4</v>
          </cell>
          <cell r="N568" t="str">
            <v>1-Victron</v>
          </cell>
        </row>
        <row r="569">
          <cell r="A569" t="str">
            <v>B0568</v>
          </cell>
          <cell r="B569" t="str">
            <v>Batteries</v>
          </cell>
          <cell r="C569" t="str">
            <v>VICTRON</v>
          </cell>
          <cell r="D569" t="str">
            <v>AGM Super Cycle Batt. (M5) 12V38Ah</v>
          </cell>
          <cell r="E569" t="str">
            <v>BAT412038081</v>
          </cell>
          <cell r="F569" t="str">
            <v>AGMSCB12V38</v>
          </cell>
          <cell r="G569">
            <v>0</v>
          </cell>
          <cell r="H569">
            <v>0</v>
          </cell>
          <cell r="I569">
            <v>0</v>
          </cell>
          <cell r="J569">
            <v>10</v>
          </cell>
          <cell r="K569">
            <v>26.7</v>
          </cell>
          <cell r="L569">
            <v>7.7</v>
          </cell>
          <cell r="M569">
            <v>17.5</v>
          </cell>
          <cell r="N569" t="str">
            <v>1-Victron</v>
          </cell>
        </row>
        <row r="570">
          <cell r="A570" t="str">
            <v>B0569</v>
          </cell>
          <cell r="B570" t="str">
            <v>Batteries</v>
          </cell>
          <cell r="C570" t="str">
            <v>VICTRON</v>
          </cell>
          <cell r="D570" t="str">
            <v>AGM Super Cycle Batt. (M6) 12V/100Ah</v>
          </cell>
          <cell r="E570" t="str">
            <v>BAT412110081</v>
          </cell>
          <cell r="F570" t="str">
            <v>AGMSCB12V100</v>
          </cell>
          <cell r="G570">
            <v>0</v>
          </cell>
          <cell r="H570">
            <v>0</v>
          </cell>
          <cell r="I570">
            <v>0</v>
          </cell>
          <cell r="J570">
            <v>25</v>
          </cell>
          <cell r="K570">
            <v>26</v>
          </cell>
          <cell r="L570">
            <v>16.8</v>
          </cell>
          <cell r="M570">
            <v>21.5</v>
          </cell>
          <cell r="N570" t="str">
            <v>1-Victron</v>
          </cell>
        </row>
        <row r="571">
          <cell r="A571" t="str">
            <v>B0570</v>
          </cell>
          <cell r="B571" t="str">
            <v>Batteries</v>
          </cell>
          <cell r="C571" t="str">
            <v>VICTRON</v>
          </cell>
          <cell r="D571" t="str">
            <v>AGM Super Cycle Batt. (M8) 12V125Ah</v>
          </cell>
          <cell r="E571" t="str">
            <v>BAT412112081</v>
          </cell>
          <cell r="F571" t="str">
            <v>AGMSCB12V125</v>
          </cell>
          <cell r="G571">
            <v>0</v>
          </cell>
          <cell r="H571">
            <v>0</v>
          </cell>
          <cell r="I571">
            <v>0</v>
          </cell>
          <cell r="J571">
            <v>34</v>
          </cell>
          <cell r="K571">
            <v>33</v>
          </cell>
          <cell r="L571">
            <v>17.100000000000001</v>
          </cell>
          <cell r="M571">
            <v>21.4</v>
          </cell>
          <cell r="N571" t="str">
            <v>1-Victron</v>
          </cell>
        </row>
        <row r="572">
          <cell r="A572" t="str">
            <v>B0571</v>
          </cell>
          <cell r="B572" t="str">
            <v>Batteries</v>
          </cell>
          <cell r="C572" t="str">
            <v>VICTRON</v>
          </cell>
          <cell r="D572" t="str">
            <v>AGM Super Cycle Batt. (M8) 12V170Ah</v>
          </cell>
          <cell r="E572" t="str">
            <v>BAT412117081</v>
          </cell>
          <cell r="F572" t="str">
            <v>AGMSCB12V170</v>
          </cell>
          <cell r="G572">
            <v>755.35</v>
          </cell>
          <cell r="H572">
            <v>686.7</v>
          </cell>
          <cell r="I572">
            <v>0</v>
          </cell>
          <cell r="J572">
            <v>45</v>
          </cell>
          <cell r="K572">
            <v>33.9</v>
          </cell>
          <cell r="L572">
            <v>17.2</v>
          </cell>
          <cell r="M572">
            <v>28.1</v>
          </cell>
          <cell r="N572" t="str">
            <v>1-Victron</v>
          </cell>
        </row>
        <row r="573">
          <cell r="A573" t="str">
            <v>B0572</v>
          </cell>
          <cell r="B573" t="str">
            <v>Batteries</v>
          </cell>
          <cell r="C573" t="str">
            <v>VICTRON</v>
          </cell>
          <cell r="D573" t="str">
            <v>AGM Super Cycle Batt. (M8) 12V/230Ah</v>
          </cell>
          <cell r="E573" t="str">
            <v>BAT412123081</v>
          </cell>
          <cell r="F573" t="str">
            <v>AGMSCB12V230</v>
          </cell>
          <cell r="G573">
            <v>0</v>
          </cell>
          <cell r="H573">
            <v>0</v>
          </cell>
          <cell r="I573">
            <v>0</v>
          </cell>
          <cell r="J573">
            <v>61</v>
          </cell>
          <cell r="K573">
            <v>53.2</v>
          </cell>
          <cell r="L573">
            <v>20.7</v>
          </cell>
          <cell r="M573">
            <v>21.8</v>
          </cell>
          <cell r="N573" t="str">
            <v>1-Victron</v>
          </cell>
        </row>
        <row r="574">
          <cell r="A574" t="str">
            <v>B0573</v>
          </cell>
          <cell r="B574" t="str">
            <v>Batteries</v>
          </cell>
          <cell r="C574" t="str">
            <v>VICTRON</v>
          </cell>
          <cell r="D574" t="str">
            <v>Gel Deep Cycle Batt. 12V66Ah  (C20)</v>
          </cell>
          <cell r="E574" t="str">
            <v>BAT412600104</v>
          </cell>
          <cell r="F574" t="str">
            <v>GELDC12/66</v>
          </cell>
          <cell r="G574">
            <v>0</v>
          </cell>
          <cell r="H574">
            <v>0</v>
          </cell>
          <cell r="I574">
            <v>0</v>
          </cell>
          <cell r="J574">
            <v>24</v>
          </cell>
          <cell r="K574">
            <v>25.8</v>
          </cell>
          <cell r="L574">
            <v>16.600000000000001</v>
          </cell>
          <cell r="M574">
            <v>23.5</v>
          </cell>
          <cell r="N574" t="str">
            <v>1-Victron</v>
          </cell>
        </row>
        <row r="575">
          <cell r="A575" t="str">
            <v>B0574</v>
          </cell>
          <cell r="B575" t="str">
            <v>Batteries</v>
          </cell>
          <cell r="C575" t="str">
            <v>VICTRON</v>
          </cell>
          <cell r="D575" t="str">
            <v>Gel Deep Cycle Batt. 12V90Ah  (C20)</v>
          </cell>
          <cell r="E575" t="str">
            <v>BAT412800104</v>
          </cell>
          <cell r="F575" t="str">
            <v>GELDC12/90</v>
          </cell>
          <cell r="G575">
            <v>0</v>
          </cell>
          <cell r="H575">
            <v>0</v>
          </cell>
          <cell r="I575">
            <v>0</v>
          </cell>
          <cell r="J575">
            <v>26</v>
          </cell>
          <cell r="K575">
            <v>35</v>
          </cell>
          <cell r="L575">
            <v>16.7</v>
          </cell>
          <cell r="M575">
            <v>18.3</v>
          </cell>
          <cell r="N575" t="str">
            <v>1-Victron</v>
          </cell>
        </row>
        <row r="576">
          <cell r="A576" t="str">
            <v>B0575</v>
          </cell>
          <cell r="B576" t="str">
            <v>Batteries</v>
          </cell>
          <cell r="C576" t="str">
            <v>VICTRON</v>
          </cell>
          <cell r="D576" t="str">
            <v>Gel Deep Cycle Batt. 12V110Ah  (C20)</v>
          </cell>
          <cell r="E576" t="str">
            <v>BAT412101104</v>
          </cell>
          <cell r="F576" t="str">
            <v>GELDC12/110</v>
          </cell>
          <cell r="G576">
            <v>0</v>
          </cell>
          <cell r="H576">
            <v>0</v>
          </cell>
          <cell r="I576">
            <v>0</v>
          </cell>
          <cell r="J576">
            <v>33</v>
          </cell>
          <cell r="K576">
            <v>33</v>
          </cell>
          <cell r="L576">
            <v>17.100000000000001</v>
          </cell>
          <cell r="M576">
            <v>22</v>
          </cell>
          <cell r="N576" t="str">
            <v>1-Victron</v>
          </cell>
        </row>
        <row r="577">
          <cell r="A577" t="str">
            <v>B0576</v>
          </cell>
          <cell r="B577" t="str">
            <v>Batteries</v>
          </cell>
          <cell r="C577" t="str">
            <v>VICTRON</v>
          </cell>
          <cell r="D577" t="str">
            <v>Gel Deep Cycle Batt. 12V130Ah  (C20)</v>
          </cell>
          <cell r="E577" t="str">
            <v>BAT412121104</v>
          </cell>
          <cell r="F577" t="str">
            <v>GELDC12/130</v>
          </cell>
          <cell r="G577">
            <v>0</v>
          </cell>
          <cell r="H577">
            <v>0</v>
          </cell>
          <cell r="I577">
            <v>0</v>
          </cell>
          <cell r="J577">
            <v>38</v>
          </cell>
          <cell r="K577">
            <v>41</v>
          </cell>
          <cell r="L577">
            <v>17.600000000000001</v>
          </cell>
          <cell r="M577">
            <v>22.7</v>
          </cell>
          <cell r="N577" t="str">
            <v>1-Victron</v>
          </cell>
        </row>
        <row r="578">
          <cell r="A578" t="str">
            <v>B0577</v>
          </cell>
          <cell r="B578" t="str">
            <v>Batteries</v>
          </cell>
          <cell r="C578" t="str">
            <v>VICTRON</v>
          </cell>
          <cell r="D578" t="str">
            <v>Gel Deep Cycle Batt. 12V165Ah  (C20)</v>
          </cell>
          <cell r="E578" t="str">
            <v>BAT412151104</v>
          </cell>
          <cell r="F578" t="str">
            <v>GELDC12/165</v>
          </cell>
          <cell r="G578">
            <v>0</v>
          </cell>
          <cell r="H578">
            <v>0</v>
          </cell>
          <cell r="I578">
            <v>0</v>
          </cell>
          <cell r="J578">
            <v>48</v>
          </cell>
          <cell r="K578">
            <v>48.5</v>
          </cell>
          <cell r="L578">
            <v>17.2</v>
          </cell>
          <cell r="M578">
            <v>24</v>
          </cell>
          <cell r="N578" t="str">
            <v>1-Victron</v>
          </cell>
        </row>
        <row r="579">
          <cell r="A579" t="str">
            <v>B0578</v>
          </cell>
          <cell r="B579" t="str">
            <v>Batteries</v>
          </cell>
          <cell r="C579" t="str">
            <v>VICTRON</v>
          </cell>
          <cell r="D579" t="str">
            <v>Gel Deep Cycle Batt. 12V220Ah  (C20)</v>
          </cell>
          <cell r="E579" t="str">
            <v>BAT412201104</v>
          </cell>
          <cell r="F579" t="str">
            <v>GELDC12/220</v>
          </cell>
          <cell r="G579">
            <v>0</v>
          </cell>
          <cell r="H579">
            <v>0</v>
          </cell>
          <cell r="I579">
            <v>0</v>
          </cell>
          <cell r="J579">
            <v>66</v>
          </cell>
          <cell r="K579">
            <v>52.2</v>
          </cell>
          <cell r="L579">
            <v>23.8</v>
          </cell>
          <cell r="M579">
            <v>24</v>
          </cell>
          <cell r="N579" t="str">
            <v>1-Victron</v>
          </cell>
        </row>
        <row r="580">
          <cell r="A580" t="str">
            <v>B0579</v>
          </cell>
          <cell r="B580" t="str">
            <v>Batteries</v>
          </cell>
          <cell r="C580" t="str">
            <v>VICTRON</v>
          </cell>
          <cell r="D580" t="str">
            <v>Gel Deep Cycle Batt. 12V265Ah  (C20)</v>
          </cell>
          <cell r="E580" t="str">
            <v>BAT412126101</v>
          </cell>
          <cell r="F580" t="str">
            <v>GELDC12/265</v>
          </cell>
          <cell r="G580">
            <v>0</v>
          </cell>
          <cell r="H580">
            <v>0</v>
          </cell>
          <cell r="I580">
            <v>0</v>
          </cell>
          <cell r="J580">
            <v>75</v>
          </cell>
          <cell r="K580">
            <v>52</v>
          </cell>
          <cell r="L580">
            <v>26.8</v>
          </cell>
          <cell r="M580">
            <v>22.3</v>
          </cell>
          <cell r="N580" t="str">
            <v>1-Victron</v>
          </cell>
        </row>
        <row r="581">
          <cell r="A581" t="str">
            <v>B0580</v>
          </cell>
          <cell r="B581" t="str">
            <v>Batteries</v>
          </cell>
          <cell r="C581" t="str">
            <v>VICTRON</v>
          </cell>
          <cell r="D581" t="str">
            <v>Lead Carbon Battery 12V/160Ah (M8)</v>
          </cell>
          <cell r="E581" t="str">
            <v>BAT612116081</v>
          </cell>
          <cell r="F581" t="str">
            <v>LEADCB12/160</v>
          </cell>
          <cell r="G581">
            <v>0</v>
          </cell>
          <cell r="H581">
            <v>0</v>
          </cell>
          <cell r="I581">
            <v>0</v>
          </cell>
          <cell r="J581">
            <v>55</v>
          </cell>
          <cell r="K581">
            <v>53.2</v>
          </cell>
          <cell r="L581">
            <v>20.7</v>
          </cell>
          <cell r="M581">
            <v>21.5</v>
          </cell>
          <cell r="N581" t="str">
            <v>1-Victron</v>
          </cell>
        </row>
        <row r="582">
          <cell r="A582" t="str">
            <v>B0581</v>
          </cell>
          <cell r="D582" t="str">
            <v>Lithium HE battery 24V/100Ah 2,5k</v>
          </cell>
          <cell r="F582" t="str">
            <v>MPN (Part #)</v>
          </cell>
          <cell r="G582">
            <v>0</v>
          </cell>
          <cell r="H582">
            <v>0</v>
          </cell>
          <cell r="I582">
            <v>0</v>
          </cell>
          <cell r="N582" t="str">
            <v>1-Victron</v>
          </cell>
        </row>
        <row r="583">
          <cell r="A583" t="str">
            <v>B0582</v>
          </cell>
          <cell r="D583" t="str">
            <v>Lithium HE battery 24V/200Ah 5kWh</v>
          </cell>
          <cell r="F583" t="str">
            <v>MPN (Part #)</v>
          </cell>
          <cell r="G583">
            <v>0</v>
          </cell>
          <cell r="H583">
            <v>0</v>
          </cell>
          <cell r="I583">
            <v>0</v>
          </cell>
          <cell r="N583" t="str">
            <v>1-Victron</v>
          </cell>
        </row>
        <row r="584">
          <cell r="A584" t="str">
            <v>B0583</v>
          </cell>
          <cell r="B584" t="str">
            <v>REDUNDANT?</v>
          </cell>
          <cell r="D584" t="str">
            <v>Batterie VICTRON LiFePO4 battery 12.8V/90Ah - Smar</v>
          </cell>
          <cell r="F584" t="str">
            <v>MPN (Part #)</v>
          </cell>
          <cell r="G584">
            <v>0</v>
          </cell>
          <cell r="H584">
            <v>0</v>
          </cell>
          <cell r="I584">
            <v>0</v>
          </cell>
          <cell r="N584" t="str">
            <v>1-Victron</v>
          </cell>
        </row>
        <row r="585">
          <cell r="A585" t="str">
            <v>B0584</v>
          </cell>
          <cell r="B585" t="str">
            <v>Batteries</v>
          </cell>
          <cell r="C585" t="str">
            <v>VICTRON</v>
          </cell>
          <cell r="D585" t="str">
            <v>LiFePO4 battery 12.8V/100Ah - Smart</v>
          </cell>
          <cell r="E585" t="str">
            <v>BAT512110610</v>
          </cell>
          <cell r="F585" t="str">
            <v>LIFEPO4BAT12.8/100</v>
          </cell>
          <cell r="G585">
            <v>1221.6500000000001</v>
          </cell>
          <cell r="H585">
            <v>1110.6000000000001</v>
          </cell>
          <cell r="I585">
            <v>0</v>
          </cell>
          <cell r="J585">
            <v>15</v>
          </cell>
          <cell r="K585">
            <v>24.9</v>
          </cell>
          <cell r="L585">
            <v>28.5</v>
          </cell>
          <cell r="M585">
            <v>16.8</v>
          </cell>
          <cell r="N585" t="str">
            <v>1-Victron</v>
          </cell>
        </row>
        <row r="586">
          <cell r="A586" t="str">
            <v>B0586</v>
          </cell>
          <cell r="B586" t="str">
            <v>Batteries</v>
          </cell>
          <cell r="C586" t="str">
            <v>VICTRON</v>
          </cell>
          <cell r="D586" t="str">
            <v>LiFePO4 battery 12.8V/160Ah - Smart</v>
          </cell>
          <cell r="E586" t="str">
            <v>BAT512116610</v>
          </cell>
          <cell r="F586" t="str">
            <v>LIFEPO4BAT12.8/160</v>
          </cell>
          <cell r="G586">
            <v>1636.45</v>
          </cell>
          <cell r="H586">
            <v>1487.7</v>
          </cell>
          <cell r="I586">
            <v>0</v>
          </cell>
          <cell r="J586">
            <v>33</v>
          </cell>
          <cell r="K586">
            <v>32</v>
          </cell>
          <cell r="L586">
            <v>33.799999999999997</v>
          </cell>
          <cell r="M586">
            <v>23.3</v>
          </cell>
          <cell r="N586" t="str">
            <v>1-Victron</v>
          </cell>
        </row>
        <row r="587">
          <cell r="A587" t="str">
            <v>B0587</v>
          </cell>
          <cell r="B587" t="str">
            <v>Batteries</v>
          </cell>
          <cell r="C587" t="str">
            <v>VICTRON</v>
          </cell>
          <cell r="D587" t="str">
            <v>LiFePO4 Battery 12.8V/200Ah - Smart</v>
          </cell>
          <cell r="E587" t="str">
            <v>BAT512120610</v>
          </cell>
          <cell r="F587" t="str">
            <v>LIFEPO4BAT12.8/200</v>
          </cell>
          <cell r="G587">
            <v>1882</v>
          </cell>
          <cell r="H587">
            <v>1710.9</v>
          </cell>
          <cell r="I587">
            <v>0</v>
          </cell>
          <cell r="J587">
            <v>42</v>
          </cell>
          <cell r="K587">
            <v>29.5</v>
          </cell>
          <cell r="L587">
            <v>42.5</v>
          </cell>
          <cell r="M587">
            <v>27.4</v>
          </cell>
          <cell r="N587" t="str">
            <v>1-Victron</v>
          </cell>
        </row>
        <row r="588">
          <cell r="A588" t="str">
            <v>B0588</v>
          </cell>
          <cell r="B588" t="str">
            <v>Batteries</v>
          </cell>
          <cell r="C588" t="str">
            <v>VICTRON</v>
          </cell>
          <cell r="D588" t="str">
            <v>LiFePO4 Battery 12.8V/300Ah - Smart</v>
          </cell>
          <cell r="E588" t="str">
            <v>BAT512130410</v>
          </cell>
          <cell r="F588" t="str">
            <v>LIFEPO4BAT12.8/300</v>
          </cell>
          <cell r="G588">
            <v>0</v>
          </cell>
          <cell r="H588">
            <v>0</v>
          </cell>
          <cell r="I588">
            <v>0</v>
          </cell>
          <cell r="J588">
            <v>51</v>
          </cell>
          <cell r="K588">
            <v>34.5</v>
          </cell>
          <cell r="L588">
            <v>42.5</v>
          </cell>
          <cell r="M588">
            <v>27.4</v>
          </cell>
          <cell r="N588" t="str">
            <v>1-Victron</v>
          </cell>
        </row>
        <row r="589">
          <cell r="A589" t="str">
            <v>B0589</v>
          </cell>
          <cell r="B589" t="str">
            <v>Batteries</v>
          </cell>
          <cell r="C589" t="str">
            <v>VICTRON</v>
          </cell>
          <cell r="D589" t="str">
            <v>LiFePO4 Battery 25.6V/200Ah - Smart</v>
          </cell>
          <cell r="E589" t="str">
            <v>BAT524120410</v>
          </cell>
          <cell r="F589" t="str">
            <v>LIFEPO4BAT25.6/200</v>
          </cell>
          <cell r="G589">
            <v>0</v>
          </cell>
          <cell r="H589">
            <v>0</v>
          </cell>
          <cell r="I589">
            <v>0</v>
          </cell>
          <cell r="J589">
            <v>60</v>
          </cell>
          <cell r="K589">
            <v>31.7</v>
          </cell>
          <cell r="L589">
            <v>63.1</v>
          </cell>
          <cell r="M589">
            <v>20.8</v>
          </cell>
          <cell r="N589" t="str">
            <v>1-Victron</v>
          </cell>
        </row>
        <row r="590">
          <cell r="A590" t="str">
            <v>B0590</v>
          </cell>
          <cell r="B590" t="str">
            <v>Batteries</v>
          </cell>
          <cell r="C590" t="str">
            <v>VICTRON</v>
          </cell>
          <cell r="D590" t="str">
            <v>Lithium SuperPack 12,8V/60Ah (M6)</v>
          </cell>
          <cell r="E590" t="str">
            <v>BAT512060705</v>
          </cell>
          <cell r="F590" t="str">
            <v>LI-IONSUPACK12.8/60</v>
          </cell>
          <cell r="G590">
            <v>0</v>
          </cell>
          <cell r="H590">
            <v>0</v>
          </cell>
          <cell r="I590">
            <v>0</v>
          </cell>
          <cell r="J590">
            <v>9.3000000000000007</v>
          </cell>
          <cell r="K590">
            <v>27</v>
          </cell>
          <cell r="L590">
            <v>27</v>
          </cell>
          <cell r="M590">
            <v>18</v>
          </cell>
          <cell r="N590" t="str">
            <v>1-Victron</v>
          </cell>
        </row>
        <row r="591">
          <cell r="A591" t="str">
            <v>B0591</v>
          </cell>
          <cell r="B591" t="str">
            <v>Batteries</v>
          </cell>
          <cell r="C591" t="str">
            <v>VICTRON</v>
          </cell>
          <cell r="D591" t="str">
            <v>Lithium SuperPack 12,8V/100Ah (M8)</v>
          </cell>
          <cell r="E591" t="str">
            <v>BAT512110705</v>
          </cell>
          <cell r="F591" t="str">
            <v>LI-IONSUPACK12.8/100</v>
          </cell>
          <cell r="G591">
            <v>0</v>
          </cell>
          <cell r="H591">
            <v>0</v>
          </cell>
          <cell r="I591">
            <v>0</v>
          </cell>
          <cell r="J591">
            <v>13.5</v>
          </cell>
          <cell r="K591">
            <v>27</v>
          </cell>
          <cell r="L591">
            <v>37</v>
          </cell>
          <cell r="M591">
            <v>21.5</v>
          </cell>
          <cell r="N591" t="str">
            <v>1-Victron</v>
          </cell>
        </row>
        <row r="592">
          <cell r="A592" t="str">
            <v>B0592</v>
          </cell>
          <cell r="B592" t="str">
            <v>Batteries</v>
          </cell>
          <cell r="C592" t="str">
            <v>VICTRON</v>
          </cell>
          <cell r="D592" t="str">
            <v>Lithium SuperPack 12,8V/200Ah (M8)</v>
          </cell>
          <cell r="E592" t="str">
            <v>BAT512120705</v>
          </cell>
          <cell r="F592" t="str">
            <v>LI-IONSUPACK12.8/200</v>
          </cell>
          <cell r="G592">
            <v>0</v>
          </cell>
          <cell r="H592">
            <v>0</v>
          </cell>
          <cell r="I592">
            <v>0</v>
          </cell>
          <cell r="J592">
            <v>30.3</v>
          </cell>
          <cell r="K592">
            <v>25.5</v>
          </cell>
          <cell r="L592">
            <v>56.5</v>
          </cell>
          <cell r="M592">
            <v>31</v>
          </cell>
          <cell r="N592" t="str">
            <v>1-Victron</v>
          </cell>
        </row>
        <row r="593">
          <cell r="A593" t="str">
            <v>B0593</v>
          </cell>
          <cell r="B593" t="str">
            <v>Chargers</v>
          </cell>
          <cell r="C593" t="str">
            <v>VICTRON</v>
          </cell>
          <cell r="D593" t="str">
            <v>Battery Charger Blue Smart IP65s  12/4(1) + DC connector</v>
          </cell>
          <cell r="E593" t="str">
            <v>BPC120433014R</v>
          </cell>
          <cell r="F593" t="str">
            <v>BATTCHRGE12/4</v>
          </cell>
          <cell r="G593">
            <v>0</v>
          </cell>
          <cell r="H593">
            <v>0</v>
          </cell>
          <cell r="I593">
            <v>0</v>
          </cell>
          <cell r="J593">
            <v>0.6</v>
          </cell>
          <cell r="K593">
            <v>4.5</v>
          </cell>
          <cell r="L593">
            <v>8.1</v>
          </cell>
          <cell r="M593">
            <v>18.2</v>
          </cell>
          <cell r="N593" t="str">
            <v>1-Victron</v>
          </cell>
        </row>
        <row r="594">
          <cell r="A594" t="str">
            <v>B0594</v>
          </cell>
          <cell r="B594" t="str">
            <v>Chargers</v>
          </cell>
          <cell r="C594" t="str">
            <v>VICTRON</v>
          </cell>
          <cell r="D594" t="str">
            <v>Battery Charger Blue Smart IP65s  12/5(1) + DC connector</v>
          </cell>
          <cell r="E594" t="str">
            <v>BPC120533014R</v>
          </cell>
          <cell r="F594" t="str">
            <v>BATTCHRGE12/5</v>
          </cell>
          <cell r="G594">
            <v>0</v>
          </cell>
          <cell r="H594">
            <v>0</v>
          </cell>
          <cell r="I594">
            <v>0</v>
          </cell>
          <cell r="J594">
            <v>0.6</v>
          </cell>
          <cell r="K594">
            <v>4.5</v>
          </cell>
          <cell r="L594">
            <v>8.1</v>
          </cell>
          <cell r="M594">
            <v>18.2</v>
          </cell>
          <cell r="N594" t="str">
            <v>1-Victron</v>
          </cell>
        </row>
        <row r="595">
          <cell r="A595" t="str">
            <v>B0595</v>
          </cell>
          <cell r="B595" t="str">
            <v>Chargers</v>
          </cell>
          <cell r="C595" t="str">
            <v>VICTRON</v>
          </cell>
          <cell r="D595" t="str">
            <v>Battery Charger Blue Smart IP65s  12/7(1) + DC connector</v>
          </cell>
          <cell r="E595" t="str">
            <v>BPC120731014R</v>
          </cell>
          <cell r="F595" t="str">
            <v>BATTCHRGE12/7</v>
          </cell>
          <cell r="G595">
            <v>0</v>
          </cell>
          <cell r="H595">
            <v>0</v>
          </cell>
          <cell r="I595">
            <v>0</v>
          </cell>
          <cell r="J595">
            <v>0.9</v>
          </cell>
          <cell r="K595">
            <v>4.7</v>
          </cell>
          <cell r="L595">
            <v>9.5</v>
          </cell>
          <cell r="M595">
            <v>19</v>
          </cell>
          <cell r="N595" t="str">
            <v>1-Victron</v>
          </cell>
        </row>
        <row r="596">
          <cell r="A596" t="str">
            <v>B0596</v>
          </cell>
          <cell r="B596" t="str">
            <v>Chargers</v>
          </cell>
          <cell r="C596" t="str">
            <v>VICTRON</v>
          </cell>
          <cell r="D596" t="str">
            <v>Battery Charger Blue Smart IP65s  12/10(1) + DC connector</v>
          </cell>
          <cell r="E596" t="str">
            <v>BPC121031014R</v>
          </cell>
          <cell r="F596" t="str">
            <v>BATTCHRGE12/10</v>
          </cell>
          <cell r="G596">
            <v>0</v>
          </cell>
          <cell r="H596">
            <v>0</v>
          </cell>
          <cell r="I596">
            <v>0</v>
          </cell>
          <cell r="J596">
            <v>0.9</v>
          </cell>
          <cell r="K596">
            <v>6</v>
          </cell>
          <cell r="L596">
            <v>10.5</v>
          </cell>
          <cell r="M596">
            <v>19</v>
          </cell>
          <cell r="N596" t="str">
            <v>1-Victron</v>
          </cell>
        </row>
        <row r="597">
          <cell r="A597" t="str">
            <v>B0597</v>
          </cell>
          <cell r="B597" t="str">
            <v>Chargers</v>
          </cell>
          <cell r="C597" t="str">
            <v>VICTRON</v>
          </cell>
          <cell r="D597" t="str">
            <v>Battery Charger Blue Smart IP65s  12/15(1) + DC connector</v>
          </cell>
          <cell r="E597" t="str">
            <v>BPC121531014R</v>
          </cell>
          <cell r="F597" t="str">
            <v>BATTCHRGE12/15</v>
          </cell>
          <cell r="G597">
            <v>0</v>
          </cell>
          <cell r="H597">
            <v>0</v>
          </cell>
          <cell r="I597">
            <v>0</v>
          </cell>
          <cell r="J597">
            <v>0.9</v>
          </cell>
          <cell r="K597">
            <v>6</v>
          </cell>
          <cell r="L597">
            <v>10.5</v>
          </cell>
          <cell r="M597">
            <v>19</v>
          </cell>
          <cell r="N597" t="str">
            <v>1-Victron</v>
          </cell>
        </row>
        <row r="598">
          <cell r="A598" t="str">
            <v>B0598</v>
          </cell>
          <cell r="B598" t="str">
            <v>Chargers</v>
          </cell>
          <cell r="C598" t="str">
            <v>VICTRON</v>
          </cell>
          <cell r="D598" t="str">
            <v>Battery Charger Blue Smart IP65s  24/5(1) + DC connector</v>
          </cell>
          <cell r="E598" t="str">
            <v>BPC240531014R</v>
          </cell>
          <cell r="F598" t="str">
            <v>BATTCHRGE24/5</v>
          </cell>
          <cell r="G598">
            <v>0</v>
          </cell>
          <cell r="H598">
            <v>0</v>
          </cell>
          <cell r="I598">
            <v>0</v>
          </cell>
          <cell r="J598">
            <v>0.9</v>
          </cell>
          <cell r="K598">
            <v>4.7</v>
          </cell>
          <cell r="L598">
            <v>9.5</v>
          </cell>
          <cell r="M598">
            <v>19</v>
          </cell>
          <cell r="N598" t="str">
            <v>1-Victron</v>
          </cell>
        </row>
        <row r="599">
          <cell r="A599" t="str">
            <v>B0599</v>
          </cell>
          <cell r="B599" t="str">
            <v>Chargers</v>
          </cell>
          <cell r="C599" t="str">
            <v>VICTRON</v>
          </cell>
          <cell r="D599" t="str">
            <v>Battery Charger Blue Smart IP65s 24/8(1) + DC connector</v>
          </cell>
          <cell r="E599" t="str">
            <v>BPC240831014R</v>
          </cell>
          <cell r="F599" t="str">
            <v>BATTCHRGE24/8</v>
          </cell>
          <cell r="G599">
            <v>0</v>
          </cell>
          <cell r="H599">
            <v>0</v>
          </cell>
          <cell r="I599">
            <v>0</v>
          </cell>
          <cell r="J599">
            <v>0.9</v>
          </cell>
          <cell r="K599">
            <v>6</v>
          </cell>
          <cell r="L599">
            <v>10.5</v>
          </cell>
          <cell r="M599">
            <v>19</v>
          </cell>
          <cell r="N599" t="str">
            <v>1-Victron</v>
          </cell>
        </row>
        <row r="600">
          <cell r="A600" t="str">
            <v>B0600</v>
          </cell>
          <cell r="D600" t="str">
            <v>Heatshrink Tube DIA10mm Black</v>
          </cell>
          <cell r="F600" t="str">
            <v>MPN (Part #)</v>
          </cell>
          <cell r="G600">
            <v>0</v>
          </cell>
          <cell r="H600">
            <v>0</v>
          </cell>
          <cell r="I600">
            <v>0</v>
          </cell>
          <cell r="N600" t="str">
            <v>1-Victron</v>
          </cell>
        </row>
        <row r="601">
          <cell r="A601" t="str">
            <v>B0601</v>
          </cell>
          <cell r="B601" t="str">
            <v>Inverter-Chargers</v>
          </cell>
          <cell r="C601" t="str">
            <v>Victron</v>
          </cell>
          <cell r="D601" t="str">
            <v>Multiplus 48/1200/13</v>
          </cell>
          <cell r="E601" t="str">
            <v>PMP482120000</v>
          </cell>
          <cell r="F601" t="str">
            <v>Multi_48/1200/13</v>
          </cell>
          <cell r="G601">
            <v>895.95</v>
          </cell>
          <cell r="H601">
            <v>814.5</v>
          </cell>
          <cell r="I601">
            <v>0</v>
          </cell>
          <cell r="J601">
            <v>8.1999999999999993</v>
          </cell>
          <cell r="K601">
            <v>40.6</v>
          </cell>
          <cell r="L601">
            <v>25</v>
          </cell>
          <cell r="M601">
            <v>10</v>
          </cell>
          <cell r="N601" t="str">
            <v>1-Victron</v>
          </cell>
        </row>
        <row r="602">
          <cell r="A602" t="str">
            <v>B0602</v>
          </cell>
          <cell r="B602" t="str">
            <v>Chargers</v>
          </cell>
          <cell r="C602" t="str">
            <v>Victron</v>
          </cell>
          <cell r="D602" t="str">
            <v>VICTRON Centaur IP20 Battery Charger 24/40 (3)</v>
          </cell>
          <cell r="E602" t="str">
            <v>CCH024040000</v>
          </cell>
          <cell r="F602" t="str">
            <v>CCH024040000</v>
          </cell>
          <cell r="G602">
            <v>0</v>
          </cell>
          <cell r="H602">
            <v>0</v>
          </cell>
          <cell r="I602">
            <v>0</v>
          </cell>
          <cell r="J602">
            <v>12</v>
          </cell>
          <cell r="K602">
            <v>50.5</v>
          </cell>
          <cell r="L602">
            <v>25.5</v>
          </cell>
          <cell r="M602">
            <v>13</v>
          </cell>
          <cell r="N602" t="str">
            <v>1-Victron</v>
          </cell>
        </row>
        <row r="603">
          <cell r="A603" t="str">
            <v>B0603</v>
          </cell>
          <cell r="B603" t="str">
            <v>Cables</v>
          </cell>
          <cell r="C603" t="str">
            <v>Victron</v>
          </cell>
          <cell r="D603" t="str">
            <v>VE.Direct Cable 10m</v>
          </cell>
          <cell r="E603" t="str">
            <v>ASS030530310</v>
          </cell>
          <cell r="F603" t="str">
            <v>MPN (Part #)</v>
          </cell>
          <cell r="G603">
            <v>33.65</v>
          </cell>
          <cell r="H603">
            <v>30.6</v>
          </cell>
          <cell r="I603">
            <v>0</v>
          </cell>
          <cell r="J603">
            <v>0.5</v>
          </cell>
          <cell r="K603">
            <v>15</v>
          </cell>
          <cell r="L603">
            <v>15</v>
          </cell>
          <cell r="M603">
            <v>4</v>
          </cell>
          <cell r="N603" t="str">
            <v>1-Victron</v>
          </cell>
        </row>
        <row r="604">
          <cell r="A604" t="str">
            <v>B0604</v>
          </cell>
          <cell r="B604" t="str">
            <v>Chargers</v>
          </cell>
          <cell r="C604" t="str">
            <v>Victron</v>
          </cell>
          <cell r="D604" t="str">
            <v>VICTRON Centaur IP20 Battery Charger 24/60 (3)</v>
          </cell>
          <cell r="E604" t="str">
            <v>CCH024060000</v>
          </cell>
          <cell r="F604" t="str">
            <v>CCH024060000</v>
          </cell>
          <cell r="G604">
            <v>0</v>
          </cell>
          <cell r="H604">
            <v>0</v>
          </cell>
          <cell r="I604">
            <v>0</v>
          </cell>
          <cell r="J604">
            <v>12</v>
          </cell>
          <cell r="K604">
            <v>50.5</v>
          </cell>
          <cell r="L604">
            <v>25.5</v>
          </cell>
          <cell r="M604">
            <v>13</v>
          </cell>
          <cell r="N604" t="str">
            <v>1-Victron</v>
          </cell>
        </row>
        <row r="605">
          <cell r="A605" t="str">
            <v>B0605</v>
          </cell>
          <cell r="B605" t="str">
            <v>Chargers</v>
          </cell>
          <cell r="C605" t="str">
            <v>Victron</v>
          </cell>
          <cell r="D605" t="str">
            <v>VICTRON Phoenix Battery Charger 12/30 (2+1) 120-240V</v>
          </cell>
          <cell r="E605" t="str">
            <v>PCH012030001</v>
          </cell>
          <cell r="F605" t="str">
            <v>PCH012030001</v>
          </cell>
          <cell r="G605">
            <v>0</v>
          </cell>
          <cell r="H605">
            <v>0</v>
          </cell>
          <cell r="I605">
            <v>0</v>
          </cell>
          <cell r="J605">
            <v>3.8</v>
          </cell>
          <cell r="K605">
            <v>35</v>
          </cell>
          <cell r="L605">
            <v>20</v>
          </cell>
          <cell r="M605">
            <v>10.8</v>
          </cell>
          <cell r="N605" t="str">
            <v>1-Victron</v>
          </cell>
        </row>
        <row r="606">
          <cell r="A606" t="str">
            <v>B0606</v>
          </cell>
          <cell r="B606" t="str">
            <v>Chargers</v>
          </cell>
          <cell r="C606" t="str">
            <v>Victron</v>
          </cell>
          <cell r="D606" t="str">
            <v>VICTRON Phoenix Battery Charger 12/50(2+1) 120-240V</v>
          </cell>
          <cell r="E606" t="str">
            <v>PCH012050001</v>
          </cell>
          <cell r="F606" t="str">
            <v>PCH012050001</v>
          </cell>
          <cell r="G606">
            <v>0</v>
          </cell>
          <cell r="H606">
            <v>0</v>
          </cell>
          <cell r="I606">
            <v>0</v>
          </cell>
          <cell r="J606">
            <v>3.8</v>
          </cell>
          <cell r="K606">
            <v>35</v>
          </cell>
          <cell r="L606">
            <v>20</v>
          </cell>
          <cell r="M606">
            <v>10.8</v>
          </cell>
          <cell r="N606" t="str">
            <v>1-Victron</v>
          </cell>
        </row>
        <row r="607">
          <cell r="A607" t="str">
            <v>B0607</v>
          </cell>
          <cell r="B607" t="str">
            <v>Chargers</v>
          </cell>
          <cell r="C607" t="str">
            <v>Victron</v>
          </cell>
          <cell r="D607" t="str">
            <v>VICTRON Phoenix Battery Charger 24/16 (2+1) 120-240V</v>
          </cell>
          <cell r="E607" t="str">
            <v>PCH024016001</v>
          </cell>
          <cell r="F607" t="str">
            <v>PCH024016001</v>
          </cell>
          <cell r="G607">
            <v>0</v>
          </cell>
          <cell r="H607">
            <v>0</v>
          </cell>
          <cell r="I607">
            <v>0</v>
          </cell>
          <cell r="J607">
            <v>3.8</v>
          </cell>
          <cell r="K607">
            <v>35</v>
          </cell>
          <cell r="L607">
            <v>20</v>
          </cell>
          <cell r="M607">
            <v>10.8</v>
          </cell>
          <cell r="N607" t="str">
            <v>1-Victron</v>
          </cell>
        </row>
        <row r="608">
          <cell r="A608" t="str">
            <v>B0608</v>
          </cell>
          <cell r="B608" t="str">
            <v>Electrical</v>
          </cell>
          <cell r="C608" t="str">
            <v>Wattmaster</v>
          </cell>
          <cell r="D608" t="str">
            <v>Cable Lug 16mm2 Cable 10mm Hole</v>
          </cell>
          <cell r="E608" t="str">
            <v>ALCL16M10/25</v>
          </cell>
          <cell r="F608" t="str">
            <v>MPN (Part #)</v>
          </cell>
          <cell r="G608">
            <v>0.8</v>
          </cell>
          <cell r="H608">
            <v>0.70000000000000007</v>
          </cell>
          <cell r="I608">
            <v>0</v>
          </cell>
          <cell r="N608" t="str">
            <v>3-Tradezone</v>
          </cell>
        </row>
        <row r="609">
          <cell r="A609" t="str">
            <v>B0609</v>
          </cell>
          <cell r="B609" t="str">
            <v>Electrical</v>
          </cell>
          <cell r="C609" t="str">
            <v>Wattmaster</v>
          </cell>
          <cell r="D609" t="str">
            <v>Cable Lug 35mm2 Cable 10mm Hole</v>
          </cell>
          <cell r="E609" t="str">
            <v>ALCL35M10/25</v>
          </cell>
          <cell r="F609" t="str">
            <v>MPN (Part #)</v>
          </cell>
          <cell r="G609">
            <v>2</v>
          </cell>
          <cell r="H609">
            <v>1.85</v>
          </cell>
          <cell r="I609">
            <v>0</v>
          </cell>
          <cell r="N609" t="str">
            <v>3-Tradezone</v>
          </cell>
        </row>
        <row r="610">
          <cell r="A610" t="str">
            <v>B0610</v>
          </cell>
          <cell r="B610" t="str">
            <v>Electrical</v>
          </cell>
          <cell r="C610" t="str">
            <v>Wattmaster</v>
          </cell>
          <cell r="D610" t="str">
            <v>Cable Lug 35mm2 Cable 8mm Hole</v>
          </cell>
          <cell r="E610" t="str">
            <v>ALCL35M8/25</v>
          </cell>
          <cell r="F610" t="str">
            <v>MPN (Part #)</v>
          </cell>
          <cell r="G610">
            <v>1.85</v>
          </cell>
          <cell r="H610">
            <v>1.6500000000000001</v>
          </cell>
          <cell r="I610">
            <v>0</v>
          </cell>
          <cell r="N610" t="str">
            <v>3-Tradezone</v>
          </cell>
        </row>
        <row r="611">
          <cell r="A611" t="str">
            <v>B0611</v>
          </cell>
          <cell r="D611" t="str">
            <v>Black rubber round base for K29</v>
          </cell>
          <cell r="F611" t="str">
            <v>MPN (Part #)</v>
          </cell>
          <cell r="G611">
            <v>0</v>
          </cell>
          <cell r="H611">
            <v>0</v>
          </cell>
          <cell r="I611">
            <v>0</v>
          </cell>
          <cell r="N611" t="str">
            <v/>
          </cell>
        </row>
        <row r="612">
          <cell r="A612" t="str">
            <v>B0612</v>
          </cell>
          <cell r="B612" t="str">
            <v>Electrical</v>
          </cell>
          <cell r="C612" t="str">
            <v>PGK</v>
          </cell>
          <cell r="D612" t="str">
            <v>Enclosure MCB 4Pole IP65</v>
          </cell>
          <cell r="E612" t="str">
            <v>SE008A</v>
          </cell>
          <cell r="F612" t="str">
            <v>MPN (Part #)</v>
          </cell>
          <cell r="G612">
            <v>32.5</v>
          </cell>
          <cell r="H612">
            <v>29.55</v>
          </cell>
          <cell r="I612">
            <v>0</v>
          </cell>
          <cell r="N612" t="str">
            <v>3-Tradezone</v>
          </cell>
        </row>
        <row r="613">
          <cell r="A613" t="str">
            <v>B0613</v>
          </cell>
          <cell r="B613" t="str">
            <v>Enclosures</v>
          </cell>
          <cell r="C613" t="str">
            <v>IP Enclosures</v>
          </cell>
          <cell r="D613" t="str">
            <v>Enclosure 400H x 300W x 150D Steel Powdercoated</v>
          </cell>
          <cell r="E613" t="str">
            <v>IP403015</v>
          </cell>
          <cell r="F613" t="str">
            <v>MPN (Part #)</v>
          </cell>
          <cell r="G613">
            <v>146.15</v>
          </cell>
          <cell r="H613">
            <v>132.85</v>
          </cell>
          <cell r="I613">
            <v>0</v>
          </cell>
          <cell r="N613" t="str">
            <v>3-Tradezone</v>
          </cell>
        </row>
        <row r="614">
          <cell r="A614" t="str">
            <v>B0614</v>
          </cell>
          <cell r="B614" t="str">
            <v>Electrical</v>
          </cell>
          <cell r="C614" t="str">
            <v>Wattmaster</v>
          </cell>
          <cell r="D614" t="str">
            <v>Bootlace Ferrule 1mm2 insulated 100</v>
          </cell>
          <cell r="E614" t="str">
            <v>ALCBLR/100</v>
          </cell>
          <cell r="F614" t="str">
            <v>MPN (Part #)</v>
          </cell>
          <cell r="G614">
            <v>7.75</v>
          </cell>
          <cell r="H614">
            <v>7.0500000000000007</v>
          </cell>
          <cell r="I614">
            <v>0</v>
          </cell>
          <cell r="N614" t="str">
            <v>3-Tradezone</v>
          </cell>
        </row>
        <row r="615">
          <cell r="A615" t="str">
            <v>B0615</v>
          </cell>
          <cell r="D615" t="str">
            <v>Connector Female Spade Red/ Blue- Insulated</v>
          </cell>
          <cell r="F615" t="str">
            <v>MPN (Part #)</v>
          </cell>
          <cell r="G615">
            <v>0</v>
          </cell>
          <cell r="H615">
            <v>0</v>
          </cell>
          <cell r="I615">
            <v>0</v>
          </cell>
          <cell r="N615" t="str">
            <v>3-Tradezone</v>
          </cell>
        </row>
        <row r="616">
          <cell r="A616" t="str">
            <v>B0616</v>
          </cell>
          <cell r="D616" t="str">
            <v>Connector Male Spade Red - Insulated</v>
          </cell>
          <cell r="F616" t="str">
            <v>MPN (Part #)</v>
          </cell>
          <cell r="G616">
            <v>0</v>
          </cell>
          <cell r="H616">
            <v>0</v>
          </cell>
          <cell r="I616">
            <v>0</v>
          </cell>
          <cell r="N616" t="str">
            <v>3-Tradezone</v>
          </cell>
        </row>
        <row r="617">
          <cell r="A617" t="str">
            <v>B0617</v>
          </cell>
          <cell r="D617" t="str">
            <v>Cable Tie 200X4.3mm White</v>
          </cell>
          <cell r="F617" t="str">
            <v>MPN (Part #)</v>
          </cell>
          <cell r="G617">
            <v>0</v>
          </cell>
          <cell r="H617">
            <v>0</v>
          </cell>
          <cell r="I617">
            <v>0</v>
          </cell>
          <cell r="N617" t="str">
            <v>3-Tradezone</v>
          </cell>
        </row>
        <row r="618">
          <cell r="A618" t="str">
            <v>B0618</v>
          </cell>
          <cell r="D618" t="str">
            <v>Bootlace Ferrule 16mm2 insulated</v>
          </cell>
          <cell r="F618" t="str">
            <v>MPN (Part #)</v>
          </cell>
          <cell r="G618">
            <v>0</v>
          </cell>
          <cell r="H618">
            <v>0</v>
          </cell>
          <cell r="I618">
            <v>0</v>
          </cell>
          <cell r="N618" t="str">
            <v>3-Tradezone</v>
          </cell>
        </row>
        <row r="619">
          <cell r="A619" t="str">
            <v>B0619</v>
          </cell>
          <cell r="D619" t="str">
            <v>Conduit Blanking Plug &amp; Nut PVC M25</v>
          </cell>
          <cell r="F619" t="str">
            <v>MPN (Part #)</v>
          </cell>
          <cell r="G619">
            <v>0</v>
          </cell>
          <cell r="H619">
            <v>0</v>
          </cell>
          <cell r="I619">
            <v>0</v>
          </cell>
          <cell r="N619" t="str">
            <v>3-Tradezone</v>
          </cell>
        </row>
        <row r="620">
          <cell r="A620" t="str">
            <v>B0620</v>
          </cell>
          <cell r="D620" t="str">
            <v>Screw 8Gx12mm Button Head Phil Galv CL3</v>
          </cell>
          <cell r="F620" t="str">
            <v>MPN (Part #)</v>
          </cell>
          <cell r="G620">
            <v>0</v>
          </cell>
          <cell r="H620">
            <v>0</v>
          </cell>
          <cell r="I620">
            <v>0</v>
          </cell>
          <cell r="N620" t="str">
            <v/>
          </cell>
        </row>
        <row r="621">
          <cell r="A621" t="str">
            <v>B0621</v>
          </cell>
          <cell r="D621" t="str">
            <v>Screw M5 x 25mm SS316 Phillips</v>
          </cell>
          <cell r="F621" t="str">
            <v>MPN (Part #)</v>
          </cell>
          <cell r="G621">
            <v>0</v>
          </cell>
          <cell r="H621">
            <v>0</v>
          </cell>
          <cell r="I621">
            <v>0</v>
          </cell>
          <cell r="N621" t="str">
            <v/>
          </cell>
        </row>
        <row r="622">
          <cell r="A622" t="str">
            <v>B0622</v>
          </cell>
          <cell r="D622" t="str">
            <v>Sleeve Plastic A5</v>
          </cell>
          <cell r="F622" t="str">
            <v>MPN (Part #)</v>
          </cell>
          <cell r="G622">
            <v>0</v>
          </cell>
          <cell r="H622">
            <v>0</v>
          </cell>
          <cell r="I622">
            <v>0</v>
          </cell>
          <cell r="N622" t="str">
            <v/>
          </cell>
        </row>
        <row r="623">
          <cell r="A623" t="str">
            <v>B0623</v>
          </cell>
          <cell r="D623" t="str">
            <v>Screw M6x25 CSK Phil SS316</v>
          </cell>
          <cell r="F623" t="str">
            <v>MPN (Part #)</v>
          </cell>
          <cell r="G623">
            <v>0</v>
          </cell>
          <cell r="H623">
            <v>0</v>
          </cell>
          <cell r="I623">
            <v>0</v>
          </cell>
          <cell r="N623" t="str">
            <v/>
          </cell>
        </row>
        <row r="624">
          <cell r="A624" t="str">
            <v>B0624</v>
          </cell>
          <cell r="D624" t="str">
            <v>Screw M6x20 CS head SS316</v>
          </cell>
          <cell r="F624" t="str">
            <v>MPN (Part #)</v>
          </cell>
          <cell r="G624">
            <v>0</v>
          </cell>
          <cell r="H624">
            <v>0</v>
          </cell>
          <cell r="I624">
            <v>0</v>
          </cell>
          <cell r="N624" t="str">
            <v/>
          </cell>
        </row>
        <row r="625">
          <cell r="A625" t="str">
            <v>B0625</v>
          </cell>
          <cell r="D625" t="str">
            <v>Washer M6 SS 316</v>
          </cell>
          <cell r="F625" t="str">
            <v>MPN (Part #)</v>
          </cell>
          <cell r="G625">
            <v>0</v>
          </cell>
          <cell r="H625">
            <v>0</v>
          </cell>
          <cell r="I625">
            <v>0</v>
          </cell>
          <cell r="N625" t="str">
            <v/>
          </cell>
        </row>
        <row r="626">
          <cell r="A626" t="str">
            <v>B0626</v>
          </cell>
          <cell r="B626" t="str">
            <v>Electrical</v>
          </cell>
          <cell r="C626" t="str">
            <v>Noark</v>
          </cell>
          <cell r="D626" t="str">
            <v>MCB 32A 360V DC 2 Pole</v>
          </cell>
          <cell r="E626" t="str">
            <v>N84453</v>
          </cell>
          <cell r="F626" t="str">
            <v>MPN (Part #)</v>
          </cell>
          <cell r="G626">
            <v>32.9</v>
          </cell>
          <cell r="H626">
            <v>29.900000000000002</v>
          </cell>
          <cell r="I626">
            <v>0</v>
          </cell>
          <cell r="J626">
            <v>0.25</v>
          </cell>
          <cell r="K626">
            <v>9</v>
          </cell>
          <cell r="L626">
            <v>7.5</v>
          </cell>
          <cell r="M626">
            <v>3.5</v>
          </cell>
          <cell r="N626" t="str">
            <v>3-Tradezone</v>
          </cell>
        </row>
        <row r="627">
          <cell r="A627" t="str">
            <v>B0627</v>
          </cell>
          <cell r="B627" t="str">
            <v>Electrical</v>
          </cell>
          <cell r="C627" t="str">
            <v>Noark</v>
          </cell>
          <cell r="D627" t="str">
            <v>MCB 50A 360V DC 4 Pole</v>
          </cell>
          <cell r="E627" t="str">
            <v>N84481</v>
          </cell>
          <cell r="F627" t="str">
            <v>MPN (Part #)</v>
          </cell>
          <cell r="G627">
            <v>0</v>
          </cell>
          <cell r="H627">
            <v>0</v>
          </cell>
          <cell r="I627">
            <v>0</v>
          </cell>
          <cell r="J627">
            <v>0.51</v>
          </cell>
          <cell r="K627">
            <v>9</v>
          </cell>
          <cell r="L627">
            <v>7.5</v>
          </cell>
          <cell r="M627">
            <v>7.5</v>
          </cell>
          <cell r="N627" t="str">
            <v>6-Various</v>
          </cell>
        </row>
        <row r="628">
          <cell r="A628" t="str">
            <v>B0628</v>
          </cell>
          <cell r="D628" t="str">
            <v>Grille 130 x 130 Square Plastic</v>
          </cell>
          <cell r="F628" t="str">
            <v>MPN (Part #)</v>
          </cell>
          <cell r="G628">
            <v>0</v>
          </cell>
          <cell r="H628">
            <v>0</v>
          </cell>
          <cell r="I628">
            <v>0</v>
          </cell>
          <cell r="N628" t="str">
            <v>3-Tradezone</v>
          </cell>
        </row>
        <row r="629">
          <cell r="A629" t="str">
            <v>B0629</v>
          </cell>
          <cell r="B629" t="str">
            <v>Hot Water</v>
          </cell>
          <cell r="C629" t="str">
            <v>Plasmatronics</v>
          </cell>
          <cell r="D629" t="str">
            <v>Hot Water Diverter Plasmatronics Jackal</v>
          </cell>
          <cell r="E629" t="str">
            <v>Jackal</v>
          </cell>
          <cell r="F629" t="str">
            <v>Jackal</v>
          </cell>
          <cell r="G629">
            <v>942.15000000000009</v>
          </cell>
          <cell r="H629">
            <v>856.5</v>
          </cell>
          <cell r="I629">
            <v>0</v>
          </cell>
          <cell r="J629">
            <v>2</v>
          </cell>
          <cell r="K629">
            <v>18</v>
          </cell>
          <cell r="L629">
            <v>15</v>
          </cell>
          <cell r="M629">
            <v>9.5</v>
          </cell>
          <cell r="N629" t="str">
            <v>4-Plasmatronics</v>
          </cell>
        </row>
        <row r="630">
          <cell r="A630" t="str">
            <v>B0630</v>
          </cell>
          <cell r="D630" t="str">
            <v>Bootlace Ferrule 2.5mm Insulated</v>
          </cell>
          <cell r="F630" t="str">
            <v>MPN (Part #)</v>
          </cell>
          <cell r="G630">
            <v>0</v>
          </cell>
          <cell r="H630">
            <v>0</v>
          </cell>
          <cell r="I630">
            <v>0</v>
          </cell>
          <cell r="N630" t="str">
            <v>1-Victron</v>
          </cell>
        </row>
        <row r="631">
          <cell r="A631" t="str">
            <v>B0631</v>
          </cell>
          <cell r="D631" t="str">
            <v>Screw mounts saddle type 4 x 4.8mm</v>
          </cell>
          <cell r="F631" t="str">
            <v>MPN (Part #)</v>
          </cell>
          <cell r="G631">
            <v>0</v>
          </cell>
          <cell r="H631">
            <v>0</v>
          </cell>
          <cell r="I631">
            <v>0</v>
          </cell>
          <cell r="N631" t="str">
            <v>1-Victron</v>
          </cell>
        </row>
        <row r="632">
          <cell r="A632" t="str">
            <v>B0632</v>
          </cell>
          <cell r="B632" t="str">
            <v>Batteries</v>
          </cell>
          <cell r="C632" t="str">
            <v>Powerplus</v>
          </cell>
          <cell r="D632" t="str">
            <v>Battery Powerplus eco 4KWh Lithium Module</v>
          </cell>
          <cell r="E632" t="str">
            <v>ECO4840P</v>
          </cell>
          <cell r="F632" t="str">
            <v>MPN (Part #)</v>
          </cell>
          <cell r="G632">
            <v>3611.15</v>
          </cell>
          <cell r="H632">
            <v>3282.8500000000004</v>
          </cell>
          <cell r="I632">
            <v>0</v>
          </cell>
          <cell r="J632">
            <v>43</v>
          </cell>
          <cell r="K632">
            <v>64</v>
          </cell>
          <cell r="L632">
            <v>44</v>
          </cell>
          <cell r="M632">
            <v>9</v>
          </cell>
          <cell r="N632" t="str">
            <v>6-Various</v>
          </cell>
        </row>
        <row r="633">
          <cell r="A633" t="str">
            <v>B0633</v>
          </cell>
          <cell r="B633" t="str">
            <v>Batteries</v>
          </cell>
          <cell r="C633" t="str">
            <v>Powerplus</v>
          </cell>
          <cell r="D633" t="str">
            <v>Powerplus Battery casing 3 Module PEW3</v>
          </cell>
          <cell r="E633" t="str">
            <v>PEW3</v>
          </cell>
          <cell r="F633" t="str">
            <v>MPN (Part #)</v>
          </cell>
          <cell r="G633">
            <v>1296.45</v>
          </cell>
          <cell r="H633">
            <v>1178.55</v>
          </cell>
          <cell r="I633">
            <v>0</v>
          </cell>
          <cell r="J633">
            <v>35</v>
          </cell>
          <cell r="K633">
            <v>60</v>
          </cell>
          <cell r="L633">
            <v>80</v>
          </cell>
          <cell r="M633">
            <v>30</v>
          </cell>
          <cell r="N633" t="str">
            <v>6-Various</v>
          </cell>
        </row>
        <row r="634">
          <cell r="A634" t="str">
            <v>B0634</v>
          </cell>
          <cell r="B634" t="str">
            <v>Electrical</v>
          </cell>
          <cell r="C634" t="str">
            <v>Wattmaster</v>
          </cell>
          <cell r="D634" t="str">
            <v>Cable Lug 95mm M10</v>
          </cell>
          <cell r="E634" t="str">
            <v>ALCL95M10/10</v>
          </cell>
          <cell r="F634" t="str">
            <v>MPN (Part #)</v>
          </cell>
          <cell r="G634">
            <v>3.6500000000000004</v>
          </cell>
          <cell r="H634">
            <v>3.3000000000000003</v>
          </cell>
          <cell r="I634">
            <v>0</v>
          </cell>
          <cell r="N634" t="str">
            <v>3-Tradezone</v>
          </cell>
        </row>
        <row r="635">
          <cell r="A635" t="str">
            <v>B0635</v>
          </cell>
          <cell r="B635" t="str">
            <v>Fuses</v>
          </cell>
          <cell r="C635" t="str">
            <v>DC Solutions</v>
          </cell>
          <cell r="D635" t="str">
            <v>NH1 250A fuse 440 Volts</v>
          </cell>
          <cell r="E635" t="str">
            <v>FH01/250A</v>
          </cell>
          <cell r="F635" t="str">
            <v>MPN (Part #)</v>
          </cell>
          <cell r="G635">
            <v>16.850000000000001</v>
          </cell>
          <cell r="H635">
            <v>15.3</v>
          </cell>
          <cell r="I635">
            <v>0</v>
          </cell>
          <cell r="N635" t="str">
            <v>3-Tradezone</v>
          </cell>
        </row>
        <row r="636">
          <cell r="A636" t="str">
            <v>B0636</v>
          </cell>
          <cell r="B636" t="str">
            <v>Fuses</v>
          </cell>
          <cell r="C636" t="str">
            <v>Cabacc</v>
          </cell>
          <cell r="D636" t="str">
            <v>Ring terminals 1.5 to 2.5mm 6MM stud</v>
          </cell>
          <cell r="E636" t="str">
            <v>RT26</v>
          </cell>
          <cell r="F636" t="str">
            <v>MPN (Part #)</v>
          </cell>
          <cell r="G636">
            <v>11.200000000000001</v>
          </cell>
          <cell r="H636">
            <v>10.200000000000001</v>
          </cell>
          <cell r="I636">
            <v>0</v>
          </cell>
          <cell r="N636" t="str">
            <v>3-Tradezone</v>
          </cell>
        </row>
        <row r="637">
          <cell r="A637" t="str">
            <v>B0637</v>
          </cell>
          <cell r="D637" t="str">
            <v>Ring terminals 4 to 6mm 8MM stud</v>
          </cell>
          <cell r="F637" t="str">
            <v>MPN (Part #)</v>
          </cell>
          <cell r="G637">
            <v>0</v>
          </cell>
          <cell r="H637">
            <v>0</v>
          </cell>
          <cell r="I637">
            <v>0</v>
          </cell>
          <cell r="N637" t="str">
            <v>3-Tradezone</v>
          </cell>
        </row>
        <row r="638">
          <cell r="A638" t="str">
            <v>B0638</v>
          </cell>
          <cell r="B638" t="str">
            <v>Battery Accessories</v>
          </cell>
          <cell r="C638" t="str">
            <v>Victron</v>
          </cell>
          <cell r="D638" t="str">
            <v>Battery monitor BMV 702 - Grey</v>
          </cell>
          <cell r="E638" t="str">
            <v>BAM010702000R</v>
          </cell>
          <cell r="F638" t="str">
            <v>MPN (Part #)</v>
          </cell>
          <cell r="G638">
            <v>245.5</v>
          </cell>
          <cell r="H638">
            <v>223.20000000000002</v>
          </cell>
          <cell r="I638">
            <v>0</v>
          </cell>
          <cell r="J638">
            <v>0.3</v>
          </cell>
          <cell r="K638">
            <v>6.5</v>
          </cell>
          <cell r="L638">
            <v>6.5</v>
          </cell>
          <cell r="M638">
            <v>3</v>
          </cell>
          <cell r="N638" t="str">
            <v>1-Victron</v>
          </cell>
        </row>
        <row r="639">
          <cell r="A639" t="str">
            <v>B0639</v>
          </cell>
          <cell r="B639" t="str">
            <v>Chargers</v>
          </cell>
          <cell r="C639" t="str">
            <v>Victron</v>
          </cell>
          <cell r="D639" t="str">
            <v>VICTRON Skylla Battery Charger TG 24/50 3-phase (1+1)</v>
          </cell>
          <cell r="E639" t="str">
            <v>STG024050300</v>
          </cell>
          <cell r="F639" t="str">
            <v>STG024050300</v>
          </cell>
          <cell r="G639">
            <v>0</v>
          </cell>
          <cell r="H639">
            <v>0</v>
          </cell>
          <cell r="I639">
            <v>0</v>
          </cell>
          <cell r="J639">
            <v>13</v>
          </cell>
          <cell r="K639">
            <v>36.5</v>
          </cell>
          <cell r="L639">
            <v>25</v>
          </cell>
          <cell r="M639">
            <v>25.7</v>
          </cell>
          <cell r="N639" t="str">
            <v>1-Victron</v>
          </cell>
        </row>
        <row r="640">
          <cell r="A640" t="str">
            <v>B0640</v>
          </cell>
          <cell r="B640" t="str">
            <v>Chargers</v>
          </cell>
          <cell r="C640" t="str">
            <v>Victron</v>
          </cell>
          <cell r="D640" t="str">
            <v>VICTRON Skylla Battery Charger TG 24/100 3-phase (1+1)</v>
          </cell>
          <cell r="E640" t="str">
            <v>STG024100300</v>
          </cell>
          <cell r="F640" t="str">
            <v>STG024100300</v>
          </cell>
          <cell r="G640">
            <v>0</v>
          </cell>
          <cell r="H640">
            <v>0</v>
          </cell>
          <cell r="I640">
            <v>0</v>
          </cell>
          <cell r="J640">
            <v>23</v>
          </cell>
          <cell r="K640">
            <v>51.5</v>
          </cell>
          <cell r="L640">
            <v>26</v>
          </cell>
          <cell r="M640">
            <v>26.5</v>
          </cell>
          <cell r="N640" t="str">
            <v>1-Victron</v>
          </cell>
        </row>
        <row r="641">
          <cell r="A641" t="str">
            <v>B0641</v>
          </cell>
          <cell r="B641" t="str">
            <v>Chargers</v>
          </cell>
          <cell r="C641" t="str">
            <v>Victron</v>
          </cell>
          <cell r="D641" t="str">
            <v>VICTRON Skylla Battery Charger TG 24/30 (1+1) 120-240V</v>
          </cell>
          <cell r="E641" t="str">
            <v>SDTG2400303</v>
          </cell>
          <cell r="F641" t="str">
            <v>SDTG2400303</v>
          </cell>
          <cell r="G641">
            <v>0</v>
          </cell>
          <cell r="H641">
            <v>0</v>
          </cell>
          <cell r="I641">
            <v>0</v>
          </cell>
          <cell r="J641">
            <v>5.5</v>
          </cell>
          <cell r="K641">
            <v>36.5</v>
          </cell>
          <cell r="L641">
            <v>25</v>
          </cell>
          <cell r="M641">
            <v>14.7</v>
          </cell>
          <cell r="N641" t="str">
            <v>1-Victron</v>
          </cell>
        </row>
        <row r="642">
          <cell r="A642" t="str">
            <v>B0642</v>
          </cell>
          <cell r="B642" t="str">
            <v>Chargers</v>
          </cell>
          <cell r="C642" t="str">
            <v>Victron</v>
          </cell>
          <cell r="D642" t="str">
            <v>VICTRON Skylla Battery Charger TG 24/50 (1+1) 120-240V</v>
          </cell>
          <cell r="E642" t="str">
            <v>SDTG2400503</v>
          </cell>
          <cell r="F642" t="str">
            <v>SDTG2400503</v>
          </cell>
          <cell r="G642">
            <v>0</v>
          </cell>
          <cell r="H642">
            <v>0</v>
          </cell>
          <cell r="I642">
            <v>0</v>
          </cell>
          <cell r="J642">
            <v>5.5</v>
          </cell>
          <cell r="K642">
            <v>36.5</v>
          </cell>
          <cell r="L642">
            <v>25</v>
          </cell>
          <cell r="M642">
            <v>14.7</v>
          </cell>
          <cell r="N642" t="str">
            <v>1-Victron</v>
          </cell>
        </row>
        <row r="643">
          <cell r="A643" t="str">
            <v>B0643</v>
          </cell>
          <cell r="B643" t="str">
            <v>Chargers</v>
          </cell>
          <cell r="C643" t="str">
            <v>Victron</v>
          </cell>
          <cell r="D643" t="str">
            <v>VICTRON Skylla Battery Charger TG 24/100 (1+1) 120-240V</v>
          </cell>
          <cell r="E643" t="str">
            <v>SDTG2401003</v>
          </cell>
          <cell r="F643" t="str">
            <v>SDTG2401003</v>
          </cell>
          <cell r="G643">
            <v>0</v>
          </cell>
          <cell r="H643">
            <v>0</v>
          </cell>
          <cell r="I643">
            <v>0</v>
          </cell>
          <cell r="J643">
            <v>10</v>
          </cell>
          <cell r="K643">
            <v>36.5</v>
          </cell>
          <cell r="L643">
            <v>25</v>
          </cell>
          <cell r="M643">
            <v>25.7</v>
          </cell>
          <cell r="N643" t="str">
            <v>1-Victron</v>
          </cell>
        </row>
        <row r="644">
          <cell r="A644" t="str">
            <v>B0644</v>
          </cell>
          <cell r="B644" t="str">
            <v>Chargers</v>
          </cell>
          <cell r="C644" t="str">
            <v>Victron</v>
          </cell>
          <cell r="D644" t="str">
            <v>VICTRON Skylla Battery Charger TG 24/30 GMDSS 120-240V (excl. panel)</v>
          </cell>
          <cell r="E644" t="str">
            <v>SDTG2400302</v>
          </cell>
          <cell r="F644" t="str">
            <v>SDTG2400302</v>
          </cell>
          <cell r="G644">
            <v>0</v>
          </cell>
          <cell r="H644">
            <v>0</v>
          </cell>
          <cell r="I644">
            <v>0</v>
          </cell>
          <cell r="J644">
            <v>23</v>
          </cell>
          <cell r="K644">
            <v>48.5</v>
          </cell>
          <cell r="L644">
            <v>25</v>
          </cell>
          <cell r="M644">
            <v>14.7</v>
          </cell>
          <cell r="N644" t="str">
            <v>1-Victron</v>
          </cell>
        </row>
        <row r="645">
          <cell r="A645" t="str">
            <v>B0645</v>
          </cell>
          <cell r="B645" t="str">
            <v>Chargers</v>
          </cell>
          <cell r="C645" t="str">
            <v>Victron</v>
          </cell>
          <cell r="D645" t="str">
            <v>VICTRON Skylla Battery Charger TG 24/50 GMDSS 120-240V (excl. panel)</v>
          </cell>
          <cell r="E645" t="str">
            <v>SDTG2400504</v>
          </cell>
          <cell r="F645" t="str">
            <v>SDTG2400504</v>
          </cell>
          <cell r="G645">
            <v>0</v>
          </cell>
          <cell r="H645">
            <v>0</v>
          </cell>
          <cell r="I645">
            <v>0</v>
          </cell>
          <cell r="J645">
            <v>6</v>
          </cell>
          <cell r="K645">
            <v>48.5</v>
          </cell>
          <cell r="L645">
            <v>25</v>
          </cell>
          <cell r="M645">
            <v>14.7</v>
          </cell>
          <cell r="N645" t="str">
            <v>1-Victron</v>
          </cell>
        </row>
        <row r="646">
          <cell r="A646" t="str">
            <v>B0646</v>
          </cell>
          <cell r="B646" t="str">
            <v>Chargers</v>
          </cell>
          <cell r="C646" t="str">
            <v>Victron</v>
          </cell>
          <cell r="D646" t="str">
            <v>VICTRON Skylla Battery Charger TG 48/25 (1+1)</v>
          </cell>
          <cell r="E646" t="str">
            <v>SDTG4800251</v>
          </cell>
          <cell r="F646" t="str">
            <v>SDTG4800251</v>
          </cell>
          <cell r="G646">
            <v>0</v>
          </cell>
          <cell r="H646">
            <v>0</v>
          </cell>
          <cell r="I646">
            <v>0</v>
          </cell>
          <cell r="J646">
            <v>5.5</v>
          </cell>
          <cell r="K646">
            <v>36.5</v>
          </cell>
          <cell r="L646">
            <v>25</v>
          </cell>
          <cell r="M646">
            <v>14.7</v>
          </cell>
          <cell r="N646" t="str">
            <v>1-Victron</v>
          </cell>
        </row>
        <row r="647">
          <cell r="A647" t="str">
            <v>B0647</v>
          </cell>
          <cell r="B647" t="str">
            <v>Chargers</v>
          </cell>
          <cell r="C647" t="str">
            <v>Victron</v>
          </cell>
          <cell r="D647" t="str">
            <v>VICTRON Skylla Battery Charger TG 48/50 (1+1)</v>
          </cell>
          <cell r="E647" t="str">
            <v>SDTG4800501</v>
          </cell>
          <cell r="F647" t="str">
            <v>SDTG4800501</v>
          </cell>
          <cell r="G647">
            <v>0</v>
          </cell>
          <cell r="H647">
            <v>0</v>
          </cell>
          <cell r="I647">
            <v>0</v>
          </cell>
          <cell r="J647">
            <v>10</v>
          </cell>
          <cell r="K647">
            <v>36.5</v>
          </cell>
          <cell r="L647">
            <v>25</v>
          </cell>
          <cell r="M647">
            <v>25.7</v>
          </cell>
          <cell r="N647" t="str">
            <v>1-Victron</v>
          </cell>
        </row>
        <row r="648">
          <cell r="A648" t="str">
            <v>B0648</v>
          </cell>
          <cell r="B648" t="str">
            <v>Chargers</v>
          </cell>
          <cell r="C648" t="str">
            <v>Victron</v>
          </cell>
          <cell r="D648" t="str">
            <v>VICTRON Skylla-i Battery Charger 24/80 (1+1)</v>
          </cell>
          <cell r="E648" t="str">
            <v>SKI024080000</v>
          </cell>
          <cell r="F648" t="str">
            <v>SKI024080000</v>
          </cell>
          <cell r="G648">
            <v>0</v>
          </cell>
          <cell r="H648">
            <v>0</v>
          </cell>
          <cell r="I648">
            <v>0</v>
          </cell>
          <cell r="J648">
            <v>7</v>
          </cell>
          <cell r="K648">
            <v>40.5</v>
          </cell>
          <cell r="L648">
            <v>25</v>
          </cell>
          <cell r="M648">
            <v>15</v>
          </cell>
          <cell r="N648" t="str">
            <v>1-Victron</v>
          </cell>
        </row>
        <row r="649">
          <cell r="A649" t="str">
            <v>B0649</v>
          </cell>
          <cell r="B649" t="str">
            <v>Chargers</v>
          </cell>
          <cell r="C649" t="str">
            <v>Victron</v>
          </cell>
          <cell r="D649" t="str">
            <v>VICTRON Skylla-i Battery Charger 24/80 (3)</v>
          </cell>
          <cell r="E649" t="str">
            <v>SKI024080002</v>
          </cell>
          <cell r="F649" t="str">
            <v>SKI024080002</v>
          </cell>
          <cell r="G649">
            <v>0</v>
          </cell>
          <cell r="H649">
            <v>0</v>
          </cell>
          <cell r="I649">
            <v>0</v>
          </cell>
          <cell r="J649">
            <v>7</v>
          </cell>
          <cell r="K649">
            <v>40.5</v>
          </cell>
          <cell r="L649">
            <v>25</v>
          </cell>
          <cell r="M649">
            <v>15</v>
          </cell>
          <cell r="N649" t="str">
            <v>1-Victron</v>
          </cell>
        </row>
        <row r="650">
          <cell r="A650" t="str">
            <v>B0650</v>
          </cell>
          <cell r="B650" t="str">
            <v>Chargers</v>
          </cell>
          <cell r="C650" t="str">
            <v>Victron</v>
          </cell>
          <cell r="D650" t="str">
            <v>VICTRON Skylla-i Battery Charger 24/100 (1+1)</v>
          </cell>
          <cell r="E650" t="str">
            <v>SKI024100000</v>
          </cell>
          <cell r="F650" t="str">
            <v>SKI024100000</v>
          </cell>
          <cell r="G650">
            <v>0</v>
          </cell>
          <cell r="H650">
            <v>0</v>
          </cell>
          <cell r="I650">
            <v>0</v>
          </cell>
          <cell r="J650">
            <v>7</v>
          </cell>
          <cell r="K650">
            <v>40.5</v>
          </cell>
          <cell r="L650">
            <v>25</v>
          </cell>
          <cell r="M650">
            <v>15</v>
          </cell>
          <cell r="N650" t="str">
            <v>1-Victron</v>
          </cell>
        </row>
        <row r="651">
          <cell r="A651" t="str">
            <v>B0651</v>
          </cell>
          <cell r="B651" t="str">
            <v>Chargers</v>
          </cell>
          <cell r="C651" t="str">
            <v>Victron</v>
          </cell>
          <cell r="D651" t="str">
            <v>VICTRON Skylla-i Battery Charger 24/100 (3)</v>
          </cell>
          <cell r="E651" t="str">
            <v>SKI024100002</v>
          </cell>
          <cell r="F651" t="str">
            <v>SKI024100002</v>
          </cell>
          <cell r="G651">
            <v>0</v>
          </cell>
          <cell r="H651">
            <v>0</v>
          </cell>
          <cell r="I651">
            <v>0</v>
          </cell>
          <cell r="J651">
            <v>7</v>
          </cell>
          <cell r="K651">
            <v>40.5</v>
          </cell>
          <cell r="L651">
            <v>25</v>
          </cell>
          <cell r="M651">
            <v>15</v>
          </cell>
          <cell r="N651" t="str">
            <v>1-Victron</v>
          </cell>
        </row>
        <row r="652">
          <cell r="A652" t="str">
            <v>B0652</v>
          </cell>
          <cell r="B652" t="str">
            <v>Chargers</v>
          </cell>
          <cell r="C652" t="str">
            <v>Victron</v>
          </cell>
          <cell r="D652" t="str">
            <v>VICTRON Skylla-i remote on-off cable</v>
          </cell>
          <cell r="E652" t="str">
            <v>ASS030550400</v>
          </cell>
          <cell r="F652" t="str">
            <v>ASS030550400</v>
          </cell>
          <cell r="G652">
            <v>0</v>
          </cell>
          <cell r="H652">
            <v>0</v>
          </cell>
          <cell r="I652">
            <v>0</v>
          </cell>
          <cell r="J652">
            <v>0.3</v>
          </cell>
          <cell r="K652">
            <v>10</v>
          </cell>
          <cell r="L652">
            <v>10</v>
          </cell>
          <cell r="M652">
            <v>1</v>
          </cell>
          <cell r="N652" t="str">
            <v>1-Victron</v>
          </cell>
        </row>
        <row r="653">
          <cell r="A653" t="str">
            <v>B0653</v>
          </cell>
          <cell r="B653" t="str">
            <v>DC-DC Converters</v>
          </cell>
          <cell r="C653" t="str">
            <v>Victron</v>
          </cell>
          <cell r="D653" t="str">
            <v>VICTRON Orion IP67 24/12-5 (60W) DC-DC Converter</v>
          </cell>
          <cell r="E653" t="str">
            <v>ORI241205260</v>
          </cell>
          <cell r="F653" t="str">
            <v>MPN (Part #)</v>
          </cell>
          <cell r="G653">
            <v>0</v>
          </cell>
          <cell r="H653">
            <v>0</v>
          </cell>
          <cell r="I653">
            <v>0</v>
          </cell>
          <cell r="J653">
            <v>0.05</v>
          </cell>
          <cell r="K653">
            <v>0.25</v>
          </cell>
          <cell r="L653">
            <v>0.43</v>
          </cell>
          <cell r="M653">
            <v>0.2</v>
          </cell>
          <cell r="N653" t="str">
            <v>1-Victron</v>
          </cell>
        </row>
        <row r="654">
          <cell r="A654" t="str">
            <v>B0654</v>
          </cell>
          <cell r="B654" t="str">
            <v>DC-DC Converters</v>
          </cell>
          <cell r="C654" t="str">
            <v>Victron</v>
          </cell>
          <cell r="D654" t="str">
            <v>VICTRON Orion IP67 24/12-10 (120W) DC-DC Converter</v>
          </cell>
          <cell r="E654" t="str">
            <v>ORI241210260</v>
          </cell>
          <cell r="F654" t="str">
            <v>ORI241210260</v>
          </cell>
          <cell r="G654">
            <v>0</v>
          </cell>
          <cell r="H654">
            <v>0</v>
          </cell>
          <cell r="I654">
            <v>0</v>
          </cell>
          <cell r="J654">
            <v>0.3</v>
          </cell>
          <cell r="K654">
            <v>0.74</v>
          </cell>
          <cell r="L654">
            <v>0.74</v>
          </cell>
          <cell r="M654">
            <v>0.32</v>
          </cell>
          <cell r="N654" t="str">
            <v>1-Victron</v>
          </cell>
        </row>
        <row r="655">
          <cell r="A655" t="str">
            <v>B0655</v>
          </cell>
          <cell r="B655" t="str">
            <v>DC-DC Converters</v>
          </cell>
          <cell r="D655" t="str">
            <v>VICTRON Orion IP67 24/12-20 (240W) DC-DC Converter</v>
          </cell>
          <cell r="E655" t="str">
            <v>ORI241220060</v>
          </cell>
          <cell r="F655" t="str">
            <v>MPN (Part #)</v>
          </cell>
          <cell r="G655">
            <v>0</v>
          </cell>
          <cell r="H655">
            <v>0</v>
          </cell>
          <cell r="I655">
            <v>0</v>
          </cell>
          <cell r="J655">
            <v>0.3</v>
          </cell>
          <cell r="K655">
            <v>0.74</v>
          </cell>
          <cell r="L655">
            <v>0.74</v>
          </cell>
          <cell r="M655">
            <v>0.32</v>
          </cell>
          <cell r="N655" t="str">
            <v>1-Victron</v>
          </cell>
        </row>
        <row r="656">
          <cell r="A656" t="str">
            <v>B0656</v>
          </cell>
          <cell r="B656" t="str">
            <v>DC-DC Converters</v>
          </cell>
          <cell r="C656" t="str">
            <v>Victron</v>
          </cell>
          <cell r="D656" t="str">
            <v>VICTRON Orion-Tr 24/12-5 (60W) DC-DC Converter</v>
          </cell>
          <cell r="E656" t="str">
            <v>ORI241205200R</v>
          </cell>
          <cell r="F656" t="str">
            <v>ORI241205200R</v>
          </cell>
          <cell r="G656">
            <v>0</v>
          </cell>
          <cell r="H656">
            <v>0</v>
          </cell>
          <cell r="I656">
            <v>0</v>
          </cell>
          <cell r="J656">
            <v>0.1</v>
          </cell>
          <cell r="K656">
            <v>0.53</v>
          </cell>
          <cell r="L656">
            <v>0.51</v>
          </cell>
          <cell r="M656">
            <v>0.27</v>
          </cell>
          <cell r="N656" t="str">
            <v>1-Victron</v>
          </cell>
        </row>
        <row r="657">
          <cell r="A657" t="str">
            <v>B0657</v>
          </cell>
          <cell r="B657" t="str">
            <v>DC-DC Converters</v>
          </cell>
          <cell r="C657" t="str">
            <v>Victron</v>
          </cell>
          <cell r="D657" t="str">
            <v>VICTRON Orion-Tr 24/12-15 (180W) DC-DC Converter</v>
          </cell>
          <cell r="E657" t="str">
            <v>ORI241215200R</v>
          </cell>
          <cell r="F657" t="str">
            <v>ORI241215200R</v>
          </cell>
          <cell r="G657">
            <v>0</v>
          </cell>
          <cell r="H657">
            <v>0</v>
          </cell>
          <cell r="I657">
            <v>0</v>
          </cell>
          <cell r="J657">
            <v>0.25</v>
          </cell>
          <cell r="K657">
            <v>0.73</v>
          </cell>
          <cell r="L657">
            <v>0.94</v>
          </cell>
          <cell r="M657">
            <v>0.45</v>
          </cell>
          <cell r="N657" t="str">
            <v>1-Victron</v>
          </cell>
        </row>
        <row r="658">
          <cell r="A658" t="str">
            <v>B0658</v>
          </cell>
          <cell r="B658" t="str">
            <v>DC-DC Converters</v>
          </cell>
          <cell r="C658" t="str">
            <v>Victron</v>
          </cell>
          <cell r="D658" t="str">
            <v>VICTRON Orion-Tr 24/12-20 (240W) DC-DC Converter</v>
          </cell>
          <cell r="E658" t="str">
            <v>ORI241220200R</v>
          </cell>
          <cell r="F658" t="str">
            <v>ORI241220200R</v>
          </cell>
          <cell r="G658">
            <v>0</v>
          </cell>
          <cell r="H658">
            <v>0</v>
          </cell>
          <cell r="I658">
            <v>0</v>
          </cell>
          <cell r="J658">
            <v>0.25</v>
          </cell>
          <cell r="K658">
            <v>0.73</v>
          </cell>
          <cell r="L658">
            <v>0.94</v>
          </cell>
          <cell r="M658">
            <v>0.45</v>
          </cell>
          <cell r="N658" t="str">
            <v>1-Victron</v>
          </cell>
        </row>
        <row r="659">
          <cell r="A659" t="str">
            <v>B0659</v>
          </cell>
          <cell r="B659" t="str">
            <v>DC-DC Converters</v>
          </cell>
          <cell r="C659" t="str">
            <v>Victron</v>
          </cell>
          <cell r="D659" t="str">
            <v>VICTRON Orion 24/12-25 DC-DC Converter</v>
          </cell>
          <cell r="E659" t="str">
            <v>ORI241225020</v>
          </cell>
          <cell r="F659" t="str">
            <v>ORI241225020</v>
          </cell>
          <cell r="G659">
            <v>0</v>
          </cell>
          <cell r="H659">
            <v>0</v>
          </cell>
          <cell r="I659">
            <v>0</v>
          </cell>
          <cell r="J659">
            <v>0.25</v>
          </cell>
          <cell r="K659">
            <v>0.65</v>
          </cell>
          <cell r="L659">
            <v>0.88</v>
          </cell>
          <cell r="M659">
            <v>1.6</v>
          </cell>
          <cell r="N659" t="str">
            <v>1-Victron</v>
          </cell>
        </row>
        <row r="660">
          <cell r="A660" t="str">
            <v>B0660</v>
          </cell>
          <cell r="B660" t="str">
            <v>DC-DC Converters</v>
          </cell>
          <cell r="C660" t="str">
            <v>Victron</v>
          </cell>
          <cell r="D660" t="str">
            <v>VICTRON Orion 24/12-40 DC-DC Converter</v>
          </cell>
          <cell r="E660" t="str">
            <v>ORI241240021</v>
          </cell>
          <cell r="F660" t="str">
            <v>ORI241240021</v>
          </cell>
          <cell r="G660">
            <v>0</v>
          </cell>
          <cell r="H660">
            <v>0</v>
          </cell>
          <cell r="I660">
            <v>0</v>
          </cell>
          <cell r="J660">
            <v>0.85</v>
          </cell>
          <cell r="K660">
            <v>0.65</v>
          </cell>
          <cell r="L660">
            <v>0.88</v>
          </cell>
          <cell r="M660">
            <v>1.85</v>
          </cell>
          <cell r="N660" t="str">
            <v>1-Victron</v>
          </cell>
        </row>
        <row r="661">
          <cell r="A661" t="str">
            <v>B0661</v>
          </cell>
          <cell r="B661" t="str">
            <v>DC-DC Converters</v>
          </cell>
          <cell r="C661" t="str">
            <v>Victron</v>
          </cell>
          <cell r="D661" t="str">
            <v>VICTRON Orion 24/12-70 DC-DC Converter</v>
          </cell>
          <cell r="E661" t="str">
            <v>ORI241270020</v>
          </cell>
          <cell r="F661" t="str">
            <v>ORI241270020</v>
          </cell>
          <cell r="G661">
            <v>0</v>
          </cell>
          <cell r="H661">
            <v>0</v>
          </cell>
          <cell r="I661">
            <v>0</v>
          </cell>
          <cell r="J661">
            <v>0.9</v>
          </cell>
          <cell r="K661">
            <v>0.65</v>
          </cell>
          <cell r="L661">
            <v>0.88</v>
          </cell>
          <cell r="M661">
            <v>1.95</v>
          </cell>
          <cell r="N661" t="str">
            <v>1-Victron</v>
          </cell>
        </row>
        <row r="662">
          <cell r="A662" t="str">
            <v>B0662</v>
          </cell>
          <cell r="B662" t="str">
            <v>DC-DC Converters</v>
          </cell>
          <cell r="C662" t="str">
            <v>Victron</v>
          </cell>
          <cell r="D662" t="str">
            <v>VICTRON Orion 24/12-70 DC-DC Converter with binding posts</v>
          </cell>
          <cell r="E662" t="str">
            <v>ORI241270030</v>
          </cell>
          <cell r="F662" t="str">
            <v>ORI241270030</v>
          </cell>
          <cell r="G662">
            <v>0</v>
          </cell>
          <cell r="H662">
            <v>0</v>
          </cell>
          <cell r="I662">
            <v>0</v>
          </cell>
          <cell r="J662">
            <v>0.9</v>
          </cell>
          <cell r="K662">
            <v>0.65</v>
          </cell>
          <cell r="L662">
            <v>0.88</v>
          </cell>
          <cell r="M662">
            <v>1.95</v>
          </cell>
          <cell r="N662" t="str">
            <v>1-Victron</v>
          </cell>
        </row>
        <row r="663">
          <cell r="A663" t="str">
            <v>B0663</v>
          </cell>
          <cell r="B663" t="str">
            <v>DC-DC Converters</v>
          </cell>
          <cell r="C663" t="str">
            <v>Victron</v>
          </cell>
          <cell r="D663" t="str">
            <v>VICTRON Orion 12/24-8 DC-DC Converter</v>
          </cell>
          <cell r="E663" t="str">
            <v>ORI122408020</v>
          </cell>
          <cell r="F663" t="str">
            <v>ORI122408020</v>
          </cell>
          <cell r="G663">
            <v>0</v>
          </cell>
          <cell r="H663">
            <v>0</v>
          </cell>
          <cell r="I663">
            <v>0</v>
          </cell>
          <cell r="J663">
            <v>0.4</v>
          </cell>
          <cell r="K663">
            <v>0.45</v>
          </cell>
          <cell r="L663">
            <v>0.9</v>
          </cell>
          <cell r="M663">
            <v>1.1499999999999999</v>
          </cell>
          <cell r="N663" t="str">
            <v>1-Victron</v>
          </cell>
        </row>
        <row r="664">
          <cell r="A664" t="str">
            <v>B0664</v>
          </cell>
          <cell r="B664" t="str">
            <v>DC-DC Converters</v>
          </cell>
          <cell r="C664" t="str">
            <v>Victron</v>
          </cell>
          <cell r="D664" t="str">
            <v>VICTRON Orion 12/24-10 DC-DC Converter</v>
          </cell>
          <cell r="E664" t="str">
            <v>ORI122410020</v>
          </cell>
          <cell r="F664" t="str">
            <v>ORI122410020</v>
          </cell>
          <cell r="G664">
            <v>0</v>
          </cell>
          <cell r="H664">
            <v>0</v>
          </cell>
          <cell r="I664">
            <v>0</v>
          </cell>
          <cell r="J664">
            <v>0.4</v>
          </cell>
          <cell r="K664">
            <v>0.45</v>
          </cell>
          <cell r="L664">
            <v>0.9</v>
          </cell>
          <cell r="M664">
            <v>1.25</v>
          </cell>
          <cell r="N664" t="str">
            <v>1-Victron</v>
          </cell>
        </row>
        <row r="665">
          <cell r="A665" t="str">
            <v>B0665</v>
          </cell>
          <cell r="B665" t="str">
            <v>DC-DC Converters</v>
          </cell>
          <cell r="C665" t="str">
            <v>Victron</v>
          </cell>
          <cell r="D665" t="str">
            <v>VICTRON Orion 12/24-20 DC-DC Converter</v>
          </cell>
          <cell r="E665" t="str">
            <v>ORI122420020</v>
          </cell>
          <cell r="F665" t="str">
            <v>ORI122420020</v>
          </cell>
          <cell r="G665">
            <v>0</v>
          </cell>
          <cell r="H665">
            <v>0</v>
          </cell>
          <cell r="I665">
            <v>0</v>
          </cell>
          <cell r="J665">
            <v>0.9</v>
          </cell>
          <cell r="K665">
            <v>0.65</v>
          </cell>
          <cell r="L665">
            <v>0.88</v>
          </cell>
          <cell r="M665">
            <v>1.95</v>
          </cell>
          <cell r="N665" t="str">
            <v>1-Victron</v>
          </cell>
        </row>
        <row r="666">
          <cell r="A666" t="str">
            <v>B0666</v>
          </cell>
          <cell r="B666" t="str">
            <v>DC-DC Converters</v>
          </cell>
          <cell r="D666" t="str">
            <v>VICTRON 25A Buck-Boost DC/DC Converter</v>
          </cell>
          <cell r="F666" t="str">
            <v>MPN (Part #)</v>
          </cell>
          <cell r="G666">
            <v>0</v>
          </cell>
          <cell r="H666">
            <v>0</v>
          </cell>
          <cell r="I666">
            <v>0</v>
          </cell>
          <cell r="N666" t="str">
            <v>1-Victron</v>
          </cell>
        </row>
        <row r="667">
          <cell r="A667" t="str">
            <v>B0667</v>
          </cell>
          <cell r="B667" t="str">
            <v>DC-DC Converters</v>
          </cell>
          <cell r="D667" t="str">
            <v>VICTRON 50A Buck-Boost DC/DC Converter</v>
          </cell>
          <cell r="F667" t="str">
            <v>MPN (Part #)</v>
          </cell>
          <cell r="G667">
            <v>0</v>
          </cell>
          <cell r="H667">
            <v>0</v>
          </cell>
          <cell r="I667">
            <v>0</v>
          </cell>
          <cell r="N667" t="str">
            <v>1-Victron</v>
          </cell>
        </row>
        <row r="668">
          <cell r="A668" t="str">
            <v>B0668</v>
          </cell>
          <cell r="B668" t="str">
            <v>DC-DC Converters</v>
          </cell>
          <cell r="C668" t="str">
            <v>Victron</v>
          </cell>
          <cell r="D668" t="str">
            <v>VICTRON 100A Buck-Boost DC/DC Converter</v>
          </cell>
          <cell r="E668" t="str">
            <v>ORI303100000</v>
          </cell>
          <cell r="F668" t="str">
            <v>ORI303100000</v>
          </cell>
          <cell r="G668">
            <v>0</v>
          </cell>
          <cell r="H668">
            <v>0</v>
          </cell>
          <cell r="I668">
            <v>0</v>
          </cell>
          <cell r="J668">
            <v>4.0999999999999996</v>
          </cell>
          <cell r="K668">
            <v>28.8</v>
          </cell>
          <cell r="L668">
            <v>16.2</v>
          </cell>
          <cell r="M668">
            <v>9.5</v>
          </cell>
          <cell r="N668" t="str">
            <v>1-Victron</v>
          </cell>
        </row>
        <row r="669">
          <cell r="A669" t="str">
            <v>B0669</v>
          </cell>
          <cell r="B669" t="str">
            <v>Inverters</v>
          </cell>
          <cell r="C669" t="str">
            <v>Goodwe</v>
          </cell>
          <cell r="D669" t="str">
            <v>NS Series 3.0KW</v>
          </cell>
          <cell r="E669" t="str">
            <v>GW3000-NS</v>
          </cell>
          <cell r="F669" t="str">
            <v>MPN (Part #)</v>
          </cell>
          <cell r="G669">
            <v>941.30000000000007</v>
          </cell>
          <cell r="H669">
            <v>855.7</v>
          </cell>
          <cell r="I669">
            <v>0</v>
          </cell>
          <cell r="J669">
            <v>8.5</v>
          </cell>
          <cell r="K669">
            <v>27.5</v>
          </cell>
          <cell r="L669">
            <v>34.4</v>
          </cell>
          <cell r="M669">
            <v>12.8</v>
          </cell>
          <cell r="N669" t="str">
            <v>2-Krannich</v>
          </cell>
        </row>
        <row r="670">
          <cell r="A670" t="str">
            <v>B0670</v>
          </cell>
          <cell r="B670" t="str">
            <v>Cables</v>
          </cell>
          <cell r="C670" t="str">
            <v>Victron</v>
          </cell>
          <cell r="D670" t="str">
            <v>VE.Direct Cable 3m</v>
          </cell>
          <cell r="E670" t="str">
            <v>ASS030530230</v>
          </cell>
          <cell r="F670" t="str">
            <v>MPN (Part #)</v>
          </cell>
          <cell r="G670">
            <v>0</v>
          </cell>
          <cell r="H670">
            <v>0</v>
          </cell>
          <cell r="I670">
            <v>0</v>
          </cell>
          <cell r="J670">
            <v>0.15</v>
          </cell>
          <cell r="K670">
            <v>10</v>
          </cell>
          <cell r="L670">
            <v>10</v>
          </cell>
          <cell r="M670">
            <v>1</v>
          </cell>
          <cell r="N670" t="str">
            <v>1-Victron</v>
          </cell>
        </row>
        <row r="671">
          <cell r="A671" t="str">
            <v>B0671</v>
          </cell>
          <cell r="B671" t="str">
            <v>Cables</v>
          </cell>
          <cell r="C671" t="str">
            <v>Victron</v>
          </cell>
          <cell r="D671" t="str">
            <v>VE.Direct Cable 5m</v>
          </cell>
          <cell r="E671" t="str">
            <v>ASS030530250</v>
          </cell>
          <cell r="F671" t="str">
            <v>MPN (Part #)</v>
          </cell>
          <cell r="G671">
            <v>0</v>
          </cell>
          <cell r="H671">
            <v>0</v>
          </cell>
          <cell r="I671">
            <v>0</v>
          </cell>
          <cell r="J671">
            <v>0.3</v>
          </cell>
          <cell r="K671">
            <v>10</v>
          </cell>
          <cell r="L671">
            <v>10</v>
          </cell>
          <cell r="M671">
            <v>1</v>
          </cell>
          <cell r="N671" t="str">
            <v>1-Victron</v>
          </cell>
        </row>
        <row r="672">
          <cell r="A672" t="str">
            <v>B0672</v>
          </cell>
          <cell r="B672" t="str">
            <v>Batteries</v>
          </cell>
          <cell r="C672" t="str">
            <v>BAE</v>
          </cell>
          <cell r="D672" t="str">
            <v>Secura 280Ah 2V Gel</v>
          </cell>
          <cell r="E672" t="str">
            <v xml:space="preserve">4PVV 280 </v>
          </cell>
          <cell r="F672" t="str">
            <v>MPN (Part #)</v>
          </cell>
          <cell r="G672">
            <v>404.40000000000003</v>
          </cell>
          <cell r="H672">
            <v>367.65000000000003</v>
          </cell>
          <cell r="I672">
            <v>0</v>
          </cell>
          <cell r="J672">
            <v>19.399999999999999</v>
          </cell>
          <cell r="K672">
            <v>42</v>
          </cell>
          <cell r="L672">
            <v>21</v>
          </cell>
          <cell r="M672">
            <v>10.5</v>
          </cell>
          <cell r="N672" t="str">
            <v>2-Krannich</v>
          </cell>
        </row>
        <row r="673">
          <cell r="A673" t="str">
            <v>B0673</v>
          </cell>
          <cell r="B673" t="str">
            <v>Batteries</v>
          </cell>
          <cell r="C673" t="str">
            <v>BAE</v>
          </cell>
          <cell r="D673" t="str">
            <v>Secura 350Ah 2V Gel</v>
          </cell>
          <cell r="E673" t="str">
            <v xml:space="preserve">5PVV 350 </v>
          </cell>
          <cell r="F673" t="str">
            <v>MPN (Part #)</v>
          </cell>
          <cell r="G673">
            <v>469.1</v>
          </cell>
          <cell r="H673">
            <v>426.45000000000005</v>
          </cell>
          <cell r="I673">
            <v>0</v>
          </cell>
          <cell r="J673">
            <v>23.3</v>
          </cell>
          <cell r="K673">
            <v>42</v>
          </cell>
          <cell r="L673">
            <v>21</v>
          </cell>
          <cell r="M673">
            <v>12.6</v>
          </cell>
          <cell r="N673" t="str">
            <v>2-Krannich</v>
          </cell>
        </row>
        <row r="674">
          <cell r="A674" t="str">
            <v>B0674</v>
          </cell>
          <cell r="B674" t="str">
            <v>Batteries</v>
          </cell>
          <cell r="C674" t="str">
            <v>BAE</v>
          </cell>
          <cell r="D674" t="str">
            <v>Secura 420Ah 2V Gel</v>
          </cell>
          <cell r="E674" t="str">
            <v xml:space="preserve">6PVV 420 </v>
          </cell>
          <cell r="F674" t="str">
            <v>MPN (Part #)</v>
          </cell>
          <cell r="G674">
            <v>541.9</v>
          </cell>
          <cell r="H674">
            <v>492.65000000000003</v>
          </cell>
          <cell r="I674">
            <v>0</v>
          </cell>
          <cell r="J674">
            <v>27.4</v>
          </cell>
          <cell r="K674">
            <v>42</v>
          </cell>
          <cell r="L674">
            <v>21</v>
          </cell>
          <cell r="M674">
            <v>14.7</v>
          </cell>
          <cell r="N674" t="str">
            <v>2-Krannich</v>
          </cell>
        </row>
        <row r="675">
          <cell r="A675" t="str">
            <v>B0675</v>
          </cell>
          <cell r="B675" t="str">
            <v>Batteries</v>
          </cell>
          <cell r="C675" t="str">
            <v>BAE</v>
          </cell>
          <cell r="D675" t="str">
            <v>Secura 550Ah 2V Gel</v>
          </cell>
          <cell r="E675" t="str">
            <v xml:space="preserve">5PVV 550 </v>
          </cell>
          <cell r="F675" t="str">
            <v>MPN (Part #)</v>
          </cell>
          <cell r="G675">
            <v>566.20000000000005</v>
          </cell>
          <cell r="H675">
            <v>514.70000000000005</v>
          </cell>
          <cell r="I675">
            <v>0</v>
          </cell>
          <cell r="J675">
            <v>31.4</v>
          </cell>
          <cell r="K675">
            <v>53.5</v>
          </cell>
          <cell r="L675">
            <v>21</v>
          </cell>
          <cell r="M675">
            <v>12.6</v>
          </cell>
          <cell r="N675" t="str">
            <v>2-Krannich</v>
          </cell>
        </row>
        <row r="676">
          <cell r="A676" t="str">
            <v>B0676</v>
          </cell>
          <cell r="B676" t="str">
            <v>Batteries</v>
          </cell>
          <cell r="C676" t="str">
            <v>BAE</v>
          </cell>
          <cell r="D676" t="str">
            <v>Secura 660Ah 2V Gel</v>
          </cell>
          <cell r="E676" t="str">
            <v xml:space="preserve">6PVV 660 </v>
          </cell>
          <cell r="F676" t="str">
            <v>MPN (Part #)</v>
          </cell>
          <cell r="G676">
            <v>655.15000000000009</v>
          </cell>
          <cell r="H676">
            <v>595.6</v>
          </cell>
          <cell r="I676">
            <v>0</v>
          </cell>
          <cell r="J676">
            <v>36.9</v>
          </cell>
          <cell r="K676">
            <v>53.5</v>
          </cell>
          <cell r="L676">
            <v>21</v>
          </cell>
          <cell r="M676">
            <v>14.7</v>
          </cell>
          <cell r="N676" t="str">
            <v>2-Krannich</v>
          </cell>
        </row>
        <row r="677">
          <cell r="A677" t="str">
            <v>B0677</v>
          </cell>
          <cell r="B677" t="str">
            <v>Batteries</v>
          </cell>
          <cell r="C677" t="str">
            <v>BAE</v>
          </cell>
          <cell r="D677" t="str">
            <v>Secura 770Ah 2V Gel</v>
          </cell>
          <cell r="E677" t="str">
            <v xml:space="preserve">7PVV 770 </v>
          </cell>
          <cell r="F677" t="str">
            <v>MPN (Part #)</v>
          </cell>
          <cell r="G677">
            <v>744.1</v>
          </cell>
          <cell r="H677">
            <v>676.45</v>
          </cell>
          <cell r="I677">
            <v>0</v>
          </cell>
          <cell r="J677">
            <v>42.4</v>
          </cell>
          <cell r="K677">
            <v>53.5</v>
          </cell>
          <cell r="L677">
            <v>21</v>
          </cell>
          <cell r="M677">
            <v>17</v>
          </cell>
          <cell r="N677" t="str">
            <v>2-Krannich</v>
          </cell>
        </row>
        <row r="678">
          <cell r="A678" t="str">
            <v>B0678</v>
          </cell>
          <cell r="B678" t="str">
            <v>Batteries</v>
          </cell>
          <cell r="C678" t="str">
            <v>BAE</v>
          </cell>
          <cell r="D678" t="str">
            <v>Secura 900Ah 2V Gel</v>
          </cell>
          <cell r="E678" t="str">
            <v xml:space="preserve">6PVV 900 </v>
          </cell>
          <cell r="F678" t="str">
            <v>MPN (Part #)</v>
          </cell>
          <cell r="G678">
            <v>817.15000000000009</v>
          </cell>
          <cell r="H678">
            <v>742.85</v>
          </cell>
          <cell r="I678">
            <v>0</v>
          </cell>
          <cell r="J678">
            <v>51</v>
          </cell>
          <cell r="K678">
            <v>71</v>
          </cell>
          <cell r="L678">
            <v>21</v>
          </cell>
          <cell r="M678">
            <v>14.7</v>
          </cell>
          <cell r="N678" t="str">
            <v>2-Krannich</v>
          </cell>
        </row>
        <row r="679">
          <cell r="A679" t="str">
            <v>B0679</v>
          </cell>
          <cell r="B679" t="str">
            <v>Batteries</v>
          </cell>
          <cell r="C679" t="str">
            <v>BAE</v>
          </cell>
          <cell r="D679" t="str">
            <v>Secura 1050Ah 2V Gel</v>
          </cell>
          <cell r="E679" t="str">
            <v xml:space="preserve">7PVV 1050 </v>
          </cell>
          <cell r="F679" t="str">
            <v>MPN (Part #)</v>
          </cell>
          <cell r="G679">
            <v>1068.55</v>
          </cell>
          <cell r="H679">
            <v>971.45</v>
          </cell>
          <cell r="I679">
            <v>0</v>
          </cell>
          <cell r="J679">
            <v>61.9</v>
          </cell>
          <cell r="K679">
            <v>71</v>
          </cell>
          <cell r="L679">
            <v>19.3</v>
          </cell>
          <cell r="M679">
            <v>21.5</v>
          </cell>
          <cell r="N679" t="str">
            <v>2-Krannich</v>
          </cell>
        </row>
        <row r="680">
          <cell r="A680" t="str">
            <v>B0680</v>
          </cell>
          <cell r="B680" t="str">
            <v>Batteries</v>
          </cell>
          <cell r="C680" t="str">
            <v>BAE</v>
          </cell>
          <cell r="D680" t="str">
            <v>Secura 1200Ah 2V Gel</v>
          </cell>
          <cell r="E680" t="str">
            <v xml:space="preserve">8PVV 1200 </v>
          </cell>
          <cell r="F680" t="str">
            <v>MPN (Part #)</v>
          </cell>
          <cell r="G680">
            <v>1155</v>
          </cell>
          <cell r="H680">
            <v>1050</v>
          </cell>
          <cell r="I680">
            <v>0</v>
          </cell>
          <cell r="J680">
            <v>68.8</v>
          </cell>
          <cell r="K680">
            <v>71</v>
          </cell>
          <cell r="L680">
            <v>19.3</v>
          </cell>
          <cell r="M680">
            <v>21.5</v>
          </cell>
          <cell r="N680" t="str">
            <v>2-Krannich</v>
          </cell>
        </row>
        <row r="681">
          <cell r="A681" t="str">
            <v>B0681</v>
          </cell>
          <cell r="B681" t="str">
            <v>Batteries</v>
          </cell>
          <cell r="C681" t="str">
            <v>BAE</v>
          </cell>
          <cell r="D681" t="str">
            <v>Secura 1350Ah 2V Gel</v>
          </cell>
          <cell r="E681" t="str">
            <v xml:space="preserve">9PVV 1350 </v>
          </cell>
          <cell r="F681" t="str">
            <v>MPN (Part #)</v>
          </cell>
          <cell r="G681">
            <v>1288.5500000000002</v>
          </cell>
          <cell r="H681">
            <v>1171.45</v>
          </cell>
          <cell r="I681">
            <v>0</v>
          </cell>
          <cell r="J681">
            <v>77</v>
          </cell>
          <cell r="K681">
            <v>71</v>
          </cell>
          <cell r="L681">
            <v>23.5</v>
          </cell>
          <cell r="M681">
            <v>21.5</v>
          </cell>
          <cell r="N681" t="str">
            <v>2-Krannich</v>
          </cell>
        </row>
        <row r="682">
          <cell r="A682" t="str">
            <v>B0682</v>
          </cell>
          <cell r="B682" t="str">
            <v>Batteries</v>
          </cell>
          <cell r="C682" t="str">
            <v>BAE</v>
          </cell>
          <cell r="D682" t="str">
            <v>Secura 1500Ah 2V Gel</v>
          </cell>
          <cell r="E682" t="str">
            <v xml:space="preserve">10PVV 1500 </v>
          </cell>
          <cell r="F682" t="str">
            <v>MPN (Part #)</v>
          </cell>
          <cell r="G682">
            <v>1395.45</v>
          </cell>
          <cell r="H682">
            <v>1268.5500000000002</v>
          </cell>
          <cell r="I682">
            <v>0</v>
          </cell>
          <cell r="J682">
            <v>83.9</v>
          </cell>
          <cell r="K682">
            <v>71</v>
          </cell>
          <cell r="L682">
            <v>23.5</v>
          </cell>
          <cell r="M682">
            <v>21.5</v>
          </cell>
          <cell r="N682" t="str">
            <v>2-Krannich</v>
          </cell>
        </row>
        <row r="683">
          <cell r="A683" t="str">
            <v>B0683</v>
          </cell>
          <cell r="B683" t="str">
            <v>Batteries</v>
          </cell>
          <cell r="C683" t="str">
            <v>BAE</v>
          </cell>
          <cell r="D683" t="str">
            <v>Secura 1800Ah 2V Gel</v>
          </cell>
          <cell r="E683" t="str">
            <v xml:space="preserve">12PVV 1800 </v>
          </cell>
          <cell r="F683" t="str">
            <v>MPN (Part #)</v>
          </cell>
          <cell r="G683">
            <v>1595</v>
          </cell>
          <cell r="H683">
            <v>1450</v>
          </cell>
          <cell r="I683">
            <v>0</v>
          </cell>
          <cell r="J683">
            <v>99.2</v>
          </cell>
          <cell r="K683">
            <v>71</v>
          </cell>
          <cell r="L683">
            <v>27.7</v>
          </cell>
          <cell r="M683">
            <v>21.5</v>
          </cell>
          <cell r="N683" t="str">
            <v>2-Krannich</v>
          </cell>
        </row>
        <row r="684">
          <cell r="A684" t="str">
            <v>B0684</v>
          </cell>
          <cell r="B684" t="str">
            <v>Batteries</v>
          </cell>
          <cell r="C684" t="str">
            <v>BAE</v>
          </cell>
          <cell r="D684" t="str">
            <v>Secura 2090Ah 2V Gel</v>
          </cell>
          <cell r="E684" t="str">
            <v xml:space="preserve">11PVV 2090 </v>
          </cell>
          <cell r="F684" t="str">
            <v>MPN (Part #)</v>
          </cell>
          <cell r="G684">
            <v>1752.15</v>
          </cell>
          <cell r="H684">
            <v>1592.8500000000001</v>
          </cell>
          <cell r="I684">
            <v>0</v>
          </cell>
          <cell r="J684">
            <v>108.2</v>
          </cell>
          <cell r="K684">
            <v>85.5</v>
          </cell>
          <cell r="L684">
            <v>27.7</v>
          </cell>
          <cell r="M684">
            <v>21.5</v>
          </cell>
          <cell r="N684" t="str">
            <v>2-Krannich</v>
          </cell>
        </row>
        <row r="685">
          <cell r="A685" t="str">
            <v>B0685</v>
          </cell>
          <cell r="B685" t="str">
            <v>Batteries</v>
          </cell>
          <cell r="C685" t="str">
            <v>BAE</v>
          </cell>
          <cell r="D685" t="str">
            <v>Secura 2280Ah 2V Gel</v>
          </cell>
          <cell r="E685" t="str">
            <v xml:space="preserve">14PVV 2280 </v>
          </cell>
          <cell r="F685" t="str">
            <v>MPN (Part #)</v>
          </cell>
          <cell r="G685">
            <v>1854.3000000000002</v>
          </cell>
          <cell r="H685">
            <v>1685.7</v>
          </cell>
          <cell r="I685">
            <v>0</v>
          </cell>
          <cell r="J685">
            <v>116.5</v>
          </cell>
          <cell r="K685">
            <v>85.5</v>
          </cell>
          <cell r="L685">
            <v>27.7</v>
          </cell>
          <cell r="M685">
            <v>21.5</v>
          </cell>
          <cell r="N685" t="str">
            <v>2-Krannich</v>
          </cell>
        </row>
        <row r="686">
          <cell r="A686" t="str">
            <v>B0686</v>
          </cell>
          <cell r="B686" t="str">
            <v>Batteries</v>
          </cell>
          <cell r="C686" t="str">
            <v>BAE</v>
          </cell>
          <cell r="D686" t="str">
            <v>Secura 2660Ah 2V Gel</v>
          </cell>
          <cell r="E686" t="str">
            <v xml:space="preserve">14PVV 2660 </v>
          </cell>
          <cell r="F686" t="str">
            <v>MPN (Part #)</v>
          </cell>
          <cell r="G686">
            <v>2278.5500000000002</v>
          </cell>
          <cell r="H686">
            <v>2071.4500000000003</v>
          </cell>
          <cell r="I686">
            <v>0</v>
          </cell>
          <cell r="J686">
            <v>141.19999999999999</v>
          </cell>
          <cell r="K686">
            <v>81.5</v>
          </cell>
          <cell r="L686">
            <v>40</v>
          </cell>
          <cell r="M686">
            <v>21.5</v>
          </cell>
          <cell r="N686" t="str">
            <v>2-Krannich</v>
          </cell>
        </row>
        <row r="687">
          <cell r="A687" t="str">
            <v>B0687</v>
          </cell>
          <cell r="B687" t="str">
            <v>Chargers</v>
          </cell>
          <cell r="C687" t="str">
            <v>Victron</v>
          </cell>
          <cell r="D687" t="str">
            <v>VICTRON Phoenix Battery Charger 24/25 (2+1) 120-240V</v>
          </cell>
          <cell r="E687" t="str">
            <v>PCH024025001</v>
          </cell>
          <cell r="F687" t="str">
            <v>PCH024025001</v>
          </cell>
          <cell r="G687">
            <v>0</v>
          </cell>
          <cell r="H687">
            <v>0</v>
          </cell>
          <cell r="I687">
            <v>0</v>
          </cell>
          <cell r="J687">
            <v>3.8</v>
          </cell>
          <cell r="K687">
            <v>35</v>
          </cell>
          <cell r="L687">
            <v>20</v>
          </cell>
          <cell r="M687">
            <v>10.8</v>
          </cell>
          <cell r="N687" t="str">
            <v>1-Victron</v>
          </cell>
        </row>
        <row r="688">
          <cell r="A688" t="str">
            <v>B0688</v>
          </cell>
          <cell r="B688" t="str">
            <v>Chargers</v>
          </cell>
          <cell r="C688" t="str">
            <v>Victron</v>
          </cell>
          <cell r="D688" t="str">
            <v>VICTRON Skylla Battery Charger IP44 12/60 (1+1) 120-240V</v>
          </cell>
          <cell r="E688" t="str">
            <v>SKY012060000</v>
          </cell>
          <cell r="F688" t="str">
            <v>SKY012060000</v>
          </cell>
          <cell r="G688">
            <v>0</v>
          </cell>
          <cell r="H688">
            <v>0</v>
          </cell>
          <cell r="I688">
            <v>0</v>
          </cell>
          <cell r="J688">
            <v>6</v>
          </cell>
          <cell r="K688">
            <v>40.1</v>
          </cell>
          <cell r="L688">
            <v>26.5</v>
          </cell>
          <cell r="M688">
            <v>15.1</v>
          </cell>
          <cell r="N688" t="str">
            <v>1-Victron</v>
          </cell>
        </row>
        <row r="689">
          <cell r="A689" t="str">
            <v>B0689</v>
          </cell>
          <cell r="B689" t="str">
            <v>Chargers</v>
          </cell>
          <cell r="C689" t="str">
            <v>Victron</v>
          </cell>
          <cell r="D689" t="str">
            <v>VICTRON Skylla Battery Charger IP44 12/60 (3) 120-240V</v>
          </cell>
          <cell r="E689" t="str">
            <v>SKY012060100</v>
          </cell>
          <cell r="F689" t="str">
            <v>SKY012060100</v>
          </cell>
          <cell r="G689">
            <v>0</v>
          </cell>
          <cell r="H689">
            <v>0</v>
          </cell>
          <cell r="I689">
            <v>0</v>
          </cell>
          <cell r="J689">
            <v>6</v>
          </cell>
          <cell r="K689">
            <v>40.1</v>
          </cell>
          <cell r="L689">
            <v>26.5</v>
          </cell>
          <cell r="M689">
            <v>15.1</v>
          </cell>
          <cell r="N689" t="str">
            <v>1-Victron</v>
          </cell>
        </row>
        <row r="690">
          <cell r="A690" t="str">
            <v>B0690</v>
          </cell>
          <cell r="B690" t="str">
            <v>Chargers</v>
          </cell>
          <cell r="C690" t="str">
            <v>Victron</v>
          </cell>
          <cell r="D690" t="str">
            <v>VICTRON Skylla Battery Charger IP44 24/30 (1+1) 120-240V</v>
          </cell>
          <cell r="E690" t="str">
            <v>SKY024030000</v>
          </cell>
          <cell r="F690" t="str">
            <v>SKY024030000</v>
          </cell>
          <cell r="G690">
            <v>0</v>
          </cell>
          <cell r="H690">
            <v>0</v>
          </cell>
          <cell r="I690">
            <v>0</v>
          </cell>
          <cell r="J690">
            <v>6</v>
          </cell>
          <cell r="K690">
            <v>40.1</v>
          </cell>
          <cell r="L690">
            <v>26.5</v>
          </cell>
          <cell r="M690">
            <v>15.1</v>
          </cell>
          <cell r="N690" t="str">
            <v>1-Victron</v>
          </cell>
        </row>
        <row r="691">
          <cell r="A691" t="str">
            <v>B0691</v>
          </cell>
          <cell r="B691" t="str">
            <v>Chargers</v>
          </cell>
          <cell r="C691" t="str">
            <v>Victron</v>
          </cell>
          <cell r="D691" t="str">
            <v>VICTRON Skylla Battery Charger IP44 24/30 (3) 120-240V</v>
          </cell>
          <cell r="E691" t="str">
            <v>SKY024030100</v>
          </cell>
          <cell r="F691" t="str">
            <v>SKY024030100</v>
          </cell>
          <cell r="G691">
            <v>0</v>
          </cell>
          <cell r="H691">
            <v>0</v>
          </cell>
          <cell r="I691">
            <v>0</v>
          </cell>
          <cell r="J691">
            <v>6</v>
          </cell>
          <cell r="K691">
            <v>40.1</v>
          </cell>
          <cell r="L691">
            <v>26.5</v>
          </cell>
          <cell r="M691">
            <v>15.1</v>
          </cell>
          <cell r="N691" t="str">
            <v>1-Victron</v>
          </cell>
        </row>
        <row r="692">
          <cell r="A692" t="str">
            <v>B0692</v>
          </cell>
          <cell r="B692" t="str">
            <v>Chargers</v>
          </cell>
          <cell r="C692" t="str">
            <v>Victron</v>
          </cell>
          <cell r="D692" t="str">
            <v>VICTRON Skylla Battery Charger TG 24/30 (1+1)</v>
          </cell>
          <cell r="E692" t="str">
            <v>SDTG2400301</v>
          </cell>
          <cell r="F692" t="str">
            <v>SDTG2400301</v>
          </cell>
          <cell r="G692">
            <v>0</v>
          </cell>
          <cell r="H692">
            <v>0</v>
          </cell>
          <cell r="I692">
            <v>0</v>
          </cell>
          <cell r="J692">
            <v>10</v>
          </cell>
          <cell r="K692">
            <v>36.5</v>
          </cell>
          <cell r="L692">
            <v>25</v>
          </cell>
          <cell r="M692">
            <v>14.7</v>
          </cell>
          <cell r="N692" t="str">
            <v>1-Victron</v>
          </cell>
        </row>
        <row r="693">
          <cell r="A693" t="str">
            <v>B0693</v>
          </cell>
          <cell r="B693" t="str">
            <v>Chargers</v>
          </cell>
          <cell r="C693" t="str">
            <v>Victron</v>
          </cell>
          <cell r="D693" t="str">
            <v>VICTRON Skylla Battery Charger TG 24/50 (1+1)</v>
          </cell>
          <cell r="E693" t="str">
            <v>SDTG2400501</v>
          </cell>
          <cell r="F693" t="str">
            <v>SDTG2400501</v>
          </cell>
          <cell r="G693">
            <v>0</v>
          </cell>
          <cell r="H693">
            <v>0</v>
          </cell>
          <cell r="I693">
            <v>0</v>
          </cell>
          <cell r="J693">
            <v>10</v>
          </cell>
          <cell r="K693">
            <v>36.5</v>
          </cell>
          <cell r="L693">
            <v>25</v>
          </cell>
          <cell r="M693">
            <v>25.7</v>
          </cell>
          <cell r="N693" t="str">
            <v>1-Victron</v>
          </cell>
        </row>
        <row r="694">
          <cell r="A694" t="str">
            <v>B0694</v>
          </cell>
          <cell r="B694" t="str">
            <v>Chargers</v>
          </cell>
          <cell r="C694" t="str">
            <v>Victron</v>
          </cell>
          <cell r="D694" t="str">
            <v>VICTRON Skylla Battery Charger TG 24/80 (1+1)</v>
          </cell>
          <cell r="E694" t="str">
            <v>SDTG2400801</v>
          </cell>
          <cell r="F694" t="str">
            <v>SDTG2400801</v>
          </cell>
          <cell r="G694">
            <v>0</v>
          </cell>
          <cell r="H694">
            <v>0</v>
          </cell>
          <cell r="I694">
            <v>0</v>
          </cell>
          <cell r="J694">
            <v>10</v>
          </cell>
          <cell r="K694">
            <v>36.5</v>
          </cell>
          <cell r="L694">
            <v>25</v>
          </cell>
          <cell r="M694">
            <v>25.7</v>
          </cell>
          <cell r="N694" t="str">
            <v>1-Victron</v>
          </cell>
        </row>
        <row r="695">
          <cell r="A695" t="str">
            <v>B0695</v>
          </cell>
          <cell r="B695" t="str">
            <v>Chargers</v>
          </cell>
          <cell r="C695" t="str">
            <v>Victron</v>
          </cell>
          <cell r="D695" t="str">
            <v>VICTRON Skylla Battery Charger TG 24/100 (1+1)</v>
          </cell>
          <cell r="E695" t="str">
            <v>SDTG2401001</v>
          </cell>
          <cell r="F695" t="str">
            <v>SDTG2401001</v>
          </cell>
          <cell r="G695">
            <v>0</v>
          </cell>
          <cell r="H695">
            <v>0</v>
          </cell>
          <cell r="I695">
            <v>0</v>
          </cell>
          <cell r="J695">
            <v>10</v>
          </cell>
          <cell r="K695">
            <v>36.5</v>
          </cell>
          <cell r="L695">
            <v>25</v>
          </cell>
          <cell r="M695">
            <v>25.7</v>
          </cell>
          <cell r="N695" t="str">
            <v>1-Victron</v>
          </cell>
        </row>
        <row r="696">
          <cell r="A696" t="str">
            <v>B0696</v>
          </cell>
          <cell r="B696" t="str">
            <v>Chargers</v>
          </cell>
          <cell r="C696" t="str">
            <v>Victron</v>
          </cell>
          <cell r="D696" t="str">
            <v>VICTRON Battery Charger Blue Smart IP67 Charger 12/25 (1)</v>
          </cell>
          <cell r="E696" t="str">
            <v>BPC122513016</v>
          </cell>
          <cell r="F696" t="str">
            <v>BPC122513016</v>
          </cell>
          <cell r="G696">
            <v>0</v>
          </cell>
          <cell r="H696">
            <v>0</v>
          </cell>
          <cell r="I696">
            <v>0</v>
          </cell>
          <cell r="J696">
            <v>2.4</v>
          </cell>
          <cell r="K696">
            <v>9.9</v>
          </cell>
          <cell r="L696">
            <v>21.9</v>
          </cell>
          <cell r="M696">
            <v>6.5</v>
          </cell>
          <cell r="N696" t="str">
            <v>1-Victron</v>
          </cell>
        </row>
        <row r="697">
          <cell r="A697" t="str">
            <v>B0697</v>
          </cell>
          <cell r="B697" t="str">
            <v>Chargers</v>
          </cell>
          <cell r="C697" t="str">
            <v>Victron</v>
          </cell>
          <cell r="D697" t="str">
            <v>VICTRON Battery Charger Blue Smart IP67 Charger 24/12 (1)</v>
          </cell>
          <cell r="E697" t="str">
            <v>BPC241213016</v>
          </cell>
          <cell r="F697" t="str">
            <v>BPC241213016</v>
          </cell>
          <cell r="G697">
            <v>0</v>
          </cell>
          <cell r="H697">
            <v>0</v>
          </cell>
          <cell r="I697">
            <v>0</v>
          </cell>
          <cell r="J697">
            <v>2.4</v>
          </cell>
          <cell r="K697">
            <v>9.9</v>
          </cell>
          <cell r="L697">
            <v>21.9</v>
          </cell>
          <cell r="M697">
            <v>6.5</v>
          </cell>
          <cell r="N697" t="str">
            <v>1-Victron</v>
          </cell>
        </row>
        <row r="698">
          <cell r="A698" t="str">
            <v>B0698</v>
          </cell>
          <cell r="B698" t="str">
            <v>Chargers</v>
          </cell>
          <cell r="C698" t="str">
            <v>Victron</v>
          </cell>
          <cell r="D698" t="str">
            <v>VICTRON Centaur IP20 Battery Charger 12/20 (3)</v>
          </cell>
          <cell r="E698" t="str">
            <v>CCH012020000</v>
          </cell>
          <cell r="F698" t="str">
            <v>CCH012020000</v>
          </cell>
          <cell r="G698">
            <v>0</v>
          </cell>
          <cell r="H698">
            <v>0</v>
          </cell>
          <cell r="I698">
            <v>0</v>
          </cell>
          <cell r="J698">
            <v>3.8</v>
          </cell>
          <cell r="K698">
            <v>35.5</v>
          </cell>
          <cell r="L698">
            <v>21.5</v>
          </cell>
          <cell r="M698">
            <v>11</v>
          </cell>
          <cell r="N698" t="str">
            <v>1-Victron</v>
          </cell>
        </row>
        <row r="699">
          <cell r="A699" t="str">
            <v>B0699</v>
          </cell>
          <cell r="B699" t="str">
            <v>Chargers</v>
          </cell>
          <cell r="C699" t="str">
            <v>Victron</v>
          </cell>
          <cell r="D699" t="str">
            <v>VICTRON Centaur IP20 Battery Charger 12/30 (3)</v>
          </cell>
          <cell r="E699" t="str">
            <v>CCH012030000</v>
          </cell>
          <cell r="F699" t="str">
            <v>CCH012030000</v>
          </cell>
          <cell r="G699">
            <v>0</v>
          </cell>
          <cell r="H699">
            <v>0</v>
          </cell>
          <cell r="I699">
            <v>0</v>
          </cell>
          <cell r="J699">
            <v>3.8</v>
          </cell>
          <cell r="K699">
            <v>35.5</v>
          </cell>
          <cell r="L699">
            <v>21.5</v>
          </cell>
          <cell r="M699">
            <v>11</v>
          </cell>
          <cell r="N699" t="str">
            <v>1-Victron</v>
          </cell>
        </row>
        <row r="700">
          <cell r="A700" t="str">
            <v>B0700</v>
          </cell>
          <cell r="B700" t="str">
            <v>Chargers</v>
          </cell>
          <cell r="C700" t="str">
            <v>Victron</v>
          </cell>
          <cell r="D700" t="str">
            <v>VICTRON Centaur IP20 Battery Charger 12/40 (3)</v>
          </cell>
          <cell r="E700" t="str">
            <v>CCH012040000</v>
          </cell>
          <cell r="F700" t="str">
            <v>CCH012040000</v>
          </cell>
          <cell r="G700">
            <v>0</v>
          </cell>
          <cell r="H700">
            <v>0</v>
          </cell>
          <cell r="I700">
            <v>0</v>
          </cell>
          <cell r="J700">
            <v>5</v>
          </cell>
          <cell r="K700">
            <v>42.6</v>
          </cell>
          <cell r="L700">
            <v>23.9</v>
          </cell>
          <cell r="M700">
            <v>13.5</v>
          </cell>
          <cell r="N700" t="str">
            <v>1-Victron</v>
          </cell>
        </row>
        <row r="701">
          <cell r="A701" t="str">
            <v>B0701</v>
          </cell>
          <cell r="B701" t="str">
            <v>Chargers</v>
          </cell>
          <cell r="C701" t="str">
            <v>Victron</v>
          </cell>
          <cell r="D701" t="str">
            <v>VICTRON Centaur IP20 Battery Charger 12/50 (3)</v>
          </cell>
          <cell r="E701" t="str">
            <v>CCH012050000</v>
          </cell>
          <cell r="F701" t="str">
            <v>CCH012050000</v>
          </cell>
          <cell r="G701">
            <v>0</v>
          </cell>
          <cell r="H701">
            <v>0</v>
          </cell>
          <cell r="I701">
            <v>0</v>
          </cell>
          <cell r="J701">
            <v>5</v>
          </cell>
          <cell r="K701">
            <v>42.6</v>
          </cell>
          <cell r="L701">
            <v>23.9</v>
          </cell>
          <cell r="M701">
            <v>13.5</v>
          </cell>
          <cell r="N701" t="str">
            <v>1-Victron</v>
          </cell>
        </row>
        <row r="702">
          <cell r="A702" t="str">
            <v>B0702</v>
          </cell>
          <cell r="B702" t="str">
            <v>Inverter-Chargers</v>
          </cell>
          <cell r="C702" t="str">
            <v>Victron</v>
          </cell>
          <cell r="D702" t="str">
            <v>EasySolarII 48/3000/35-32 GX</v>
          </cell>
          <cell r="E702" t="str">
            <v>PMP482307010</v>
          </cell>
          <cell r="F702" t="str">
            <v>EasysolarII_48/3000/35-32GX</v>
          </cell>
          <cell r="G702">
            <v>2635.4</v>
          </cell>
          <cell r="H702">
            <v>2395.8000000000002</v>
          </cell>
          <cell r="I702">
            <v>0</v>
          </cell>
          <cell r="J702">
            <v>26</v>
          </cell>
          <cell r="K702">
            <v>27</v>
          </cell>
          <cell r="L702">
            <v>27</v>
          </cell>
          <cell r="M702">
            <v>50</v>
          </cell>
          <cell r="N702" t="str">
            <v>1-Victron</v>
          </cell>
        </row>
        <row r="703">
          <cell r="A703" t="str">
            <v>B0703</v>
          </cell>
          <cell r="B703" t="str">
            <v>Chargers</v>
          </cell>
          <cell r="C703" t="str">
            <v>Victron</v>
          </cell>
          <cell r="D703" t="str">
            <v>VICTRON Centaur IP20 Battery Charger 12/60 (3)</v>
          </cell>
          <cell r="E703" t="str">
            <v>CCH012060000</v>
          </cell>
          <cell r="F703" t="str">
            <v>CCH012060000</v>
          </cell>
          <cell r="G703">
            <v>0</v>
          </cell>
          <cell r="H703">
            <v>0</v>
          </cell>
          <cell r="I703">
            <v>0</v>
          </cell>
          <cell r="J703">
            <v>5</v>
          </cell>
          <cell r="K703">
            <v>42.6</v>
          </cell>
          <cell r="L703">
            <v>23.9</v>
          </cell>
          <cell r="M703">
            <v>13.5</v>
          </cell>
          <cell r="N703" t="str">
            <v>1-Victron</v>
          </cell>
        </row>
        <row r="704">
          <cell r="A704" t="str">
            <v>B0704</v>
          </cell>
          <cell r="B704" t="str">
            <v>Chargers</v>
          </cell>
          <cell r="C704" t="str">
            <v>Victron</v>
          </cell>
          <cell r="D704" t="str">
            <v>VICTRON Centaur IP20 Battery Charger 24/16 (3)</v>
          </cell>
          <cell r="E704" t="str">
            <v>CCH024016000</v>
          </cell>
          <cell r="F704" t="str">
            <v>CCH024016000</v>
          </cell>
          <cell r="G704">
            <v>0</v>
          </cell>
          <cell r="H704">
            <v>0</v>
          </cell>
          <cell r="I704">
            <v>0</v>
          </cell>
          <cell r="J704">
            <v>3.8</v>
          </cell>
          <cell r="K704">
            <v>35.5</v>
          </cell>
          <cell r="L704">
            <v>21.5</v>
          </cell>
          <cell r="M704">
            <v>11</v>
          </cell>
          <cell r="N704" t="str">
            <v>1-Victron</v>
          </cell>
        </row>
        <row r="705">
          <cell r="A705" t="str">
            <v>B0705</v>
          </cell>
          <cell r="B705" t="str">
            <v>Chargers</v>
          </cell>
          <cell r="C705" t="str">
            <v>Victron</v>
          </cell>
          <cell r="D705" t="str">
            <v>VICTRON Centaur IP20 Battery Charger 24/30 (3)</v>
          </cell>
          <cell r="E705" t="str">
            <v>CCH024030000</v>
          </cell>
          <cell r="F705" t="str">
            <v>CCH024030000</v>
          </cell>
          <cell r="G705">
            <v>0</v>
          </cell>
          <cell r="H705">
            <v>0</v>
          </cell>
          <cell r="I705">
            <v>0</v>
          </cell>
          <cell r="J705">
            <v>5</v>
          </cell>
          <cell r="K705">
            <v>42.6</v>
          </cell>
          <cell r="L705">
            <v>23.9</v>
          </cell>
          <cell r="M705">
            <v>13.5</v>
          </cell>
          <cell r="N705" t="str">
            <v>1-Victron</v>
          </cell>
        </row>
        <row r="706">
          <cell r="A706" t="str">
            <v>B0706</v>
          </cell>
          <cell r="B706" t="str">
            <v>Inverters</v>
          </cell>
          <cell r="C706" t="str">
            <v>Victron</v>
          </cell>
          <cell r="D706" t="str">
            <v>Phoenix Inverter 12/3000 Smart</v>
          </cell>
          <cell r="E706" t="str">
            <v>PIN122300000</v>
          </cell>
          <cell r="F706" t="str">
            <v>MPN (Part #)</v>
          </cell>
          <cell r="G706">
            <v>1621.6000000000001</v>
          </cell>
          <cell r="H706">
            <v>1474.2</v>
          </cell>
          <cell r="I706">
            <v>0</v>
          </cell>
          <cell r="J706">
            <v>19</v>
          </cell>
          <cell r="K706">
            <v>54</v>
          </cell>
          <cell r="L706">
            <v>27.6</v>
          </cell>
          <cell r="M706">
            <v>15.2</v>
          </cell>
          <cell r="N706" t="str">
            <v>1-Victron</v>
          </cell>
        </row>
        <row r="707">
          <cell r="A707" t="str">
            <v>B0707</v>
          </cell>
          <cell r="B707" t="str">
            <v>Inverters</v>
          </cell>
          <cell r="C707" t="str">
            <v>Victron</v>
          </cell>
          <cell r="D707" t="str">
            <v>Phoenix Inverter 24/3000 Smart</v>
          </cell>
          <cell r="E707" t="str">
            <v>PIN242300000</v>
          </cell>
          <cell r="F707" t="str">
            <v>MPN (Part #)</v>
          </cell>
          <cell r="G707">
            <v>1465.2</v>
          </cell>
          <cell r="H707">
            <v>1332</v>
          </cell>
          <cell r="I707">
            <v>0</v>
          </cell>
          <cell r="J707">
            <v>19</v>
          </cell>
          <cell r="K707">
            <v>48.7</v>
          </cell>
          <cell r="L707">
            <v>28.6</v>
          </cell>
          <cell r="M707">
            <v>15.2</v>
          </cell>
          <cell r="N707" t="str">
            <v>1-Victron</v>
          </cell>
        </row>
        <row r="708">
          <cell r="A708" t="str">
            <v>B0708</v>
          </cell>
          <cell r="B708" t="str">
            <v>Inverters</v>
          </cell>
          <cell r="C708" t="str">
            <v>Victron</v>
          </cell>
          <cell r="D708" t="str">
            <v>Phoenix Inverter 48/3000 Smart</v>
          </cell>
          <cell r="E708" t="str">
            <v>PIN482300000</v>
          </cell>
          <cell r="F708" t="str">
            <v>MPN (Part #)</v>
          </cell>
          <cell r="G708">
            <v>1546.4</v>
          </cell>
          <cell r="H708">
            <v>1405.8000000000002</v>
          </cell>
          <cell r="I708">
            <v>0</v>
          </cell>
          <cell r="J708">
            <v>19</v>
          </cell>
          <cell r="K708">
            <v>48.7</v>
          </cell>
          <cell r="L708">
            <v>28.6</v>
          </cell>
          <cell r="M708">
            <v>15.2</v>
          </cell>
          <cell r="N708" t="str">
            <v>1-Victron</v>
          </cell>
        </row>
        <row r="709">
          <cell r="A709" t="str">
            <v>B0709</v>
          </cell>
          <cell r="B709" t="str">
            <v>Inverters</v>
          </cell>
          <cell r="C709" t="str">
            <v>Victron</v>
          </cell>
          <cell r="D709" t="str">
            <v>Phoenix Inverter 12/3000</v>
          </cell>
          <cell r="E709" t="str">
            <v>PIN123020000</v>
          </cell>
          <cell r="F709" t="str">
            <v>MPN (Part #)</v>
          </cell>
          <cell r="G709">
            <v>1621.6000000000001</v>
          </cell>
          <cell r="H709">
            <v>1474.2</v>
          </cell>
          <cell r="I709">
            <v>0</v>
          </cell>
          <cell r="J709">
            <v>18</v>
          </cell>
          <cell r="K709">
            <v>36.200000000000003</v>
          </cell>
          <cell r="L709">
            <v>25.8</v>
          </cell>
          <cell r="M709">
            <v>21.8</v>
          </cell>
          <cell r="N709" t="str">
            <v>1-Victron</v>
          </cell>
        </row>
        <row r="710">
          <cell r="A710" t="str">
            <v>B0710</v>
          </cell>
          <cell r="B710" t="str">
            <v>Inverter-Chargers</v>
          </cell>
          <cell r="C710" t="str">
            <v>Victron</v>
          </cell>
          <cell r="D710" t="str">
            <v>MultiPlus 24/1600/40-16</v>
          </cell>
          <cell r="E710" t="str">
            <v>PMP242160000</v>
          </cell>
          <cell r="F710" t="str">
            <v>MPN (Part #)</v>
          </cell>
          <cell r="G710">
            <v>1310.75</v>
          </cell>
          <cell r="H710">
            <v>1191.6000000000001</v>
          </cell>
          <cell r="I710">
            <v>0</v>
          </cell>
          <cell r="J710">
            <v>10.199999999999999</v>
          </cell>
          <cell r="K710">
            <v>46.5</v>
          </cell>
          <cell r="L710">
            <v>27</v>
          </cell>
          <cell r="M710">
            <v>12</v>
          </cell>
          <cell r="N710" t="str">
            <v>1-Victron</v>
          </cell>
        </row>
        <row r="711">
          <cell r="A711" t="str">
            <v>B0711</v>
          </cell>
          <cell r="B711" t="str">
            <v>Inverter-Chargers</v>
          </cell>
          <cell r="C711" t="str">
            <v>Victron</v>
          </cell>
          <cell r="D711" t="str">
            <v>MultiPlus 48/1600/20-16</v>
          </cell>
          <cell r="E711" t="str">
            <v>PMP482160000</v>
          </cell>
          <cell r="F711" t="str">
            <v>MPN (Part #)</v>
          </cell>
          <cell r="G711">
            <v>1016.75</v>
          </cell>
          <cell r="H711">
            <v>924.30000000000007</v>
          </cell>
          <cell r="I711">
            <v>0</v>
          </cell>
          <cell r="J711">
            <v>10.199999999999999</v>
          </cell>
          <cell r="K711">
            <v>46.5</v>
          </cell>
          <cell r="L711">
            <v>27</v>
          </cell>
          <cell r="M711">
            <v>12</v>
          </cell>
          <cell r="N711" t="str">
            <v>1-Victron</v>
          </cell>
        </row>
        <row r="712">
          <cell r="A712" t="str">
            <v>B0712</v>
          </cell>
          <cell r="B712" t="str">
            <v>Inverter-Chargers</v>
          </cell>
          <cell r="C712" t="str">
            <v>Victron</v>
          </cell>
          <cell r="D712" t="str">
            <v xml:space="preserve">MultiPlus 48/2000/25-35 230V </v>
          </cell>
          <cell r="E712" t="str">
            <v>PMP482200000</v>
          </cell>
          <cell r="F712" t="str">
            <v>MPN (Part #)</v>
          </cell>
          <cell r="G712">
            <v>1134.55</v>
          </cell>
          <cell r="H712">
            <v>1031.4000000000001</v>
          </cell>
          <cell r="I712">
            <v>0</v>
          </cell>
          <cell r="J712">
            <v>15.5</v>
          </cell>
          <cell r="K712">
            <v>29.5</v>
          </cell>
          <cell r="L712">
            <v>44.5</v>
          </cell>
          <cell r="M712">
            <v>33</v>
          </cell>
          <cell r="N712" t="str">
            <v>1-Victron</v>
          </cell>
        </row>
        <row r="713">
          <cell r="A713" t="str">
            <v>B0713</v>
          </cell>
          <cell r="B713" t="str">
            <v>Inverters</v>
          </cell>
          <cell r="C713" t="str">
            <v>ABB</v>
          </cell>
          <cell r="D713" t="str">
            <v>Uno 5KW 1ph</v>
          </cell>
          <cell r="E713" t="str">
            <v>UNO-DM-5.0-TL</v>
          </cell>
          <cell r="F713" t="str">
            <v>MPN (Part #)</v>
          </cell>
          <cell r="G713">
            <v>0</v>
          </cell>
          <cell r="H713">
            <v>0</v>
          </cell>
          <cell r="I713">
            <v>0</v>
          </cell>
          <cell r="J713">
            <v>15</v>
          </cell>
          <cell r="K713">
            <v>55.3</v>
          </cell>
          <cell r="L713">
            <v>41.8</v>
          </cell>
          <cell r="M713">
            <v>17.5</v>
          </cell>
          <cell r="N713" t="str">
            <v>9-SolarJuice</v>
          </cell>
        </row>
        <row r="714">
          <cell r="A714" t="str">
            <v>B0714</v>
          </cell>
          <cell r="B714" t="str">
            <v>Inverter-Chargers</v>
          </cell>
          <cell r="C714" t="str">
            <v>Victron</v>
          </cell>
          <cell r="D714" t="str">
            <v xml:space="preserve">MultiPlus-II 24/3000/70-32 230V </v>
          </cell>
          <cell r="E714" t="str">
            <v>PMP242305010</v>
          </cell>
          <cell r="F714" t="str">
            <v>MPN (Part #)</v>
          </cell>
          <cell r="G714">
            <v>2181.9500000000003</v>
          </cell>
          <cell r="H714">
            <v>1983.6000000000001</v>
          </cell>
          <cell r="I714">
            <v>0</v>
          </cell>
          <cell r="J714">
            <v>21</v>
          </cell>
          <cell r="K714">
            <v>29.5</v>
          </cell>
          <cell r="L714">
            <v>44.5</v>
          </cell>
          <cell r="M714">
            <v>33</v>
          </cell>
          <cell r="N714" t="str">
            <v>1-Victron</v>
          </cell>
        </row>
        <row r="715">
          <cell r="A715" t="str">
            <v>B0715</v>
          </cell>
          <cell r="B715" t="str">
            <v>Victron Accessories</v>
          </cell>
          <cell r="C715" t="str">
            <v>Victron</v>
          </cell>
          <cell r="D715" t="str">
            <v>M6 eyelet connector (with 30A ATO fuse)</v>
          </cell>
          <cell r="E715" t="str">
            <v>BPC900100014</v>
          </cell>
          <cell r="F715" t="str">
            <v>MPN (Part #)</v>
          </cell>
          <cell r="G715">
            <v>0</v>
          </cell>
          <cell r="H715">
            <v>0</v>
          </cell>
          <cell r="I715">
            <v>0</v>
          </cell>
          <cell r="J715">
            <v>0.5</v>
          </cell>
          <cell r="K715">
            <v>10</v>
          </cell>
          <cell r="L715">
            <v>5</v>
          </cell>
          <cell r="M715">
            <v>3</v>
          </cell>
          <cell r="N715" t="str">
            <v>1-Victron</v>
          </cell>
        </row>
        <row r="716">
          <cell r="A716" t="str">
            <v>B0716</v>
          </cell>
          <cell r="B716" t="str">
            <v>Hot Water</v>
          </cell>
          <cell r="C716" t="str">
            <v>Dux</v>
          </cell>
          <cell r="D716" t="str">
            <v>Hot Water System Dux Proflo 160L / 2.4KW</v>
          </cell>
          <cell r="E716" t="str">
            <v>bunnings</v>
          </cell>
          <cell r="F716" t="str">
            <v>MPN (Part #)</v>
          </cell>
          <cell r="G716">
            <v>0</v>
          </cell>
          <cell r="H716">
            <v>0</v>
          </cell>
          <cell r="I716">
            <v>0</v>
          </cell>
          <cell r="N716" t="str">
            <v/>
          </cell>
        </row>
        <row r="717">
          <cell r="A717" t="str">
            <v>B0717</v>
          </cell>
          <cell r="B717" t="str">
            <v>Victron Accessories</v>
          </cell>
          <cell r="C717" t="str">
            <v>Victron</v>
          </cell>
          <cell r="D717" t="str">
            <v>M8 eyelet connector (with 30A ATO fuse)</v>
          </cell>
          <cell r="E717" t="str">
            <v>BPC900110014</v>
          </cell>
          <cell r="F717" t="str">
            <v>MPN (Part #)</v>
          </cell>
          <cell r="G717">
            <v>0</v>
          </cell>
          <cell r="H717">
            <v>0</v>
          </cell>
          <cell r="I717">
            <v>0</v>
          </cell>
          <cell r="J717">
            <v>0.5</v>
          </cell>
          <cell r="K717">
            <v>10</v>
          </cell>
          <cell r="L717">
            <v>5</v>
          </cell>
          <cell r="M717">
            <v>3</v>
          </cell>
          <cell r="N717" t="str">
            <v>1-Victron</v>
          </cell>
        </row>
        <row r="718">
          <cell r="A718" t="str">
            <v>B0718</v>
          </cell>
          <cell r="B718" t="str">
            <v>Victron Accessories</v>
          </cell>
          <cell r="C718" t="str">
            <v>Victron</v>
          </cell>
          <cell r="D718" t="str">
            <v>2 meter extension cable</v>
          </cell>
          <cell r="E718" t="str">
            <v>BPC900200014</v>
          </cell>
          <cell r="F718" t="str">
            <v>MPN (Part #)</v>
          </cell>
          <cell r="G718">
            <v>0</v>
          </cell>
          <cell r="H718">
            <v>0</v>
          </cell>
          <cell r="I718">
            <v>0</v>
          </cell>
          <cell r="J718">
            <v>0.5</v>
          </cell>
          <cell r="K718">
            <v>10</v>
          </cell>
          <cell r="L718">
            <v>5</v>
          </cell>
          <cell r="M718">
            <v>3</v>
          </cell>
          <cell r="N718" t="str">
            <v>1-Victron</v>
          </cell>
        </row>
        <row r="719">
          <cell r="A719" t="str">
            <v>B0719</v>
          </cell>
          <cell r="B719" t="str">
            <v>Victron Accessories</v>
          </cell>
          <cell r="C719" t="str">
            <v>Victron</v>
          </cell>
          <cell r="D719" t="str">
            <v xml:space="preserve">12 Volt plug (cigarette plug with 16A fuse) </v>
          </cell>
          <cell r="E719" t="str">
            <v>BPC900300004</v>
          </cell>
          <cell r="F719" t="str">
            <v>MPN (Part #)</v>
          </cell>
          <cell r="G719">
            <v>0</v>
          </cell>
          <cell r="H719">
            <v>0</v>
          </cell>
          <cell r="I719">
            <v>0</v>
          </cell>
          <cell r="J719">
            <v>0.5</v>
          </cell>
          <cell r="K719">
            <v>10</v>
          </cell>
          <cell r="L719">
            <v>5</v>
          </cell>
          <cell r="M719">
            <v>3</v>
          </cell>
          <cell r="N719" t="str">
            <v>1-Victron</v>
          </cell>
        </row>
        <row r="720">
          <cell r="A720" t="str">
            <v>B0720</v>
          </cell>
          <cell r="B720" t="str">
            <v>Victron Accessories</v>
          </cell>
          <cell r="C720" t="str">
            <v>Victron</v>
          </cell>
          <cell r="D720" t="str">
            <v>Clamp connector (with 30A ATO fuse)</v>
          </cell>
          <cell r="E720" t="str">
            <v>BPC900400004</v>
          </cell>
          <cell r="F720" t="str">
            <v>MPN (Part #)</v>
          </cell>
          <cell r="G720">
            <v>0</v>
          </cell>
          <cell r="H720">
            <v>0</v>
          </cell>
          <cell r="I720">
            <v>0</v>
          </cell>
          <cell r="J720">
            <v>0.5</v>
          </cell>
          <cell r="K720">
            <v>10</v>
          </cell>
          <cell r="L720">
            <v>5</v>
          </cell>
          <cell r="M720">
            <v>3</v>
          </cell>
          <cell r="N720" t="str">
            <v>1-Victron</v>
          </cell>
        </row>
        <row r="721">
          <cell r="A721" t="str">
            <v>B0721</v>
          </cell>
          <cell r="B721" t="str">
            <v>Victron Accessories</v>
          </cell>
          <cell r="C721" t="str">
            <v>Victron</v>
          </cell>
          <cell r="D721" t="str">
            <v>Battery Indicator Panel (M8 eyelet connector / 30A ATO fuse)</v>
          </cell>
          <cell r="E721" t="str">
            <v>BPC900110114</v>
          </cell>
          <cell r="F721" t="str">
            <v>MPN (Part #)</v>
          </cell>
          <cell r="G721">
            <v>0</v>
          </cell>
          <cell r="H721">
            <v>0</v>
          </cell>
          <cell r="I721">
            <v>0</v>
          </cell>
          <cell r="J721">
            <v>0.5</v>
          </cell>
          <cell r="K721">
            <v>10</v>
          </cell>
          <cell r="L721">
            <v>5</v>
          </cell>
          <cell r="M721">
            <v>3</v>
          </cell>
          <cell r="N721" t="str">
            <v>1-Victron</v>
          </cell>
        </row>
        <row r="722">
          <cell r="A722" t="str">
            <v>B0722</v>
          </cell>
          <cell r="B722" t="str">
            <v>Victron Accessories</v>
          </cell>
          <cell r="C722" t="str">
            <v>Victron</v>
          </cell>
          <cell r="D722" t="str">
            <v>Battery Indicator Eyelet (M8 eyelet / 30A ATO fuse)</v>
          </cell>
          <cell r="E722" t="str">
            <v>BPC900120114</v>
          </cell>
          <cell r="F722" t="str">
            <v>MPN (Part #)</v>
          </cell>
          <cell r="G722">
            <v>0</v>
          </cell>
          <cell r="H722">
            <v>0</v>
          </cell>
          <cell r="I722">
            <v>0</v>
          </cell>
          <cell r="J722">
            <v>0.5</v>
          </cell>
          <cell r="K722">
            <v>10</v>
          </cell>
          <cell r="L722">
            <v>5</v>
          </cell>
          <cell r="M722">
            <v>3</v>
          </cell>
          <cell r="N722" t="str">
            <v>1-Victron</v>
          </cell>
        </row>
        <row r="723">
          <cell r="A723" t="str">
            <v>B0723</v>
          </cell>
          <cell r="B723" t="str">
            <v>Victron Accessories</v>
          </cell>
          <cell r="C723" t="str">
            <v>Victron</v>
          </cell>
          <cell r="D723" t="str">
            <v>Rubber bumper for IP65 charger 12/10, 12/15, 24/8</v>
          </cell>
          <cell r="E723" t="str">
            <v>BPC920100100</v>
          </cell>
          <cell r="F723" t="str">
            <v>MPN (Part #)</v>
          </cell>
          <cell r="G723">
            <v>0</v>
          </cell>
          <cell r="H723">
            <v>0</v>
          </cell>
          <cell r="I723">
            <v>0</v>
          </cell>
          <cell r="J723">
            <v>0.5</v>
          </cell>
          <cell r="K723">
            <v>10</v>
          </cell>
          <cell r="L723">
            <v>5</v>
          </cell>
          <cell r="M723">
            <v>3</v>
          </cell>
          <cell r="N723" t="str">
            <v>1-Victron</v>
          </cell>
        </row>
        <row r="724">
          <cell r="A724" t="str">
            <v>B0724</v>
          </cell>
          <cell r="B724" t="str">
            <v>Victron Accessories</v>
          </cell>
          <cell r="C724" t="str">
            <v>Victron</v>
          </cell>
          <cell r="D724" t="str">
            <v>Wall Mount for IP65 Charger 12/10, 12/15, 24/8</v>
          </cell>
          <cell r="E724" t="str">
            <v>BPC920100200</v>
          </cell>
          <cell r="F724" t="str">
            <v>MPN (Part #)</v>
          </cell>
          <cell r="G724">
            <v>0</v>
          </cell>
          <cell r="H724">
            <v>0</v>
          </cell>
          <cell r="I724">
            <v>0</v>
          </cell>
          <cell r="J724">
            <v>0.5</v>
          </cell>
          <cell r="K724">
            <v>10</v>
          </cell>
          <cell r="L724">
            <v>5</v>
          </cell>
          <cell r="M724">
            <v>3</v>
          </cell>
          <cell r="N724" t="str">
            <v>1-Victron</v>
          </cell>
        </row>
        <row r="725">
          <cell r="A725" t="str">
            <v>B0725</v>
          </cell>
          <cell r="B725" t="str">
            <v>Chargers</v>
          </cell>
          <cell r="C725" t="str">
            <v>Victron</v>
          </cell>
          <cell r="D725" t="str">
            <v>Blue Smart IP22 Charger 12/30 (1)</v>
          </cell>
          <cell r="E725" t="str">
            <v>BPC123042011</v>
          </cell>
          <cell r="F725" t="str">
            <v>MPN (Part #)</v>
          </cell>
          <cell r="G725">
            <v>0</v>
          </cell>
          <cell r="H725">
            <v>0</v>
          </cell>
          <cell r="I725">
            <v>0</v>
          </cell>
          <cell r="N725" t="str">
            <v>1-Victron</v>
          </cell>
        </row>
        <row r="726">
          <cell r="A726" t="str">
            <v>B0725</v>
          </cell>
          <cell r="B726" t="str">
            <v>Victron Accessories</v>
          </cell>
          <cell r="C726" t="str">
            <v>Victron</v>
          </cell>
          <cell r="D726" t="str">
            <v>Carry case for Blue Smart IP65 chargers and accessories</v>
          </cell>
          <cell r="E726" t="str">
            <v>BPC940100100</v>
          </cell>
          <cell r="F726" t="str">
            <v>MPN (Part #)</v>
          </cell>
          <cell r="G726">
            <v>0</v>
          </cell>
          <cell r="H726">
            <v>0</v>
          </cell>
          <cell r="I726">
            <v>0</v>
          </cell>
          <cell r="N726" t="str">
            <v>1-Victron</v>
          </cell>
        </row>
        <row r="727">
          <cell r="A727" t="str">
            <v>B0726</v>
          </cell>
          <cell r="B727" t="str">
            <v>Chargers</v>
          </cell>
          <cell r="C727" t="str">
            <v>Victron</v>
          </cell>
          <cell r="D727" t="str">
            <v>Blue Smart IP22 Charger 12/30 (1)</v>
          </cell>
          <cell r="E727" t="str">
            <v>BPC123042012</v>
          </cell>
          <cell r="F727" t="str">
            <v>MPN (Part #)</v>
          </cell>
          <cell r="G727">
            <v>0</v>
          </cell>
          <cell r="H727">
            <v>0</v>
          </cell>
          <cell r="I727">
            <v>0</v>
          </cell>
          <cell r="K727">
            <v>23.5</v>
          </cell>
          <cell r="L727">
            <v>10.8</v>
          </cell>
          <cell r="M727">
            <v>6.5</v>
          </cell>
          <cell r="N727" t="str">
            <v>1-Victron</v>
          </cell>
        </row>
        <row r="728">
          <cell r="A728" t="str">
            <v>B0727</v>
          </cell>
          <cell r="B728" t="str">
            <v>Chargers</v>
          </cell>
          <cell r="C728" t="str">
            <v>Victron</v>
          </cell>
          <cell r="D728" t="str">
            <v>Blue Smart IP22 Charger 12/30 (3)</v>
          </cell>
          <cell r="E728" t="str">
            <v>BPC123044012</v>
          </cell>
          <cell r="F728" t="str">
            <v>MPN (Part #)</v>
          </cell>
          <cell r="G728">
            <v>0</v>
          </cell>
          <cell r="H728">
            <v>0</v>
          </cell>
          <cell r="I728">
            <v>0</v>
          </cell>
          <cell r="K728">
            <v>23.5</v>
          </cell>
          <cell r="L728">
            <v>10.8</v>
          </cell>
          <cell r="M728">
            <v>6.5</v>
          </cell>
          <cell r="N728" t="str">
            <v>1-Victron</v>
          </cell>
        </row>
        <row r="729">
          <cell r="A729" t="str">
            <v>B0728</v>
          </cell>
          <cell r="B729" t="str">
            <v>Chargers</v>
          </cell>
          <cell r="C729" t="str">
            <v>Victron</v>
          </cell>
          <cell r="D729" t="str">
            <v>Blue Smart IP22 Charger 24/16 (1)</v>
          </cell>
          <cell r="E729" t="str">
            <v>BPC241642012</v>
          </cell>
          <cell r="F729" t="str">
            <v>MPN (Part #)</v>
          </cell>
          <cell r="G729">
            <v>0</v>
          </cell>
          <cell r="H729">
            <v>0</v>
          </cell>
          <cell r="I729">
            <v>0</v>
          </cell>
          <cell r="K729">
            <v>23.5</v>
          </cell>
          <cell r="L729">
            <v>10.8</v>
          </cell>
          <cell r="M729">
            <v>6.5</v>
          </cell>
          <cell r="N729" t="str">
            <v>1-Victron</v>
          </cell>
        </row>
        <row r="730">
          <cell r="A730" t="str">
            <v>B0729</v>
          </cell>
          <cell r="B730" t="str">
            <v>Chargers</v>
          </cell>
          <cell r="C730" t="str">
            <v>Victron</v>
          </cell>
          <cell r="D730" t="str">
            <v>Blue Smart IP22 Charger 24/16 (3)</v>
          </cell>
          <cell r="E730" t="str">
            <v>BPC241644012</v>
          </cell>
          <cell r="F730" t="str">
            <v>MPN (Part #)</v>
          </cell>
          <cell r="G730">
            <v>0</v>
          </cell>
          <cell r="H730">
            <v>0</v>
          </cell>
          <cell r="I730">
            <v>0</v>
          </cell>
          <cell r="J730">
            <v>1.4</v>
          </cell>
          <cell r="K730">
            <v>23.5</v>
          </cell>
          <cell r="L730">
            <v>10.8</v>
          </cell>
          <cell r="M730">
            <v>6.5</v>
          </cell>
          <cell r="N730" t="str">
            <v>1-Victron</v>
          </cell>
        </row>
        <row r="731">
          <cell r="A731" t="str">
            <v>B0730</v>
          </cell>
          <cell r="B731" t="str">
            <v>Chargers</v>
          </cell>
          <cell r="C731" t="str">
            <v>Victron</v>
          </cell>
          <cell r="D731" t="str">
            <v>Blue Smart IP67 Charger 12/7 (1)</v>
          </cell>
          <cell r="E731" t="str">
            <v>BPC120713016</v>
          </cell>
          <cell r="F731" t="str">
            <v>MPN (Part #)</v>
          </cell>
          <cell r="G731">
            <v>0</v>
          </cell>
          <cell r="H731">
            <v>0</v>
          </cell>
          <cell r="I731">
            <v>0</v>
          </cell>
          <cell r="J731">
            <v>1.8</v>
          </cell>
          <cell r="K731">
            <v>8.5</v>
          </cell>
          <cell r="L731">
            <v>21.1</v>
          </cell>
          <cell r="M731">
            <v>6</v>
          </cell>
          <cell r="N731" t="str">
            <v>1-Victron</v>
          </cell>
        </row>
        <row r="732">
          <cell r="A732" t="str">
            <v>B0731</v>
          </cell>
          <cell r="B732" t="str">
            <v>Chargers</v>
          </cell>
          <cell r="C732" t="str">
            <v>Victron</v>
          </cell>
          <cell r="D732" t="str">
            <v>Blue Smart IP67 Charger 12/17 (1)</v>
          </cell>
          <cell r="E732" t="str">
            <v>BPC121713016</v>
          </cell>
          <cell r="F732" t="str">
            <v>MPN (Part #)</v>
          </cell>
          <cell r="G732">
            <v>0</v>
          </cell>
          <cell r="H732">
            <v>0</v>
          </cell>
          <cell r="I732">
            <v>0</v>
          </cell>
          <cell r="J732">
            <v>2.4</v>
          </cell>
          <cell r="K732">
            <v>9.9</v>
          </cell>
          <cell r="L732">
            <v>21.9</v>
          </cell>
          <cell r="M732">
            <v>6.5</v>
          </cell>
          <cell r="N732" t="str">
            <v>1-Victron</v>
          </cell>
        </row>
        <row r="733">
          <cell r="A733" t="str">
            <v>B0732</v>
          </cell>
          <cell r="B733" t="str">
            <v>Chargers</v>
          </cell>
          <cell r="C733" t="str">
            <v>Victron</v>
          </cell>
          <cell r="D733" t="str">
            <v>Blue Smart IP67 Charger 12/25 (1)</v>
          </cell>
          <cell r="E733" t="str">
            <v>BPC122513016</v>
          </cell>
          <cell r="F733" t="str">
            <v>MPN (Part #)</v>
          </cell>
          <cell r="G733">
            <v>0</v>
          </cell>
          <cell r="H733">
            <v>0</v>
          </cell>
          <cell r="I733">
            <v>0</v>
          </cell>
          <cell r="J733">
            <v>2.4</v>
          </cell>
          <cell r="K733">
            <v>9.9</v>
          </cell>
          <cell r="L733">
            <v>21.9</v>
          </cell>
          <cell r="M733">
            <v>6.5</v>
          </cell>
          <cell r="N733" t="str">
            <v>1-Victron</v>
          </cell>
        </row>
        <row r="734">
          <cell r="A734" t="str">
            <v>B0733</v>
          </cell>
          <cell r="B734" t="str">
            <v>Chargers</v>
          </cell>
          <cell r="C734" t="str">
            <v>Victron</v>
          </cell>
          <cell r="D734" t="str">
            <v>Blue Smart IP67 Charger 24/12 (1)</v>
          </cell>
          <cell r="E734" t="str">
            <v>BPC241213016</v>
          </cell>
          <cell r="F734" t="str">
            <v>MPN (Part #)</v>
          </cell>
          <cell r="G734">
            <v>0</v>
          </cell>
          <cell r="H734">
            <v>0</v>
          </cell>
          <cell r="I734">
            <v>0</v>
          </cell>
          <cell r="J734">
            <v>2.4</v>
          </cell>
          <cell r="K734">
            <v>9.9</v>
          </cell>
          <cell r="L734">
            <v>21.9</v>
          </cell>
          <cell r="M734">
            <v>6.5</v>
          </cell>
          <cell r="N734" t="str">
            <v>1-Victron</v>
          </cell>
        </row>
        <row r="735">
          <cell r="A735" t="str">
            <v>B0734</v>
          </cell>
          <cell r="B735" t="str">
            <v>Chargers</v>
          </cell>
          <cell r="C735" t="str">
            <v>Victron</v>
          </cell>
          <cell r="D735" t="str">
            <v>Phoenix Smart IP43 Charger 12/30 (1+1)</v>
          </cell>
          <cell r="E735" t="str">
            <v>PSC123051085</v>
          </cell>
          <cell r="F735" t="str">
            <v>MPN (Part #)</v>
          </cell>
          <cell r="G735">
            <v>601.9</v>
          </cell>
          <cell r="H735">
            <v>547.20000000000005</v>
          </cell>
          <cell r="I735">
            <v>0</v>
          </cell>
          <cell r="J735">
            <v>3.5</v>
          </cell>
          <cell r="K735">
            <v>18</v>
          </cell>
          <cell r="L735">
            <v>24.9</v>
          </cell>
          <cell r="M735">
            <v>10</v>
          </cell>
          <cell r="N735" t="str">
            <v>1-Victron</v>
          </cell>
        </row>
        <row r="736">
          <cell r="A736" t="str">
            <v>B0735</v>
          </cell>
          <cell r="B736" t="str">
            <v>Chargers</v>
          </cell>
          <cell r="C736" t="str">
            <v>Victron</v>
          </cell>
          <cell r="D736" t="str">
            <v>Phoenix Smart IP43 Charger 12/30 (3)</v>
          </cell>
          <cell r="E736" t="str">
            <v>PSC123053085</v>
          </cell>
          <cell r="F736" t="str">
            <v>MPN (Part #)</v>
          </cell>
          <cell r="G736">
            <v>647.45000000000005</v>
          </cell>
          <cell r="H736">
            <v>588.6</v>
          </cell>
          <cell r="I736">
            <v>0</v>
          </cell>
          <cell r="J736">
            <v>3.5</v>
          </cell>
          <cell r="K736">
            <v>18</v>
          </cell>
          <cell r="L736">
            <v>24.9</v>
          </cell>
          <cell r="M736">
            <v>10</v>
          </cell>
          <cell r="N736" t="str">
            <v>1-Victron</v>
          </cell>
        </row>
        <row r="737">
          <cell r="A737" t="str">
            <v>B0736</v>
          </cell>
          <cell r="B737" t="str">
            <v>Chargers</v>
          </cell>
          <cell r="C737" t="str">
            <v>Victron</v>
          </cell>
          <cell r="D737" t="str">
            <v>Phoenix Smart IP43 Charger 12/50 (1+1)</v>
          </cell>
          <cell r="E737" t="str">
            <v>PSC125051085</v>
          </cell>
          <cell r="F737" t="str">
            <v>MPN (Part #)</v>
          </cell>
          <cell r="G737">
            <v>768.25</v>
          </cell>
          <cell r="H737">
            <v>698.40000000000009</v>
          </cell>
          <cell r="I737">
            <v>0</v>
          </cell>
          <cell r="J737">
            <v>3.5</v>
          </cell>
          <cell r="K737">
            <v>18</v>
          </cell>
          <cell r="L737">
            <v>24.9</v>
          </cell>
          <cell r="M737">
            <v>10</v>
          </cell>
          <cell r="N737" t="str">
            <v>1-Victron</v>
          </cell>
        </row>
        <row r="738">
          <cell r="A738" t="str">
            <v>B0737</v>
          </cell>
          <cell r="B738" t="str">
            <v>Chargers</v>
          </cell>
          <cell r="C738" t="str">
            <v>Victron</v>
          </cell>
          <cell r="D738" t="str">
            <v>Phoenix Smart IP43 Charger 12/50 (3)</v>
          </cell>
          <cell r="E738" t="str">
            <v>PSC125053085</v>
          </cell>
          <cell r="F738" t="str">
            <v>MPN (Part #)</v>
          </cell>
          <cell r="G738">
            <v>811.80000000000007</v>
          </cell>
          <cell r="H738">
            <v>738</v>
          </cell>
          <cell r="I738">
            <v>0</v>
          </cell>
          <cell r="J738">
            <v>3.5</v>
          </cell>
          <cell r="K738">
            <v>18</v>
          </cell>
          <cell r="L738">
            <v>24.9</v>
          </cell>
          <cell r="M738">
            <v>10</v>
          </cell>
          <cell r="N738" t="str">
            <v>1-Victron</v>
          </cell>
        </row>
        <row r="739">
          <cell r="A739" t="str">
            <v>B0738</v>
          </cell>
          <cell r="B739" t="str">
            <v>Chargers</v>
          </cell>
          <cell r="C739" t="str">
            <v>Victron</v>
          </cell>
          <cell r="D739" t="str">
            <v>Phoenix Smart IP43 Charger 24/16 (1+1)</v>
          </cell>
          <cell r="E739" t="str">
            <v>PSC241651085</v>
          </cell>
          <cell r="F739" t="str">
            <v>MPN (Part #)</v>
          </cell>
          <cell r="G739">
            <v>601.9</v>
          </cell>
          <cell r="H739">
            <v>547.20000000000005</v>
          </cell>
          <cell r="I739">
            <v>0</v>
          </cell>
          <cell r="J739">
            <v>3.5</v>
          </cell>
          <cell r="K739">
            <v>18</v>
          </cell>
          <cell r="L739">
            <v>24.9</v>
          </cell>
          <cell r="M739">
            <v>10</v>
          </cell>
          <cell r="N739" t="str">
            <v>1-Victron</v>
          </cell>
        </row>
        <row r="740">
          <cell r="A740" t="str">
            <v>B0739</v>
          </cell>
          <cell r="B740" t="str">
            <v>Chargers</v>
          </cell>
          <cell r="C740" t="str">
            <v>Victron</v>
          </cell>
          <cell r="D740" t="str">
            <v>Phoenix Smart IP43 Charger 24/16 (3)</v>
          </cell>
          <cell r="E740" t="str">
            <v>PSC241653085</v>
          </cell>
          <cell r="F740" t="str">
            <v>MPN (Part #)</v>
          </cell>
          <cell r="G740">
            <v>647.45000000000005</v>
          </cell>
          <cell r="H740">
            <v>588.6</v>
          </cell>
          <cell r="I740">
            <v>0</v>
          </cell>
          <cell r="J740">
            <v>3.5</v>
          </cell>
          <cell r="K740">
            <v>18</v>
          </cell>
          <cell r="L740">
            <v>24.9</v>
          </cell>
          <cell r="M740">
            <v>10</v>
          </cell>
          <cell r="N740" t="str">
            <v>1-Victron</v>
          </cell>
        </row>
        <row r="741">
          <cell r="A741" t="str">
            <v>B0740</v>
          </cell>
          <cell r="B741" t="str">
            <v>Chargers</v>
          </cell>
          <cell r="C741" t="str">
            <v>Victron</v>
          </cell>
          <cell r="D741" t="str">
            <v>Phoenix Smart IP43 Charger 24/25 (1+1)</v>
          </cell>
          <cell r="E741" t="str">
            <v>PSC242551085</v>
          </cell>
          <cell r="F741" t="str">
            <v>MPN (Part #)</v>
          </cell>
          <cell r="G741">
            <v>768.25</v>
          </cell>
          <cell r="H741">
            <v>698.40000000000009</v>
          </cell>
          <cell r="I741">
            <v>0</v>
          </cell>
          <cell r="J741">
            <v>3.5</v>
          </cell>
          <cell r="K741">
            <v>18</v>
          </cell>
          <cell r="L741">
            <v>24.9</v>
          </cell>
          <cell r="M741">
            <v>10</v>
          </cell>
          <cell r="N741" t="str">
            <v>1-Victron</v>
          </cell>
        </row>
        <row r="742">
          <cell r="A742" t="str">
            <v>B0741</v>
          </cell>
          <cell r="B742" t="str">
            <v>Chargers</v>
          </cell>
          <cell r="C742" t="str">
            <v>Victron</v>
          </cell>
          <cell r="D742" t="str">
            <v>Phoenix Smart IP43 Charger 24/25 (3)</v>
          </cell>
          <cell r="E742" t="str">
            <v>PSC242553085</v>
          </cell>
          <cell r="F742" t="str">
            <v>MPN (Part #)</v>
          </cell>
          <cell r="G742">
            <v>811.80000000000007</v>
          </cell>
          <cell r="H742">
            <v>738</v>
          </cell>
          <cell r="I742">
            <v>0</v>
          </cell>
          <cell r="J742">
            <v>3.5</v>
          </cell>
          <cell r="K742">
            <v>18</v>
          </cell>
          <cell r="L742">
            <v>24.9</v>
          </cell>
          <cell r="M742">
            <v>10</v>
          </cell>
          <cell r="N742" t="str">
            <v>1-Victron</v>
          </cell>
        </row>
        <row r="743">
          <cell r="A743" t="str">
            <v>B0742</v>
          </cell>
          <cell r="B743" t="str">
            <v>Victron Accessories</v>
          </cell>
          <cell r="C743" t="str">
            <v>Victron</v>
          </cell>
          <cell r="D743" t="str">
            <v>Mains Cord AU/NZ for Smart IP43 2m</v>
          </cell>
          <cell r="E743" t="str">
            <v>ADA010100300</v>
          </cell>
          <cell r="F743" t="str">
            <v>MPN (Part #)</v>
          </cell>
          <cell r="G743">
            <v>14.850000000000001</v>
          </cell>
          <cell r="H743">
            <v>13.5</v>
          </cell>
          <cell r="I743">
            <v>0</v>
          </cell>
          <cell r="N743" t="str">
            <v>1-Victron</v>
          </cell>
        </row>
        <row r="744">
          <cell r="A744" t="str">
            <v>B0743</v>
          </cell>
          <cell r="B744" t="str">
            <v>Transformers</v>
          </cell>
          <cell r="C744" t="str">
            <v>Victron</v>
          </cell>
          <cell r="D744" t="str">
            <v>Isolation Trans. 2000W 115/230V</v>
          </cell>
          <cell r="E744" t="str">
            <v>ITR040202041</v>
          </cell>
          <cell r="F744" t="str">
            <v>MPN (Part #)</v>
          </cell>
          <cell r="G744">
            <v>675.2</v>
          </cell>
          <cell r="H744">
            <v>613.80000000000007</v>
          </cell>
          <cell r="I744">
            <v>0</v>
          </cell>
          <cell r="J744">
            <v>10</v>
          </cell>
          <cell r="K744">
            <v>37.5</v>
          </cell>
          <cell r="L744">
            <v>21.4</v>
          </cell>
          <cell r="M744">
            <v>11</v>
          </cell>
          <cell r="N744" t="str">
            <v>1-Victron</v>
          </cell>
        </row>
        <row r="745">
          <cell r="A745" t="str">
            <v>B0744</v>
          </cell>
          <cell r="B745" t="str">
            <v>Transformers</v>
          </cell>
          <cell r="C745" t="str">
            <v>Victron</v>
          </cell>
          <cell r="D745" t="str">
            <v>Isolation Trans. 3600W 115/230V</v>
          </cell>
          <cell r="E745" t="str">
            <v>ITR040362041</v>
          </cell>
          <cell r="F745" t="str">
            <v>MPN (Part #)</v>
          </cell>
          <cell r="G745">
            <v>1013.75</v>
          </cell>
          <cell r="H745">
            <v>921.6</v>
          </cell>
          <cell r="I745">
            <v>0</v>
          </cell>
          <cell r="J745">
            <v>23</v>
          </cell>
          <cell r="K745">
            <v>36.200000000000003</v>
          </cell>
          <cell r="L745">
            <v>25.8</v>
          </cell>
          <cell r="M745">
            <v>21.8</v>
          </cell>
          <cell r="N745" t="str">
            <v>1-Victron</v>
          </cell>
        </row>
        <row r="746">
          <cell r="A746" t="str">
            <v>B0745</v>
          </cell>
          <cell r="B746" t="str">
            <v>Transformers</v>
          </cell>
          <cell r="C746" t="str">
            <v>Victron</v>
          </cell>
          <cell r="D746" t="str">
            <v>Isolation Trans. 7000W 230V</v>
          </cell>
          <cell r="E746" t="str">
            <v>ITR000702001</v>
          </cell>
          <cell r="F746" t="str">
            <v>MPN (Part #)</v>
          </cell>
          <cell r="G746">
            <v>1817.65</v>
          </cell>
          <cell r="H746">
            <v>1652.4</v>
          </cell>
          <cell r="I746">
            <v>0</v>
          </cell>
          <cell r="J746">
            <v>26</v>
          </cell>
          <cell r="K746">
            <v>36.200000000000003</v>
          </cell>
          <cell r="L746">
            <v>25.8</v>
          </cell>
          <cell r="M746">
            <v>21.8</v>
          </cell>
          <cell r="N746" t="str">
            <v>1-Victron</v>
          </cell>
        </row>
        <row r="747">
          <cell r="A747" t="str">
            <v>B0746</v>
          </cell>
          <cell r="B747" t="str">
            <v>Transformers</v>
          </cell>
          <cell r="C747" t="str">
            <v>Victron</v>
          </cell>
          <cell r="D747" t="str">
            <v>Isolation Trans. 3600W  Auto 115/230V</v>
          </cell>
          <cell r="E747" t="str">
            <v>ITR050362041</v>
          </cell>
          <cell r="F747" t="str">
            <v>MPN (Part #)</v>
          </cell>
          <cell r="G747">
            <v>0</v>
          </cell>
          <cell r="H747">
            <v>0</v>
          </cell>
          <cell r="I747">
            <v>0</v>
          </cell>
          <cell r="J747">
            <v>23</v>
          </cell>
          <cell r="K747">
            <v>36.200000000000003</v>
          </cell>
          <cell r="L747">
            <v>25.8</v>
          </cell>
          <cell r="M747">
            <v>21.8</v>
          </cell>
          <cell r="N747" t="str">
            <v>1-Victron</v>
          </cell>
        </row>
        <row r="748">
          <cell r="A748" t="str">
            <v>B0747</v>
          </cell>
          <cell r="B748" t="str">
            <v>Transformers</v>
          </cell>
          <cell r="C748" t="str">
            <v>Victron</v>
          </cell>
          <cell r="D748" t="str">
            <v>Autotransformer 120/240VAC-32A</v>
          </cell>
          <cell r="E748" t="str">
            <v>ITR000100001</v>
          </cell>
          <cell r="F748" t="str">
            <v>MPN (Part #)</v>
          </cell>
          <cell r="G748">
            <v>0</v>
          </cell>
          <cell r="H748">
            <v>0</v>
          </cell>
          <cell r="I748">
            <v>0</v>
          </cell>
          <cell r="J748">
            <v>10</v>
          </cell>
          <cell r="K748">
            <v>37.5</v>
          </cell>
          <cell r="L748">
            <v>21.4</v>
          </cell>
          <cell r="M748">
            <v>11</v>
          </cell>
          <cell r="N748" t="str">
            <v>1-Victron</v>
          </cell>
        </row>
        <row r="749">
          <cell r="A749" t="str">
            <v>B0748</v>
          </cell>
          <cell r="B749" t="str">
            <v>Transformers</v>
          </cell>
          <cell r="C749" t="str">
            <v>Victron</v>
          </cell>
          <cell r="D749" t="str">
            <v>Autotransformer 120/240VAC-100A</v>
          </cell>
          <cell r="E749" t="str">
            <v>ITR000100101</v>
          </cell>
          <cell r="F749" t="str">
            <v>MPN (Part #)</v>
          </cell>
          <cell r="G749">
            <v>0</v>
          </cell>
          <cell r="H749">
            <v>0</v>
          </cell>
          <cell r="I749">
            <v>0</v>
          </cell>
          <cell r="J749">
            <v>13.5</v>
          </cell>
          <cell r="K749">
            <v>42.5</v>
          </cell>
          <cell r="L749">
            <v>21.4</v>
          </cell>
          <cell r="M749">
            <v>11</v>
          </cell>
          <cell r="N749" t="str">
            <v>1-Victron</v>
          </cell>
        </row>
        <row r="750">
          <cell r="A750" t="str">
            <v>B0749</v>
          </cell>
          <cell r="B750" t="str">
            <v>Victron Accessories</v>
          </cell>
          <cell r="C750" t="str">
            <v>Victron</v>
          </cell>
          <cell r="D750" t="str">
            <v>Galvanic Isolator VDI-16 A</v>
          </cell>
          <cell r="E750" t="str">
            <v>GDI000016000</v>
          </cell>
          <cell r="F750" t="str">
            <v>MPN (Part #)</v>
          </cell>
          <cell r="G750">
            <v>195.05</v>
          </cell>
          <cell r="H750">
            <v>177.3</v>
          </cell>
          <cell r="I750">
            <v>0</v>
          </cell>
          <cell r="J750">
            <v>1</v>
          </cell>
          <cell r="K750">
            <v>6</v>
          </cell>
          <cell r="L750">
            <v>12</v>
          </cell>
          <cell r="M750">
            <v>20</v>
          </cell>
          <cell r="N750" t="str">
            <v>1-Victron</v>
          </cell>
        </row>
        <row r="751">
          <cell r="A751" t="str">
            <v>B0750</v>
          </cell>
          <cell r="B751" t="str">
            <v>Victron Accessories</v>
          </cell>
          <cell r="C751" t="str">
            <v>Victron</v>
          </cell>
          <cell r="D751" t="str">
            <v>Galvanic Isolator VDI-32 A</v>
          </cell>
          <cell r="E751" t="str">
            <v>GDI000032000</v>
          </cell>
          <cell r="F751" t="str">
            <v>MPN (Part #)</v>
          </cell>
          <cell r="G751">
            <v>444.5</v>
          </cell>
          <cell r="H751">
            <v>404.1</v>
          </cell>
          <cell r="I751">
            <v>0</v>
          </cell>
          <cell r="J751">
            <v>2</v>
          </cell>
          <cell r="K751">
            <v>6.3</v>
          </cell>
          <cell r="L751">
            <v>16.399999999999999</v>
          </cell>
          <cell r="M751">
            <v>23.5</v>
          </cell>
          <cell r="N751" t="str">
            <v>1-Victron</v>
          </cell>
        </row>
        <row r="752">
          <cell r="A752" t="str">
            <v>B0751</v>
          </cell>
          <cell r="B752" t="str">
            <v>Victron Accessories</v>
          </cell>
          <cell r="C752" t="str">
            <v>Victron</v>
          </cell>
          <cell r="D752" t="str">
            <v>Galvanic Isolator VDI-64 A</v>
          </cell>
          <cell r="E752" t="str">
            <v>GDI000064000</v>
          </cell>
          <cell r="F752" t="str">
            <v>MPN (Part #)</v>
          </cell>
          <cell r="G752">
            <v>544.5</v>
          </cell>
          <cell r="H752">
            <v>495</v>
          </cell>
          <cell r="I752">
            <v>0</v>
          </cell>
          <cell r="J752">
            <v>2</v>
          </cell>
          <cell r="K752">
            <v>6.4</v>
          </cell>
          <cell r="L752">
            <v>16.399999999999999</v>
          </cell>
          <cell r="M752">
            <v>22.4</v>
          </cell>
          <cell r="N752" t="str">
            <v>1-Victron</v>
          </cell>
        </row>
        <row r="753">
          <cell r="A753" t="str">
            <v>B0752</v>
          </cell>
          <cell r="B753" t="str">
            <v>Inverter-Chargers</v>
          </cell>
          <cell r="C753" t="str">
            <v>Victron</v>
          </cell>
          <cell r="D753" t="str">
            <v>MultiPlus-II 48/8000/110-100/100</v>
          </cell>
          <cell r="E753" t="str">
            <v>PMP482805000</v>
          </cell>
          <cell r="F753" t="str">
            <v>MPN (Part #)</v>
          </cell>
          <cell r="G753">
            <v>4379.75</v>
          </cell>
          <cell r="H753">
            <v>3981.6000000000004</v>
          </cell>
          <cell r="I753">
            <v>0</v>
          </cell>
          <cell r="J753">
            <v>42</v>
          </cell>
          <cell r="K753">
            <v>64</v>
          </cell>
          <cell r="L753">
            <v>36</v>
          </cell>
          <cell r="M753">
            <v>21</v>
          </cell>
          <cell r="N753" t="str">
            <v>1-Victron</v>
          </cell>
        </row>
        <row r="754">
          <cell r="A754" t="str">
            <v>B0753</v>
          </cell>
          <cell r="B754" t="str">
            <v>Inverter-Chargers</v>
          </cell>
          <cell r="C754" t="str">
            <v>Victron</v>
          </cell>
          <cell r="D754" t="str">
            <v>MultiPlus-II 48/10000/140-100/100</v>
          </cell>
          <cell r="E754" t="str">
            <v>PMP483105000</v>
          </cell>
          <cell r="F754" t="str">
            <v>MPN (Part #)</v>
          </cell>
          <cell r="G754">
            <v>5240.05</v>
          </cell>
          <cell r="H754">
            <v>4763.7</v>
          </cell>
          <cell r="I754">
            <v>0</v>
          </cell>
          <cell r="J754">
            <v>49</v>
          </cell>
          <cell r="K754">
            <v>68</v>
          </cell>
          <cell r="L754">
            <v>36</v>
          </cell>
          <cell r="M754">
            <v>21</v>
          </cell>
          <cell r="N754" t="str">
            <v>1-Victron</v>
          </cell>
        </row>
        <row r="755">
          <cell r="A755" t="str">
            <v>B0754</v>
          </cell>
          <cell r="B755" t="str">
            <v>Chargers</v>
          </cell>
          <cell r="C755" t="str">
            <v>Victron</v>
          </cell>
          <cell r="D755" t="str">
            <v>MultiPlus-II 24/5000/120-50</v>
          </cell>
          <cell r="E755" t="str">
            <v>PMP242505010</v>
          </cell>
          <cell r="F755" t="str">
            <v>MPN (Part #)</v>
          </cell>
          <cell r="G755">
            <v>3473.9</v>
          </cell>
          <cell r="H755">
            <v>3158.1000000000004</v>
          </cell>
          <cell r="I755">
            <v>0</v>
          </cell>
          <cell r="K755">
            <v>13</v>
          </cell>
          <cell r="L755">
            <v>18.600000000000001</v>
          </cell>
          <cell r="M755">
            <v>7</v>
          </cell>
          <cell r="N755" t="str">
            <v>1-Victron</v>
          </cell>
        </row>
        <row r="756">
          <cell r="A756" t="str">
            <v>B0755</v>
          </cell>
          <cell r="B756" t="str">
            <v>Chargers</v>
          </cell>
          <cell r="C756" t="str">
            <v>Victron</v>
          </cell>
          <cell r="D756" t="str">
            <v>MultiPlus-II 12/3000/120-32</v>
          </cell>
          <cell r="E756" t="str">
            <v>PMP122305010</v>
          </cell>
          <cell r="F756" t="str">
            <v>MPN (Part #)</v>
          </cell>
          <cell r="G756">
            <v>2181.9500000000003</v>
          </cell>
          <cell r="H756">
            <v>1983.6000000000001</v>
          </cell>
          <cell r="I756">
            <v>0</v>
          </cell>
          <cell r="K756">
            <v>13</v>
          </cell>
          <cell r="L756">
            <v>18.600000000000001</v>
          </cell>
          <cell r="M756">
            <v>8</v>
          </cell>
          <cell r="N756" t="str">
            <v>1-Victron</v>
          </cell>
        </row>
        <row r="757">
          <cell r="A757" t="str">
            <v>B0756</v>
          </cell>
          <cell r="B757" t="str">
            <v>Chargers</v>
          </cell>
          <cell r="C757" t="str">
            <v>Victron</v>
          </cell>
          <cell r="D757" t="str">
            <v>SmartSolar MPPT 250/70-MC4 VE. Can</v>
          </cell>
          <cell r="E757" t="str">
            <v>SCC125070521</v>
          </cell>
          <cell r="F757" t="str">
            <v>MPN (Part #)</v>
          </cell>
          <cell r="G757">
            <v>866.25</v>
          </cell>
          <cell r="H757">
            <v>787.5</v>
          </cell>
          <cell r="I757">
            <v>0</v>
          </cell>
          <cell r="J757">
            <v>3</v>
          </cell>
          <cell r="K757">
            <v>13</v>
          </cell>
          <cell r="L757">
            <v>18.600000000000001</v>
          </cell>
          <cell r="M757">
            <v>7</v>
          </cell>
          <cell r="N757" t="str">
            <v>1-Victron</v>
          </cell>
        </row>
        <row r="758">
          <cell r="A758" t="str">
            <v>B0757</v>
          </cell>
          <cell r="B758" t="str">
            <v>Chargers</v>
          </cell>
          <cell r="C758" t="str">
            <v>Victron</v>
          </cell>
          <cell r="D758" t="str">
            <v>GX LTE 4G-SA (small antenna included)</v>
          </cell>
          <cell r="E758" t="str">
            <v>GSM100300400</v>
          </cell>
          <cell r="F758" t="str">
            <v>MPN (Part #)</v>
          </cell>
          <cell r="G758">
            <v>0</v>
          </cell>
          <cell r="H758">
            <v>0</v>
          </cell>
          <cell r="I758">
            <v>0</v>
          </cell>
          <cell r="K758">
            <v>13</v>
          </cell>
          <cell r="L758">
            <v>18.600000000000001</v>
          </cell>
          <cell r="M758">
            <v>8</v>
          </cell>
          <cell r="N758" t="str">
            <v>1-Victron</v>
          </cell>
        </row>
        <row r="759">
          <cell r="A759" t="str">
            <v>B0758</v>
          </cell>
          <cell r="B759" t="str">
            <v>Chargers</v>
          </cell>
          <cell r="C759" t="str">
            <v>Victron</v>
          </cell>
          <cell r="D759" t="str">
            <v>Orion-Tr Smart 24/24-12A (280W) DC-DC charger (Isolated)</v>
          </cell>
          <cell r="E759" t="str">
            <v>ORI242428120</v>
          </cell>
          <cell r="F759" t="str">
            <v>MPN (Part #)</v>
          </cell>
          <cell r="G759">
            <v>0</v>
          </cell>
          <cell r="H759">
            <v>0</v>
          </cell>
          <cell r="I759">
            <v>0</v>
          </cell>
          <cell r="J759">
            <v>1.3</v>
          </cell>
          <cell r="K759">
            <v>13</v>
          </cell>
          <cell r="L759">
            <v>18.600000000000001</v>
          </cell>
          <cell r="M759">
            <v>7</v>
          </cell>
          <cell r="N759" t="str">
            <v>1-Victron</v>
          </cell>
        </row>
        <row r="760">
          <cell r="A760" t="str">
            <v>B0759</v>
          </cell>
          <cell r="B760" t="str">
            <v>Chargers</v>
          </cell>
          <cell r="C760" t="str">
            <v>Victron</v>
          </cell>
          <cell r="D760" t="str">
            <v>Orion-Tr Smart 24/24-17A (400W) DC-DC charger (Isolated)</v>
          </cell>
          <cell r="E760" t="str">
            <v>ORI242440120</v>
          </cell>
          <cell r="F760" t="str">
            <v>MPN (Part #)</v>
          </cell>
          <cell r="G760">
            <v>0</v>
          </cell>
          <cell r="H760">
            <v>0</v>
          </cell>
          <cell r="I760">
            <v>0</v>
          </cell>
          <cell r="J760">
            <v>1.6</v>
          </cell>
          <cell r="K760">
            <v>13</v>
          </cell>
          <cell r="L760">
            <v>18.600000000000001</v>
          </cell>
          <cell r="M760">
            <v>7</v>
          </cell>
          <cell r="N760" t="str">
            <v>1-Victron</v>
          </cell>
        </row>
        <row r="761">
          <cell r="A761" t="str">
            <v>B0760</v>
          </cell>
          <cell r="B761" t="str">
            <v>Chargers</v>
          </cell>
          <cell r="C761" t="str">
            <v>Victron</v>
          </cell>
          <cell r="D761" t="str">
            <v xml:space="preserve">Orion-Tr 12/12-9A (110W) </v>
          </cell>
          <cell r="E761" t="str">
            <v>ORI121210110R</v>
          </cell>
          <cell r="F761" t="str">
            <v>MPN (Part #)</v>
          </cell>
          <cell r="G761">
            <v>0</v>
          </cell>
          <cell r="H761">
            <v>0</v>
          </cell>
          <cell r="I761">
            <v>0</v>
          </cell>
          <cell r="J761">
            <v>0.6</v>
          </cell>
          <cell r="K761">
            <v>10</v>
          </cell>
          <cell r="L761">
            <v>11.3</v>
          </cell>
          <cell r="M761">
            <v>4.7</v>
          </cell>
          <cell r="N761" t="str">
            <v>1-Victron</v>
          </cell>
        </row>
        <row r="762">
          <cell r="A762" t="str">
            <v>B0761</v>
          </cell>
          <cell r="B762" t="str">
            <v>Chargers</v>
          </cell>
          <cell r="C762" t="str">
            <v>Victron</v>
          </cell>
          <cell r="D762" t="str">
            <v xml:space="preserve">Orion-Tr 12/12-18A (220W) </v>
          </cell>
          <cell r="E762" t="str">
            <v>ORI121222110</v>
          </cell>
          <cell r="F762" t="str">
            <v>MPN (Part #)</v>
          </cell>
          <cell r="G762">
            <v>0</v>
          </cell>
          <cell r="H762">
            <v>0</v>
          </cell>
          <cell r="I762">
            <v>0</v>
          </cell>
          <cell r="J762">
            <v>1.3</v>
          </cell>
          <cell r="K762">
            <v>13</v>
          </cell>
          <cell r="L762">
            <v>18.600000000000001</v>
          </cell>
          <cell r="M762">
            <v>7</v>
          </cell>
          <cell r="N762" t="str">
            <v>1-Victron</v>
          </cell>
        </row>
        <row r="763">
          <cell r="A763" t="str">
            <v>B0762</v>
          </cell>
          <cell r="B763" t="str">
            <v>Chargers</v>
          </cell>
          <cell r="C763" t="str">
            <v>Victron</v>
          </cell>
          <cell r="D763" t="str">
            <v>Orion-Tr 12/12-30A (360W)</v>
          </cell>
          <cell r="E763" t="str">
            <v>ORI121240110</v>
          </cell>
          <cell r="F763" t="str">
            <v>MPN (Part #)</v>
          </cell>
          <cell r="G763">
            <v>0</v>
          </cell>
          <cell r="H763">
            <v>0</v>
          </cell>
          <cell r="I763">
            <v>0</v>
          </cell>
          <cell r="J763">
            <v>1.8</v>
          </cell>
          <cell r="K763">
            <v>13</v>
          </cell>
          <cell r="L763">
            <v>18.600000000000001</v>
          </cell>
          <cell r="M763">
            <v>8</v>
          </cell>
          <cell r="N763" t="str">
            <v>1-Victron</v>
          </cell>
        </row>
        <row r="764">
          <cell r="A764" t="str">
            <v>B0763</v>
          </cell>
          <cell r="B764" t="str">
            <v>Chargers</v>
          </cell>
          <cell r="C764" t="str">
            <v>Victron</v>
          </cell>
          <cell r="D764" t="str">
            <v>Orion-Tr 12/24-5A (120W)</v>
          </cell>
          <cell r="E764" t="str">
            <v>ORI122410110</v>
          </cell>
          <cell r="F764" t="str">
            <v>MPN (Part #)</v>
          </cell>
          <cell r="G764">
            <v>0</v>
          </cell>
          <cell r="H764">
            <v>0</v>
          </cell>
          <cell r="I764">
            <v>0</v>
          </cell>
          <cell r="J764">
            <v>0.6</v>
          </cell>
          <cell r="K764">
            <v>10</v>
          </cell>
          <cell r="L764">
            <v>11.3</v>
          </cell>
          <cell r="M764">
            <v>4.7</v>
          </cell>
          <cell r="N764" t="str">
            <v>1-Victron</v>
          </cell>
        </row>
        <row r="765">
          <cell r="A765" t="str">
            <v>B0764</v>
          </cell>
          <cell r="B765" t="str">
            <v>Chargers</v>
          </cell>
          <cell r="C765" t="str">
            <v>Victron</v>
          </cell>
          <cell r="D765" t="str">
            <v>Orion-Tr 12/24-10 (240W)</v>
          </cell>
          <cell r="E765" t="str">
            <v>ORI122424110</v>
          </cell>
          <cell r="F765" t="str">
            <v>MPN (Part #)</v>
          </cell>
          <cell r="G765">
            <v>0</v>
          </cell>
          <cell r="H765">
            <v>0</v>
          </cell>
          <cell r="I765">
            <v>0</v>
          </cell>
          <cell r="J765">
            <v>1.3</v>
          </cell>
          <cell r="K765">
            <v>13</v>
          </cell>
          <cell r="L765">
            <v>18.600000000000001</v>
          </cell>
          <cell r="M765">
            <v>7</v>
          </cell>
          <cell r="N765" t="str">
            <v>1-Victron</v>
          </cell>
        </row>
        <row r="766">
          <cell r="A766" t="str">
            <v>B0765</v>
          </cell>
          <cell r="B766" t="str">
            <v>Chargers</v>
          </cell>
          <cell r="C766" t="str">
            <v>Victron</v>
          </cell>
          <cell r="D766" t="str">
            <v>Orion-Tr 12/24-15A (360W)</v>
          </cell>
          <cell r="E766" t="str">
            <v>ORI122441110</v>
          </cell>
          <cell r="F766" t="str">
            <v>MPN (Part #)</v>
          </cell>
          <cell r="G766">
            <v>0</v>
          </cell>
          <cell r="H766">
            <v>0</v>
          </cell>
          <cell r="I766">
            <v>0</v>
          </cell>
          <cell r="J766">
            <v>1.4</v>
          </cell>
          <cell r="K766">
            <v>13</v>
          </cell>
          <cell r="L766">
            <v>18.600000000000001</v>
          </cell>
          <cell r="M766">
            <v>8</v>
          </cell>
          <cell r="N766" t="str">
            <v>1-Victron</v>
          </cell>
        </row>
        <row r="767">
          <cell r="A767" t="str">
            <v>B0766</v>
          </cell>
          <cell r="B767" t="str">
            <v>Chargers</v>
          </cell>
          <cell r="C767" t="str">
            <v>Victron</v>
          </cell>
          <cell r="D767" t="str">
            <v>Orion-Tr 24/12-9A (110W)</v>
          </cell>
          <cell r="E767" t="str">
            <v>ORI241210110R</v>
          </cell>
          <cell r="F767" t="str">
            <v>MPN (Part #)</v>
          </cell>
          <cell r="G767">
            <v>0</v>
          </cell>
          <cell r="H767">
            <v>0</v>
          </cell>
          <cell r="I767">
            <v>0</v>
          </cell>
          <cell r="J767">
            <v>0.6</v>
          </cell>
          <cell r="K767">
            <v>10</v>
          </cell>
          <cell r="L767">
            <v>11.3</v>
          </cell>
          <cell r="M767">
            <v>4.7</v>
          </cell>
          <cell r="N767" t="str">
            <v>1-Victron</v>
          </cell>
        </row>
        <row r="768">
          <cell r="A768" t="str">
            <v>B0767</v>
          </cell>
          <cell r="B768" t="str">
            <v>Chargers</v>
          </cell>
          <cell r="C768" t="str">
            <v>Victron</v>
          </cell>
          <cell r="D768" t="str">
            <v>Orion-Tr 24/12-20A (240W)</v>
          </cell>
          <cell r="E768" t="str">
            <v>ORI241224110</v>
          </cell>
          <cell r="F768" t="str">
            <v>MPN (Part #)</v>
          </cell>
          <cell r="G768">
            <v>0</v>
          </cell>
          <cell r="H768">
            <v>0</v>
          </cell>
          <cell r="I768">
            <v>0</v>
          </cell>
          <cell r="J768">
            <v>1.3</v>
          </cell>
          <cell r="K768">
            <v>13</v>
          </cell>
          <cell r="L768">
            <v>18.600000000000001</v>
          </cell>
          <cell r="M768">
            <v>7</v>
          </cell>
          <cell r="N768" t="str">
            <v>1-Victron</v>
          </cell>
        </row>
        <row r="769">
          <cell r="A769" t="str">
            <v>B0768</v>
          </cell>
          <cell r="B769" t="str">
            <v>Chargers</v>
          </cell>
          <cell r="C769" t="str">
            <v>Victron</v>
          </cell>
          <cell r="D769" t="str">
            <v>Orion-Tr 24/12-30A (360W)</v>
          </cell>
          <cell r="E769" t="str">
            <v>ORI241240110</v>
          </cell>
          <cell r="F769" t="str">
            <v>MPN (Part #)</v>
          </cell>
          <cell r="G769">
            <v>341.55</v>
          </cell>
          <cell r="H769">
            <v>310.5</v>
          </cell>
          <cell r="I769">
            <v>0</v>
          </cell>
          <cell r="J769">
            <v>1.8</v>
          </cell>
          <cell r="K769">
            <v>13</v>
          </cell>
          <cell r="L769">
            <v>18.600000000000001</v>
          </cell>
          <cell r="M769">
            <v>8</v>
          </cell>
          <cell r="N769" t="str">
            <v>1-Victron</v>
          </cell>
        </row>
        <row r="770">
          <cell r="A770" t="str">
            <v>B0769</v>
          </cell>
          <cell r="B770" t="str">
            <v>Chargers</v>
          </cell>
          <cell r="C770" t="str">
            <v>Victron</v>
          </cell>
          <cell r="D770" t="str">
            <v>Orion-Tr 24/24-5A (120W)</v>
          </cell>
          <cell r="E770" t="str">
            <v>ORI242410110R</v>
          </cell>
          <cell r="F770" t="str">
            <v>MPN (Part #)</v>
          </cell>
          <cell r="G770">
            <v>0</v>
          </cell>
          <cell r="H770">
            <v>0</v>
          </cell>
          <cell r="I770">
            <v>0</v>
          </cell>
          <cell r="J770">
            <v>0.6</v>
          </cell>
          <cell r="K770">
            <v>10</v>
          </cell>
          <cell r="L770">
            <v>11.3</v>
          </cell>
          <cell r="M770">
            <v>4.7</v>
          </cell>
          <cell r="N770" t="str">
            <v>1-Victron</v>
          </cell>
        </row>
        <row r="771">
          <cell r="A771" t="str">
            <v>B0770</v>
          </cell>
          <cell r="B771" t="str">
            <v>Chargers</v>
          </cell>
          <cell r="C771" t="str">
            <v>Victron</v>
          </cell>
          <cell r="D771" t="str">
            <v>Orion-Tr 24/24-12A (280W)</v>
          </cell>
          <cell r="E771" t="str">
            <v>ORI242428110</v>
          </cell>
          <cell r="F771" t="str">
            <v>MPN (Part #)</v>
          </cell>
          <cell r="G771">
            <v>0</v>
          </cell>
          <cell r="H771">
            <v>0</v>
          </cell>
          <cell r="I771">
            <v>0</v>
          </cell>
          <cell r="J771">
            <v>1.3</v>
          </cell>
          <cell r="K771">
            <v>13</v>
          </cell>
          <cell r="L771">
            <v>18.600000000000001</v>
          </cell>
          <cell r="M771">
            <v>7</v>
          </cell>
          <cell r="N771" t="str">
            <v>1-Victron</v>
          </cell>
        </row>
        <row r="772">
          <cell r="A772" t="str">
            <v>B0771</v>
          </cell>
          <cell r="B772" t="str">
            <v>Chargers</v>
          </cell>
          <cell r="C772" t="str">
            <v>Victron</v>
          </cell>
          <cell r="D772" t="str">
            <v>Orion-Tr 24/24-17A (400W)</v>
          </cell>
          <cell r="E772" t="str">
            <v>ORI242441110</v>
          </cell>
          <cell r="F772" t="str">
            <v>MPN (Part #)</v>
          </cell>
          <cell r="G772">
            <v>0</v>
          </cell>
          <cell r="H772">
            <v>0</v>
          </cell>
          <cell r="I772">
            <v>0</v>
          </cell>
          <cell r="J772">
            <v>1.6</v>
          </cell>
          <cell r="K772">
            <v>13</v>
          </cell>
          <cell r="L772">
            <v>18.600000000000001</v>
          </cell>
          <cell r="M772">
            <v>7</v>
          </cell>
          <cell r="N772" t="str">
            <v>1-Victron</v>
          </cell>
        </row>
        <row r="773">
          <cell r="A773" t="str">
            <v>B0772</v>
          </cell>
          <cell r="B773" t="str">
            <v>Chargers</v>
          </cell>
          <cell r="C773" t="str">
            <v>Victron</v>
          </cell>
          <cell r="D773" t="str">
            <v>Orion-Tr 24/48-2.5A (120W)</v>
          </cell>
          <cell r="E773" t="str">
            <v>ORI244810110</v>
          </cell>
          <cell r="F773" t="str">
            <v>MPN (Part #)</v>
          </cell>
          <cell r="G773">
            <v>0</v>
          </cell>
          <cell r="H773">
            <v>0</v>
          </cell>
          <cell r="I773">
            <v>0</v>
          </cell>
          <cell r="J773">
            <v>0.6</v>
          </cell>
          <cell r="K773">
            <v>10</v>
          </cell>
          <cell r="L773">
            <v>11.3</v>
          </cell>
          <cell r="M773">
            <v>4.7</v>
          </cell>
          <cell r="N773" t="str">
            <v>1-Victron</v>
          </cell>
        </row>
        <row r="774">
          <cell r="A774" t="str">
            <v>B0773</v>
          </cell>
          <cell r="B774" t="str">
            <v>Chargers</v>
          </cell>
          <cell r="C774" t="str">
            <v>Victron</v>
          </cell>
          <cell r="D774" t="str">
            <v>Orion-Tr 24/48-6A (280W)</v>
          </cell>
          <cell r="E774" t="str">
            <v>ORI244828110</v>
          </cell>
          <cell r="F774" t="str">
            <v>MPN (Part #)</v>
          </cell>
          <cell r="G774">
            <v>0</v>
          </cell>
          <cell r="H774">
            <v>0</v>
          </cell>
          <cell r="I774">
            <v>0</v>
          </cell>
          <cell r="J774">
            <v>1.3</v>
          </cell>
          <cell r="K774">
            <v>13</v>
          </cell>
          <cell r="L774">
            <v>18.600000000000001</v>
          </cell>
          <cell r="M774">
            <v>7</v>
          </cell>
          <cell r="N774" t="str">
            <v>1-Victron</v>
          </cell>
        </row>
        <row r="775">
          <cell r="A775" t="str">
            <v>B0774</v>
          </cell>
          <cell r="B775" t="str">
            <v>Chargers</v>
          </cell>
          <cell r="C775" t="str">
            <v>Victron</v>
          </cell>
          <cell r="D775" t="str">
            <v>Orion-Tr 24/48-8.5A (400W)</v>
          </cell>
          <cell r="E775" t="str">
            <v>ORI244841110</v>
          </cell>
          <cell r="F775" t="str">
            <v>MPN (Part #)</v>
          </cell>
          <cell r="G775">
            <v>0</v>
          </cell>
          <cell r="H775">
            <v>0</v>
          </cell>
          <cell r="I775">
            <v>0</v>
          </cell>
          <cell r="J775">
            <v>1.6</v>
          </cell>
          <cell r="K775">
            <v>13</v>
          </cell>
          <cell r="L775">
            <v>18.600000000000001</v>
          </cell>
          <cell r="M775">
            <v>7</v>
          </cell>
          <cell r="N775" t="str">
            <v>1-Victron</v>
          </cell>
        </row>
        <row r="776">
          <cell r="A776" t="str">
            <v>B0775</v>
          </cell>
          <cell r="B776" t="str">
            <v>Chargers</v>
          </cell>
          <cell r="C776" t="str">
            <v>Victron</v>
          </cell>
          <cell r="D776" t="str">
            <v>Orion-Tr 48/12-9A (110W)</v>
          </cell>
          <cell r="E776" t="str">
            <v>ORI481210110</v>
          </cell>
          <cell r="F776" t="str">
            <v>MPN (Part #)</v>
          </cell>
          <cell r="G776">
            <v>0</v>
          </cell>
          <cell r="H776">
            <v>0</v>
          </cell>
          <cell r="I776">
            <v>0</v>
          </cell>
          <cell r="J776">
            <v>0.6</v>
          </cell>
          <cell r="K776">
            <v>10</v>
          </cell>
          <cell r="L776">
            <v>11.3</v>
          </cell>
          <cell r="M776">
            <v>4.7</v>
          </cell>
          <cell r="N776" t="str">
            <v>1-Victron</v>
          </cell>
        </row>
        <row r="777">
          <cell r="A777" t="str">
            <v>B0776</v>
          </cell>
          <cell r="B777" t="str">
            <v>Chargers</v>
          </cell>
          <cell r="C777" t="str">
            <v>Victron</v>
          </cell>
          <cell r="D777" t="str">
            <v>Orion-Tr 48/12-20A (240W)</v>
          </cell>
          <cell r="E777" t="str">
            <v>ORI481224110</v>
          </cell>
          <cell r="F777" t="str">
            <v>MPN (Part #)</v>
          </cell>
          <cell r="G777">
            <v>0</v>
          </cell>
          <cell r="H777">
            <v>0</v>
          </cell>
          <cell r="I777">
            <v>0</v>
          </cell>
          <cell r="J777">
            <v>1.3</v>
          </cell>
          <cell r="K777">
            <v>13</v>
          </cell>
          <cell r="L777">
            <v>18.600000000000001</v>
          </cell>
          <cell r="M777">
            <v>7</v>
          </cell>
          <cell r="N777" t="str">
            <v>1-Victron</v>
          </cell>
        </row>
        <row r="778">
          <cell r="A778" t="str">
            <v>B0777</v>
          </cell>
          <cell r="B778" t="str">
            <v>Chargers</v>
          </cell>
          <cell r="C778" t="str">
            <v>Victron</v>
          </cell>
          <cell r="D778" t="str">
            <v>Orion-Tr 48/12-30A (360W)</v>
          </cell>
          <cell r="E778" t="str">
            <v>ORI481240110</v>
          </cell>
          <cell r="F778" t="str">
            <v>MPN (Part #)</v>
          </cell>
          <cell r="G778">
            <v>0</v>
          </cell>
          <cell r="H778">
            <v>0</v>
          </cell>
          <cell r="I778">
            <v>0</v>
          </cell>
          <cell r="J778">
            <v>1.8</v>
          </cell>
          <cell r="K778">
            <v>13</v>
          </cell>
          <cell r="L778">
            <v>18.600000000000001</v>
          </cell>
          <cell r="M778">
            <v>8</v>
          </cell>
          <cell r="N778" t="str">
            <v>1-Victron</v>
          </cell>
        </row>
        <row r="779">
          <cell r="A779" t="str">
            <v>B0778</v>
          </cell>
          <cell r="B779" t="str">
            <v>Chargers</v>
          </cell>
          <cell r="C779" t="str">
            <v>Victron</v>
          </cell>
          <cell r="D779" t="str">
            <v>Orion-Tr 48/24-5A (120W)</v>
          </cell>
          <cell r="E779" t="str">
            <v>ORI482410110</v>
          </cell>
          <cell r="F779" t="str">
            <v>MPN (Part #)</v>
          </cell>
          <cell r="G779">
            <v>0</v>
          </cell>
          <cell r="H779">
            <v>0</v>
          </cell>
          <cell r="I779">
            <v>0</v>
          </cell>
          <cell r="J779">
            <v>0.6</v>
          </cell>
          <cell r="K779">
            <v>10</v>
          </cell>
          <cell r="L779">
            <v>11.3</v>
          </cell>
          <cell r="M779">
            <v>4.7</v>
          </cell>
          <cell r="N779" t="str">
            <v>1-Victron</v>
          </cell>
        </row>
        <row r="780">
          <cell r="A780" t="str">
            <v>B0779</v>
          </cell>
          <cell r="B780" t="str">
            <v>Chargers</v>
          </cell>
          <cell r="C780" t="str">
            <v>Victron</v>
          </cell>
          <cell r="D780" t="str">
            <v>Orion-Tr 48/24-12A (280W)</v>
          </cell>
          <cell r="E780" t="str">
            <v>ORI482428110</v>
          </cell>
          <cell r="F780" t="str">
            <v>MPN (Part #)</v>
          </cell>
          <cell r="G780">
            <v>0</v>
          </cell>
          <cell r="H780">
            <v>0</v>
          </cell>
          <cell r="I780">
            <v>0</v>
          </cell>
          <cell r="J780">
            <v>1.3</v>
          </cell>
          <cell r="K780">
            <v>13</v>
          </cell>
          <cell r="L780">
            <v>18.600000000000001</v>
          </cell>
          <cell r="M780">
            <v>7</v>
          </cell>
          <cell r="N780" t="str">
            <v>1-Victron</v>
          </cell>
        </row>
        <row r="781">
          <cell r="A781" t="str">
            <v>B0780</v>
          </cell>
          <cell r="B781" t="str">
            <v>Chargers</v>
          </cell>
          <cell r="C781" t="str">
            <v>Victron</v>
          </cell>
          <cell r="D781" t="str">
            <v>Orion-Tr 48/24-16A (380W)</v>
          </cell>
          <cell r="E781" t="str">
            <v>ORI482441110</v>
          </cell>
          <cell r="F781" t="str">
            <v>MPN (Part #)</v>
          </cell>
          <cell r="G781">
            <v>0</v>
          </cell>
          <cell r="H781">
            <v>0</v>
          </cell>
          <cell r="I781">
            <v>0</v>
          </cell>
          <cell r="J781">
            <v>1.6</v>
          </cell>
          <cell r="K781">
            <v>13</v>
          </cell>
          <cell r="L781">
            <v>18.600000000000001</v>
          </cell>
          <cell r="M781">
            <v>7</v>
          </cell>
          <cell r="N781" t="str">
            <v>1-Victron</v>
          </cell>
        </row>
        <row r="782">
          <cell r="A782" t="str">
            <v>B0781</v>
          </cell>
          <cell r="B782" t="str">
            <v>Chargers</v>
          </cell>
          <cell r="C782" t="str">
            <v>Victron</v>
          </cell>
          <cell r="D782" t="str">
            <v>Orion-Tr 48/48-2.5A (120W)</v>
          </cell>
          <cell r="E782" t="str">
            <v>ORI484810110</v>
          </cell>
          <cell r="F782" t="str">
            <v>MPN (Part #)</v>
          </cell>
          <cell r="G782">
            <v>0</v>
          </cell>
          <cell r="H782">
            <v>0</v>
          </cell>
          <cell r="I782">
            <v>0</v>
          </cell>
          <cell r="J782">
            <v>0.6</v>
          </cell>
          <cell r="K782">
            <v>10</v>
          </cell>
          <cell r="L782">
            <v>11.3</v>
          </cell>
          <cell r="M782">
            <v>4.7</v>
          </cell>
          <cell r="N782" t="str">
            <v>1-Victron</v>
          </cell>
        </row>
        <row r="783">
          <cell r="A783" t="str">
            <v>B0782</v>
          </cell>
          <cell r="B783" t="str">
            <v>Chargers</v>
          </cell>
          <cell r="C783" t="str">
            <v>Victron</v>
          </cell>
          <cell r="D783" t="str">
            <v>Orion-Tr 48/48-6A (280W)</v>
          </cell>
          <cell r="E783" t="str">
            <v>ORI484828110</v>
          </cell>
          <cell r="F783" t="str">
            <v>MPN (Part #)</v>
          </cell>
          <cell r="G783">
            <v>0</v>
          </cell>
          <cell r="H783">
            <v>0</v>
          </cell>
          <cell r="I783">
            <v>0</v>
          </cell>
          <cell r="J783">
            <v>1.3</v>
          </cell>
          <cell r="K783">
            <v>13</v>
          </cell>
          <cell r="L783">
            <v>18.600000000000001</v>
          </cell>
          <cell r="M783">
            <v>7</v>
          </cell>
          <cell r="N783" t="str">
            <v>1-Victron</v>
          </cell>
        </row>
        <row r="784">
          <cell r="A784" t="str">
            <v>B0783</v>
          </cell>
          <cell r="B784" t="str">
            <v>Chargers</v>
          </cell>
          <cell r="C784" t="str">
            <v>Victron</v>
          </cell>
          <cell r="D784" t="str">
            <v>Orion-Tr 12/12-30A (360W)</v>
          </cell>
          <cell r="E784" t="str">
            <v>ORI121240110</v>
          </cell>
          <cell r="F784" t="str">
            <v>MPN (Part #)</v>
          </cell>
          <cell r="G784">
            <v>0</v>
          </cell>
          <cell r="H784">
            <v>0</v>
          </cell>
          <cell r="I784">
            <v>0</v>
          </cell>
          <cell r="J784">
            <v>1.8</v>
          </cell>
          <cell r="K784">
            <v>13</v>
          </cell>
          <cell r="L784">
            <v>18.600000000000001</v>
          </cell>
          <cell r="M784">
            <v>8</v>
          </cell>
          <cell r="N784" t="str">
            <v>1-Victron</v>
          </cell>
        </row>
        <row r="785">
          <cell r="A785" t="str">
            <v>B0784</v>
          </cell>
          <cell r="B785" t="str">
            <v>Chargers</v>
          </cell>
          <cell r="C785" t="str">
            <v>Victron</v>
          </cell>
          <cell r="D785" t="str">
            <v>Orion 12/24-15A (360W)</v>
          </cell>
          <cell r="E785" t="str">
            <v>ORI122436100</v>
          </cell>
          <cell r="F785" t="str">
            <v>MPN (Part #)</v>
          </cell>
          <cell r="G785">
            <v>0</v>
          </cell>
          <cell r="H785">
            <v>0</v>
          </cell>
          <cell r="I785">
            <v>0</v>
          </cell>
          <cell r="K785">
            <v>8.3000000000000007</v>
          </cell>
          <cell r="L785">
            <v>13</v>
          </cell>
          <cell r="M785">
            <v>19.100000000000001</v>
          </cell>
          <cell r="N785" t="str">
            <v>1-Victron</v>
          </cell>
        </row>
        <row r="786">
          <cell r="A786" t="str">
            <v>B0785</v>
          </cell>
          <cell r="B786" t="str">
            <v>Chargers</v>
          </cell>
          <cell r="C786" t="str">
            <v>Victron</v>
          </cell>
          <cell r="D786" t="str">
            <v>Orion 48/48-8A (360W)</v>
          </cell>
          <cell r="E786" t="str">
            <v>ORI484841110</v>
          </cell>
          <cell r="F786" t="str">
            <v>MPN (Part #)</v>
          </cell>
          <cell r="G786">
            <v>0</v>
          </cell>
          <cell r="H786">
            <v>0</v>
          </cell>
          <cell r="I786">
            <v>0</v>
          </cell>
          <cell r="J786">
            <v>1.6</v>
          </cell>
          <cell r="K786">
            <v>13</v>
          </cell>
          <cell r="L786">
            <v>18.600000000000001</v>
          </cell>
          <cell r="M786">
            <v>7</v>
          </cell>
          <cell r="N786" t="str">
            <v>1-Victron</v>
          </cell>
        </row>
        <row r="787">
          <cell r="A787" t="str">
            <v>B0786</v>
          </cell>
          <cell r="B787" t="str">
            <v>Chargers</v>
          </cell>
          <cell r="C787" t="str">
            <v>Victron</v>
          </cell>
          <cell r="D787" t="str">
            <v>Orion 110/12-30A (360W)</v>
          </cell>
          <cell r="E787" t="str">
            <v>ORI110123610</v>
          </cell>
          <cell r="F787" t="str">
            <v>MPN (Part #)</v>
          </cell>
          <cell r="G787">
            <v>0</v>
          </cell>
          <cell r="H787">
            <v>0</v>
          </cell>
          <cell r="I787">
            <v>0</v>
          </cell>
          <cell r="J787">
            <v>1.4</v>
          </cell>
          <cell r="K787">
            <v>6.4</v>
          </cell>
          <cell r="L787">
            <v>16.3</v>
          </cell>
          <cell r="M787">
            <v>16</v>
          </cell>
          <cell r="N787" t="str">
            <v>1-Victron</v>
          </cell>
        </row>
        <row r="788">
          <cell r="A788" t="str">
            <v>B0787</v>
          </cell>
          <cell r="B788" t="str">
            <v>Chargers</v>
          </cell>
          <cell r="C788" t="str">
            <v>Victron</v>
          </cell>
          <cell r="D788" t="str">
            <v>Orion 110/24-15A (360W)</v>
          </cell>
          <cell r="E788" t="str">
            <v>ORI110243610</v>
          </cell>
          <cell r="F788" t="str">
            <v>MPN (Part #)</v>
          </cell>
          <cell r="G788">
            <v>0</v>
          </cell>
          <cell r="H788">
            <v>0</v>
          </cell>
          <cell r="I788">
            <v>0</v>
          </cell>
          <cell r="J788">
            <v>1.4</v>
          </cell>
          <cell r="K788">
            <v>6.4</v>
          </cell>
          <cell r="L788">
            <v>16.3</v>
          </cell>
          <cell r="M788">
            <v>16</v>
          </cell>
          <cell r="N788" t="str">
            <v>1-Victron</v>
          </cell>
        </row>
        <row r="789">
          <cell r="A789" t="str">
            <v>B0788</v>
          </cell>
          <cell r="B789" t="str">
            <v>Chargers</v>
          </cell>
          <cell r="C789" t="str">
            <v>Victron</v>
          </cell>
          <cell r="D789" t="str">
            <v>Orion 12/27,6-12A battery charger</v>
          </cell>
          <cell r="E789" t="str">
            <v>ORI122712000</v>
          </cell>
          <cell r="F789" t="str">
            <v>MPN (Part #)</v>
          </cell>
          <cell r="G789">
            <v>0</v>
          </cell>
          <cell r="H789">
            <v>0</v>
          </cell>
          <cell r="I789">
            <v>0</v>
          </cell>
          <cell r="K789">
            <v>6.4</v>
          </cell>
          <cell r="L789">
            <v>16.3</v>
          </cell>
          <cell r="M789">
            <v>16</v>
          </cell>
          <cell r="N789" t="str">
            <v>1-Victron</v>
          </cell>
        </row>
        <row r="790">
          <cell r="A790" t="str">
            <v>B0789</v>
          </cell>
          <cell r="B790" t="str">
            <v>Chargers</v>
          </cell>
          <cell r="C790" t="str">
            <v>Victron</v>
          </cell>
          <cell r="D790" t="str">
            <v>Orion 7-35/12-3A isolated buck-boost regulator</v>
          </cell>
          <cell r="E790" t="str">
            <v>ORI351203000</v>
          </cell>
          <cell r="F790" t="str">
            <v>MPN (Part #)</v>
          </cell>
          <cell r="G790">
            <v>0</v>
          </cell>
          <cell r="H790">
            <v>0</v>
          </cell>
          <cell r="I790">
            <v>0</v>
          </cell>
          <cell r="K790">
            <v>4.9000000000000004</v>
          </cell>
          <cell r="L790">
            <v>8.8000000000000007</v>
          </cell>
          <cell r="M790">
            <v>18.2</v>
          </cell>
          <cell r="N790" t="str">
            <v>1-Victron</v>
          </cell>
        </row>
        <row r="791">
          <cell r="A791" t="str">
            <v>B0790</v>
          </cell>
          <cell r="B791" t="str">
            <v>Batteries</v>
          </cell>
          <cell r="C791" t="str">
            <v>Powerplus</v>
          </cell>
          <cell r="D791" t="str">
            <v>Battery Powerplus LiFe 3.3KWh Lithium Module</v>
          </cell>
          <cell r="E791" t="str">
            <v>LiFe4833P</v>
          </cell>
          <cell r="F791" t="str">
            <v>MPN (Part #)</v>
          </cell>
          <cell r="G791">
            <v>3768.3</v>
          </cell>
          <cell r="H791">
            <v>3425.7000000000003</v>
          </cell>
          <cell r="I791">
            <v>0</v>
          </cell>
          <cell r="J791">
            <v>41</v>
          </cell>
          <cell r="K791">
            <v>63.5</v>
          </cell>
          <cell r="L791">
            <v>43.4</v>
          </cell>
          <cell r="M791">
            <v>8.8000000000000007</v>
          </cell>
          <cell r="N791" t="str">
            <v>6-Various</v>
          </cell>
        </row>
        <row r="792">
          <cell r="A792" t="str">
            <v>B0791</v>
          </cell>
          <cell r="B792" t="str">
            <v>Control</v>
          </cell>
          <cell r="C792" t="str">
            <v>Victron</v>
          </cell>
          <cell r="D792" t="str">
            <v>Battery Monitor BMV-702 BLACK</v>
          </cell>
          <cell r="E792" t="str">
            <v>BAM010702200R</v>
          </cell>
          <cell r="F792" t="str">
            <v>MPN (Part #)</v>
          </cell>
          <cell r="G792">
            <v>245.5</v>
          </cell>
          <cell r="H792">
            <v>223.20000000000002</v>
          </cell>
          <cell r="I792">
            <v>0</v>
          </cell>
          <cell r="J792">
            <v>0.3</v>
          </cell>
          <cell r="K792">
            <v>6.5</v>
          </cell>
          <cell r="L792">
            <v>6.5</v>
          </cell>
          <cell r="M792">
            <v>3</v>
          </cell>
          <cell r="N792" t="str">
            <v>1-Victron</v>
          </cell>
        </row>
        <row r="793">
          <cell r="A793" t="str">
            <v>B0792</v>
          </cell>
          <cell r="B793" t="str">
            <v>Control</v>
          </cell>
          <cell r="C793" t="str">
            <v>Victron</v>
          </cell>
          <cell r="D793" t="str">
            <v>Battery Monitor BMV-700H</v>
          </cell>
          <cell r="E793" t="str">
            <v>BAM010700100</v>
          </cell>
          <cell r="F793" t="str">
            <v>MPN (Part #)</v>
          </cell>
          <cell r="G793">
            <v>0</v>
          </cell>
          <cell r="H793">
            <v>0</v>
          </cell>
          <cell r="I793">
            <v>0</v>
          </cell>
          <cell r="N793" t="str">
            <v>1-Victron</v>
          </cell>
        </row>
        <row r="794">
          <cell r="A794" t="str">
            <v>B0793</v>
          </cell>
          <cell r="B794" t="str">
            <v>Monitoring</v>
          </cell>
          <cell r="C794" t="str">
            <v>Victron</v>
          </cell>
          <cell r="D794" t="str">
            <v>Temperature sensor for BMV-702 &amp; 712</v>
          </cell>
          <cell r="E794" t="str">
            <v>ASS000100000</v>
          </cell>
          <cell r="F794" t="str">
            <v>MPN (Part #)</v>
          </cell>
          <cell r="G794">
            <v>53.45</v>
          </cell>
          <cell r="H794">
            <v>48.6</v>
          </cell>
          <cell r="I794">
            <v>0</v>
          </cell>
          <cell r="N794" t="str">
            <v>1-Victron</v>
          </cell>
        </row>
        <row r="795">
          <cell r="A795" t="str">
            <v>B0794</v>
          </cell>
          <cell r="B795" t="str">
            <v>Switches</v>
          </cell>
          <cell r="C795" t="str">
            <v>Victron</v>
          </cell>
          <cell r="D795" t="str">
            <v xml:space="preserve">Filax-2   230V/50Hz-240V/60Hz        </v>
          </cell>
          <cell r="E795" t="str">
            <v>SDFI0000000</v>
          </cell>
          <cell r="F795" t="str">
            <v>MPN (Part #)</v>
          </cell>
          <cell r="G795">
            <v>487.1</v>
          </cell>
          <cell r="H795">
            <v>442.8</v>
          </cell>
          <cell r="I795">
            <v>0</v>
          </cell>
          <cell r="J795">
            <v>0.8</v>
          </cell>
          <cell r="K795">
            <v>12</v>
          </cell>
          <cell r="L795">
            <v>25.5</v>
          </cell>
          <cell r="M795">
            <v>7.5</v>
          </cell>
          <cell r="N795" t="str">
            <v>1-Victron</v>
          </cell>
        </row>
        <row r="796">
          <cell r="A796" t="str">
            <v>B0795</v>
          </cell>
          <cell r="B796" t="str">
            <v>Switches</v>
          </cell>
          <cell r="C796" t="str">
            <v>Victron</v>
          </cell>
          <cell r="D796" t="str">
            <v xml:space="preserve">Filax-2  110V/50Hz-120V/60Hz         </v>
          </cell>
          <cell r="E796" t="str">
            <v>SDFI0000110</v>
          </cell>
          <cell r="F796" t="str">
            <v>MPN (Part #)</v>
          </cell>
          <cell r="G796">
            <v>487.1</v>
          </cell>
          <cell r="H796">
            <v>442.8</v>
          </cell>
          <cell r="I796">
            <v>0</v>
          </cell>
          <cell r="J796">
            <v>0.8</v>
          </cell>
          <cell r="K796">
            <v>12</v>
          </cell>
          <cell r="L796">
            <v>25.5</v>
          </cell>
          <cell r="M796">
            <v>7.5</v>
          </cell>
          <cell r="N796" t="str">
            <v>1-Victron</v>
          </cell>
        </row>
        <row r="797">
          <cell r="A797" t="str">
            <v>B0796</v>
          </cell>
          <cell r="B797" t="str">
            <v>Switches</v>
          </cell>
          <cell r="C797" t="str">
            <v>Victron</v>
          </cell>
          <cell r="D797" t="str">
            <v>VE Transfer Switch 5kVA/230V</v>
          </cell>
          <cell r="E797" t="str">
            <v>COS230502100</v>
          </cell>
          <cell r="F797" t="str">
            <v>MPN (Part #)</v>
          </cell>
          <cell r="G797">
            <v>525.70000000000005</v>
          </cell>
          <cell r="H797">
            <v>477.90000000000003</v>
          </cell>
          <cell r="I797">
            <v>0</v>
          </cell>
          <cell r="J797">
            <v>1.4</v>
          </cell>
          <cell r="K797">
            <v>17.5</v>
          </cell>
          <cell r="L797">
            <v>21.5</v>
          </cell>
          <cell r="M797">
            <v>12</v>
          </cell>
          <cell r="N797" t="str">
            <v>1-Victron</v>
          </cell>
        </row>
        <row r="798">
          <cell r="A798" t="str">
            <v>B0797</v>
          </cell>
          <cell r="B798" t="str">
            <v>Switches</v>
          </cell>
          <cell r="C798" t="str">
            <v>Victron</v>
          </cell>
          <cell r="D798" t="str">
            <v>VE Transfer Switch 10kVA/230V</v>
          </cell>
          <cell r="E798" t="str">
            <v>COS230103100</v>
          </cell>
          <cell r="F798" t="str">
            <v>MPN (Part #)</v>
          </cell>
          <cell r="G798">
            <v>649.45000000000005</v>
          </cell>
          <cell r="H798">
            <v>590.4</v>
          </cell>
          <cell r="I798">
            <v>0</v>
          </cell>
          <cell r="J798">
            <v>1.5</v>
          </cell>
          <cell r="K798">
            <v>17.5</v>
          </cell>
          <cell r="L798">
            <v>21.5</v>
          </cell>
          <cell r="M798">
            <v>12</v>
          </cell>
          <cell r="N798" t="str">
            <v>1-Victron</v>
          </cell>
        </row>
        <row r="799">
          <cell r="A799" t="str">
            <v>B0798</v>
          </cell>
          <cell r="B799" t="str">
            <v>DC Bus</v>
          </cell>
          <cell r="C799" t="str">
            <v>Victron</v>
          </cell>
          <cell r="D799" t="str">
            <v>Lynx Power In (Busbar)</v>
          </cell>
          <cell r="E799" t="str">
            <v>LYN020102000</v>
          </cell>
          <cell r="F799" t="str">
            <v>MPN (Part #)</v>
          </cell>
          <cell r="G799">
            <v>251.45000000000002</v>
          </cell>
          <cell r="H799">
            <v>228.60000000000002</v>
          </cell>
          <cell r="I799">
            <v>0</v>
          </cell>
          <cell r="J799">
            <v>2.1</v>
          </cell>
          <cell r="K799">
            <v>29</v>
          </cell>
          <cell r="L799">
            <v>17</v>
          </cell>
          <cell r="M799">
            <v>8</v>
          </cell>
          <cell r="N799" t="str">
            <v>1-Victron</v>
          </cell>
        </row>
        <row r="800">
          <cell r="A800" t="str">
            <v>B0799</v>
          </cell>
          <cell r="B800" t="str">
            <v>DC Bus</v>
          </cell>
          <cell r="C800" t="str">
            <v>Victron</v>
          </cell>
          <cell r="D800" t="str">
            <v>Lynx Shunt VE.Can</v>
          </cell>
          <cell r="E800" t="str">
            <v>LYN040102100</v>
          </cell>
          <cell r="F800" t="str">
            <v>MPN (Part #)</v>
          </cell>
          <cell r="G800">
            <v>634.6</v>
          </cell>
          <cell r="H800">
            <v>576.9</v>
          </cell>
          <cell r="I800">
            <v>0</v>
          </cell>
          <cell r="J800">
            <v>1.4</v>
          </cell>
          <cell r="K800">
            <v>19</v>
          </cell>
          <cell r="L800">
            <v>18</v>
          </cell>
          <cell r="M800">
            <v>8</v>
          </cell>
          <cell r="N800" t="str">
            <v>1-Victron</v>
          </cell>
        </row>
        <row r="801">
          <cell r="A801" t="str">
            <v>B0800</v>
          </cell>
          <cell r="B801" t="str">
            <v>DC Bus</v>
          </cell>
          <cell r="C801" t="str">
            <v>Victron</v>
          </cell>
          <cell r="D801" t="str">
            <v>Lynx Distributor (Busbar with fuse block and LEDs)</v>
          </cell>
          <cell r="E801" t="str">
            <v>LYN060102000</v>
          </cell>
          <cell r="F801" t="str">
            <v>MPN (Part #)</v>
          </cell>
          <cell r="G801">
            <v>359.35</v>
          </cell>
          <cell r="H801">
            <v>326.70000000000005</v>
          </cell>
          <cell r="I801">
            <v>0</v>
          </cell>
          <cell r="J801">
            <v>2.2000000000000002</v>
          </cell>
          <cell r="K801">
            <v>29</v>
          </cell>
          <cell r="L801">
            <v>17</v>
          </cell>
          <cell r="M801">
            <v>8</v>
          </cell>
          <cell r="N801" t="str">
            <v>1-Victron</v>
          </cell>
        </row>
        <row r="802">
          <cell r="A802" t="str">
            <v>B0801</v>
          </cell>
          <cell r="B802" t="str">
            <v>DC Bus</v>
          </cell>
          <cell r="C802" t="str">
            <v>Victron</v>
          </cell>
          <cell r="D802" t="str">
            <v xml:space="preserve">Fuse CNN 325A/80V for Lynx shunt </v>
          </cell>
          <cell r="E802" t="str">
            <v>CIP140325000</v>
          </cell>
          <cell r="F802" t="str">
            <v>MPN (Part #)</v>
          </cell>
          <cell r="G802">
            <v>0</v>
          </cell>
          <cell r="H802">
            <v>0</v>
          </cell>
          <cell r="I802">
            <v>0</v>
          </cell>
          <cell r="K802">
            <v>1.5</v>
          </cell>
          <cell r="L802">
            <v>8.1999999999999993</v>
          </cell>
          <cell r="M802">
            <v>2</v>
          </cell>
          <cell r="N802" t="str">
            <v>1-Victron</v>
          </cell>
        </row>
        <row r="803">
          <cell r="A803" t="str">
            <v>B0802</v>
          </cell>
          <cell r="B803" t="str">
            <v>Victron Accessories</v>
          </cell>
          <cell r="C803" t="str">
            <v>Victron</v>
          </cell>
          <cell r="D803" t="str">
            <v>ESP DC Link Box (in plastic enclosure)</v>
          </cell>
          <cell r="E803" t="str">
            <v>DCL000200000</v>
          </cell>
          <cell r="F803" t="str">
            <v>MPN (Part #)</v>
          </cell>
          <cell r="G803">
            <v>0</v>
          </cell>
          <cell r="H803">
            <v>0</v>
          </cell>
          <cell r="I803">
            <v>0</v>
          </cell>
          <cell r="J803">
            <v>3.1</v>
          </cell>
          <cell r="K803">
            <v>13</v>
          </cell>
          <cell r="L803">
            <v>39.5</v>
          </cell>
          <cell r="M803">
            <v>31.5</v>
          </cell>
          <cell r="N803" t="str">
            <v>1-Victron</v>
          </cell>
        </row>
        <row r="804">
          <cell r="A804" t="str">
            <v>B0803</v>
          </cell>
          <cell r="B804" t="str">
            <v>Fuses</v>
          </cell>
          <cell r="C804" t="str">
            <v>Victron</v>
          </cell>
          <cell r="D804" t="str">
            <v>MIDI-fuse 60A/32V (package of 5 pcs)</v>
          </cell>
          <cell r="E804" t="str">
            <v>CIP132060010</v>
          </cell>
          <cell r="F804" t="str">
            <v>MPN (Part #)</v>
          </cell>
          <cell r="G804">
            <v>0</v>
          </cell>
          <cell r="H804">
            <v>0</v>
          </cell>
          <cell r="I804">
            <v>0</v>
          </cell>
          <cell r="K804">
            <v>0.8</v>
          </cell>
          <cell r="L804">
            <v>1.2</v>
          </cell>
          <cell r="M804">
            <v>4.2</v>
          </cell>
          <cell r="N804" t="str">
            <v>1-Victron</v>
          </cell>
        </row>
        <row r="805">
          <cell r="A805" t="str">
            <v>B0804</v>
          </cell>
          <cell r="B805" t="str">
            <v>Fuses</v>
          </cell>
          <cell r="C805" t="str">
            <v>Victron</v>
          </cell>
          <cell r="D805" t="str">
            <v>MIDI-fuse 80A/32V (package of 5 pcs)</v>
          </cell>
          <cell r="E805" t="str">
            <v>CIP132080010</v>
          </cell>
          <cell r="F805" t="str">
            <v>MPN (Part #)</v>
          </cell>
          <cell r="G805">
            <v>0</v>
          </cell>
          <cell r="H805">
            <v>0</v>
          </cell>
          <cell r="I805">
            <v>0</v>
          </cell>
          <cell r="K805">
            <v>0.8</v>
          </cell>
          <cell r="L805">
            <v>1.2</v>
          </cell>
          <cell r="M805">
            <v>4.2</v>
          </cell>
          <cell r="N805" t="str">
            <v>1-Victron</v>
          </cell>
        </row>
        <row r="806">
          <cell r="A806" t="str">
            <v>B0805</v>
          </cell>
          <cell r="B806" t="str">
            <v>Fuses</v>
          </cell>
          <cell r="C806" t="str">
            <v>Victron</v>
          </cell>
          <cell r="D806" t="str">
            <v>MIDI-fuse 100A/32V (package of 5 pcs)</v>
          </cell>
          <cell r="E806" t="str">
            <v>CIP132100010</v>
          </cell>
          <cell r="F806" t="str">
            <v>MPN (Part #)</v>
          </cell>
          <cell r="G806">
            <v>0</v>
          </cell>
          <cell r="H806">
            <v>0</v>
          </cell>
          <cell r="I806">
            <v>0</v>
          </cell>
          <cell r="K806">
            <v>0.8</v>
          </cell>
          <cell r="L806">
            <v>1.2</v>
          </cell>
          <cell r="M806">
            <v>4.2</v>
          </cell>
          <cell r="N806" t="str">
            <v>1-Victron</v>
          </cell>
        </row>
        <row r="807">
          <cell r="A807" t="str">
            <v>B0806</v>
          </cell>
          <cell r="B807" t="str">
            <v>Fuses</v>
          </cell>
          <cell r="C807" t="str">
            <v>Victron</v>
          </cell>
          <cell r="D807" t="str">
            <v>MIDI-fuse 150A/32V (package of 5 pcs)</v>
          </cell>
          <cell r="E807" t="str">
            <v>CIP132150010</v>
          </cell>
          <cell r="F807" t="str">
            <v>MPN (Part #)</v>
          </cell>
          <cell r="G807">
            <v>0</v>
          </cell>
          <cell r="H807">
            <v>0</v>
          </cell>
          <cell r="I807">
            <v>0</v>
          </cell>
          <cell r="K807">
            <v>0.8</v>
          </cell>
          <cell r="L807">
            <v>1.2</v>
          </cell>
          <cell r="M807">
            <v>4.2</v>
          </cell>
          <cell r="N807" t="str">
            <v>1-Victron</v>
          </cell>
        </row>
        <row r="808">
          <cell r="A808" t="str">
            <v>B0807</v>
          </cell>
          <cell r="B808" t="str">
            <v>Fuses</v>
          </cell>
          <cell r="C808" t="str">
            <v>Victron</v>
          </cell>
          <cell r="D808" t="str">
            <v>MIDI-fuse 200A/32V (package of 5 pcs)</v>
          </cell>
          <cell r="E808" t="str">
            <v>CIP132200010</v>
          </cell>
          <cell r="F808" t="str">
            <v>MPN (Part #)</v>
          </cell>
          <cell r="G808">
            <v>0</v>
          </cell>
          <cell r="H808">
            <v>0</v>
          </cell>
          <cell r="I808">
            <v>0</v>
          </cell>
          <cell r="K808">
            <v>0.8</v>
          </cell>
          <cell r="L808">
            <v>1.2</v>
          </cell>
          <cell r="M808">
            <v>4.2</v>
          </cell>
          <cell r="N808" t="str">
            <v>1-Victron</v>
          </cell>
        </row>
        <row r="809">
          <cell r="A809" t="str">
            <v>B0808</v>
          </cell>
          <cell r="B809" t="str">
            <v>Fuses</v>
          </cell>
          <cell r="C809" t="str">
            <v>Victron</v>
          </cell>
          <cell r="D809" t="str">
            <v>MIDI-fuse 30A/58V for 48V products (1 pc)</v>
          </cell>
          <cell r="E809" t="str">
            <v>CIP133030010</v>
          </cell>
          <cell r="F809" t="str">
            <v>MPN (Part #)</v>
          </cell>
          <cell r="G809">
            <v>0</v>
          </cell>
          <cell r="H809">
            <v>0</v>
          </cell>
          <cell r="I809">
            <v>0</v>
          </cell>
          <cell r="K809">
            <v>0.8</v>
          </cell>
          <cell r="L809">
            <v>1.2</v>
          </cell>
          <cell r="M809">
            <v>4.2</v>
          </cell>
          <cell r="N809" t="str">
            <v>1-Victron</v>
          </cell>
        </row>
        <row r="810">
          <cell r="A810" t="str">
            <v>B0809</v>
          </cell>
          <cell r="B810" t="str">
            <v>Fuses</v>
          </cell>
          <cell r="C810" t="str">
            <v>Victron</v>
          </cell>
          <cell r="D810" t="str">
            <v>MIDI-fuse 40A/58V for 48V products (1 pc)</v>
          </cell>
          <cell r="E810" t="str">
            <v>CIP133040010</v>
          </cell>
          <cell r="F810" t="str">
            <v>MPN (Part #)</v>
          </cell>
          <cell r="G810">
            <v>0</v>
          </cell>
          <cell r="H810">
            <v>0</v>
          </cell>
          <cell r="I810">
            <v>0</v>
          </cell>
          <cell r="K810">
            <v>0.8</v>
          </cell>
          <cell r="L810">
            <v>1.2</v>
          </cell>
          <cell r="M810">
            <v>4.2</v>
          </cell>
          <cell r="N810" t="str">
            <v>1-Victron</v>
          </cell>
        </row>
        <row r="811">
          <cell r="A811" t="str">
            <v>B0810</v>
          </cell>
          <cell r="B811" t="str">
            <v>Fuses</v>
          </cell>
          <cell r="C811" t="str">
            <v>Victron</v>
          </cell>
          <cell r="D811" t="str">
            <v>MIDI-fuse 50A/58V for 48V products (1 pc)</v>
          </cell>
          <cell r="E811" t="str">
            <v>CIP133050010</v>
          </cell>
          <cell r="F811" t="str">
            <v>MPN (Part #)</v>
          </cell>
          <cell r="G811">
            <v>0</v>
          </cell>
          <cell r="H811">
            <v>0</v>
          </cell>
          <cell r="I811">
            <v>0</v>
          </cell>
          <cell r="K811">
            <v>0.8</v>
          </cell>
          <cell r="L811">
            <v>1.2</v>
          </cell>
          <cell r="M811">
            <v>4.2</v>
          </cell>
          <cell r="N811" t="str">
            <v>1-Victron</v>
          </cell>
        </row>
        <row r="812">
          <cell r="A812" t="str">
            <v>B0811</v>
          </cell>
          <cell r="B812" t="str">
            <v>Fuses</v>
          </cell>
          <cell r="C812" t="str">
            <v>Victron</v>
          </cell>
          <cell r="D812" t="str">
            <v>MIDI-fuse 60A/58V for 48V products (1 pc)</v>
          </cell>
          <cell r="E812" t="str">
            <v>CIP133060010</v>
          </cell>
          <cell r="F812" t="str">
            <v>MPN (Part #)</v>
          </cell>
          <cell r="G812">
            <v>0</v>
          </cell>
          <cell r="H812">
            <v>0</v>
          </cell>
          <cell r="I812">
            <v>0</v>
          </cell>
          <cell r="K812">
            <v>0.8</v>
          </cell>
          <cell r="L812">
            <v>1.2</v>
          </cell>
          <cell r="M812">
            <v>4.2</v>
          </cell>
          <cell r="N812" t="str">
            <v>1-Victron</v>
          </cell>
        </row>
        <row r="813">
          <cell r="A813" t="str">
            <v>B0812</v>
          </cell>
          <cell r="B813" t="str">
            <v>Fuses</v>
          </cell>
          <cell r="C813" t="str">
            <v>Victron</v>
          </cell>
          <cell r="D813" t="str">
            <v>MIDI-fuse 80A/58V for 48V products (1 pc)</v>
          </cell>
          <cell r="E813" t="str">
            <v>CIP133080010</v>
          </cell>
          <cell r="F813" t="str">
            <v>MPN (Part #)</v>
          </cell>
          <cell r="G813">
            <v>0</v>
          </cell>
          <cell r="H813">
            <v>0</v>
          </cell>
          <cell r="I813">
            <v>0</v>
          </cell>
          <cell r="K813">
            <v>0.8</v>
          </cell>
          <cell r="L813">
            <v>1.2</v>
          </cell>
          <cell r="M813">
            <v>4.2</v>
          </cell>
          <cell r="N813" t="str">
            <v>1-Victron</v>
          </cell>
        </row>
        <row r="814">
          <cell r="A814" t="str">
            <v>B0813</v>
          </cell>
          <cell r="B814" t="str">
            <v>Fuses</v>
          </cell>
          <cell r="C814" t="str">
            <v>Victron</v>
          </cell>
          <cell r="D814" t="str">
            <v>MIDI-fuse 100A/58V for 48V products (1 pc)</v>
          </cell>
          <cell r="E814" t="str">
            <v>CIP133100010</v>
          </cell>
          <cell r="F814" t="str">
            <v>MPN (Part #)</v>
          </cell>
          <cell r="G814">
            <v>0</v>
          </cell>
          <cell r="H814">
            <v>0</v>
          </cell>
          <cell r="I814">
            <v>0</v>
          </cell>
          <cell r="K814">
            <v>0.8</v>
          </cell>
          <cell r="L814">
            <v>1.2</v>
          </cell>
          <cell r="M814">
            <v>4.2</v>
          </cell>
          <cell r="N814" t="str">
            <v>1-Victron</v>
          </cell>
        </row>
        <row r="815">
          <cell r="A815" t="str">
            <v>B0814</v>
          </cell>
          <cell r="B815" t="str">
            <v>Fuses</v>
          </cell>
          <cell r="C815" t="str">
            <v>Victron</v>
          </cell>
          <cell r="D815" t="str">
            <v>MEGA-fuse 60A/32V (package of 5 pcs)</v>
          </cell>
          <cell r="E815" t="str">
            <v>CIP136060010</v>
          </cell>
          <cell r="F815" t="str">
            <v>MPN (Part #)</v>
          </cell>
          <cell r="G815">
            <v>0</v>
          </cell>
          <cell r="H815">
            <v>0</v>
          </cell>
          <cell r="I815">
            <v>0</v>
          </cell>
          <cell r="K815">
            <v>0.9</v>
          </cell>
          <cell r="L815">
            <v>1.9</v>
          </cell>
          <cell r="M815">
            <v>6.7</v>
          </cell>
          <cell r="N815" t="str">
            <v>1-Victron</v>
          </cell>
        </row>
        <row r="816">
          <cell r="A816" t="str">
            <v>B0815</v>
          </cell>
          <cell r="B816" t="str">
            <v>Fuses</v>
          </cell>
          <cell r="C816" t="str">
            <v>Victron</v>
          </cell>
          <cell r="D816" t="str">
            <v>MEGA-fuse 80A/32V (package of 5 pcs)</v>
          </cell>
          <cell r="E816" t="str">
            <v>CIP136080010</v>
          </cell>
          <cell r="F816" t="str">
            <v>MPN (Part #)</v>
          </cell>
          <cell r="G816">
            <v>0</v>
          </cell>
          <cell r="H816">
            <v>0</v>
          </cell>
          <cell r="I816">
            <v>0</v>
          </cell>
          <cell r="K816">
            <v>0.9</v>
          </cell>
          <cell r="L816">
            <v>1.9</v>
          </cell>
          <cell r="M816">
            <v>6.7</v>
          </cell>
          <cell r="N816" t="str">
            <v>1-Victron</v>
          </cell>
        </row>
        <row r="817">
          <cell r="A817" t="str">
            <v>B0816</v>
          </cell>
          <cell r="B817" t="str">
            <v>Fuses</v>
          </cell>
          <cell r="C817" t="str">
            <v>Victron</v>
          </cell>
          <cell r="D817" t="str">
            <v>MEGA-fuse 100A/32V (package of 5 pcs)</v>
          </cell>
          <cell r="E817" t="str">
            <v>CIP136100010</v>
          </cell>
          <cell r="F817" t="str">
            <v>MPN (Part #)</v>
          </cell>
          <cell r="G817">
            <v>0</v>
          </cell>
          <cell r="H817">
            <v>0</v>
          </cell>
          <cell r="I817">
            <v>0</v>
          </cell>
          <cell r="K817">
            <v>0.9</v>
          </cell>
          <cell r="L817">
            <v>1.9</v>
          </cell>
          <cell r="M817">
            <v>6.7</v>
          </cell>
          <cell r="N817" t="str">
            <v>1-Victron</v>
          </cell>
        </row>
        <row r="818">
          <cell r="A818" t="str">
            <v>B0817</v>
          </cell>
          <cell r="B818" t="str">
            <v>Fuses</v>
          </cell>
          <cell r="C818" t="str">
            <v>Victron</v>
          </cell>
          <cell r="D818" t="str">
            <v>MEGA-fuse 125A/32V (package of 5 pcs)</v>
          </cell>
          <cell r="E818" t="str">
            <v>CIP136125010</v>
          </cell>
          <cell r="F818" t="str">
            <v>MPN (Part #)</v>
          </cell>
          <cell r="G818">
            <v>0</v>
          </cell>
          <cell r="H818">
            <v>0</v>
          </cell>
          <cell r="I818">
            <v>0</v>
          </cell>
          <cell r="K818">
            <v>0.9</v>
          </cell>
          <cell r="L818">
            <v>1.9</v>
          </cell>
          <cell r="M818">
            <v>6.7</v>
          </cell>
          <cell r="N818" t="str">
            <v>1-Victron</v>
          </cell>
        </row>
        <row r="819">
          <cell r="A819" t="str">
            <v>B0818</v>
          </cell>
          <cell r="B819" t="str">
            <v>Fuses</v>
          </cell>
          <cell r="C819" t="str">
            <v>Victron</v>
          </cell>
          <cell r="D819" t="str">
            <v>MEGA-fuse 150A/32V (package of 5 pcs)</v>
          </cell>
          <cell r="E819" t="str">
            <v>CIP136150010</v>
          </cell>
          <cell r="F819" t="str">
            <v>MPN (Part #)</v>
          </cell>
          <cell r="G819">
            <v>0</v>
          </cell>
          <cell r="H819">
            <v>0</v>
          </cell>
          <cell r="I819">
            <v>0</v>
          </cell>
          <cell r="K819">
            <v>0.9</v>
          </cell>
          <cell r="L819">
            <v>1.9</v>
          </cell>
          <cell r="M819">
            <v>6.7</v>
          </cell>
          <cell r="N819" t="str">
            <v>1-Victron</v>
          </cell>
        </row>
        <row r="820">
          <cell r="A820" t="str">
            <v>B0819</v>
          </cell>
          <cell r="B820" t="str">
            <v>Fuses</v>
          </cell>
          <cell r="C820" t="str">
            <v>Victron</v>
          </cell>
          <cell r="D820" t="str">
            <v>MEGA-fuse 175A/32V (package of 5 pcs)</v>
          </cell>
          <cell r="E820" t="str">
            <v>CIP136175010</v>
          </cell>
          <cell r="F820" t="str">
            <v>MPN (Part #)</v>
          </cell>
          <cell r="G820">
            <v>0</v>
          </cell>
          <cell r="H820">
            <v>0</v>
          </cell>
          <cell r="I820">
            <v>0</v>
          </cell>
          <cell r="K820">
            <v>0.9</v>
          </cell>
          <cell r="L820">
            <v>1.9</v>
          </cell>
          <cell r="M820">
            <v>6.7</v>
          </cell>
          <cell r="N820" t="str">
            <v>1-Victron</v>
          </cell>
        </row>
        <row r="821">
          <cell r="A821" t="str">
            <v>B0820</v>
          </cell>
          <cell r="B821" t="str">
            <v>Fuses</v>
          </cell>
          <cell r="C821" t="str">
            <v>Victron</v>
          </cell>
          <cell r="D821" t="str">
            <v>MEGA-fuse 200A/32V (package of 5 pcs)</v>
          </cell>
          <cell r="E821" t="str">
            <v>CIP136200010</v>
          </cell>
          <cell r="F821" t="str">
            <v>MPN (Part #)</v>
          </cell>
          <cell r="G821">
            <v>0</v>
          </cell>
          <cell r="H821">
            <v>0</v>
          </cell>
          <cell r="I821">
            <v>0</v>
          </cell>
          <cell r="K821">
            <v>0.9</v>
          </cell>
          <cell r="L821">
            <v>1.9</v>
          </cell>
          <cell r="M821">
            <v>6.7</v>
          </cell>
          <cell r="N821" t="str">
            <v>1-Victron</v>
          </cell>
        </row>
        <row r="822">
          <cell r="A822" t="str">
            <v>B0821</v>
          </cell>
          <cell r="B822" t="str">
            <v>Fuses</v>
          </cell>
          <cell r="C822" t="str">
            <v>Victron</v>
          </cell>
          <cell r="D822" t="str">
            <v>MEGA-fuse 225A/32V (package of 5 pcs)</v>
          </cell>
          <cell r="E822" t="str">
            <v>CIP136225010</v>
          </cell>
          <cell r="F822" t="str">
            <v>MPN (Part #)</v>
          </cell>
          <cell r="G822">
            <v>0</v>
          </cell>
          <cell r="H822">
            <v>0</v>
          </cell>
          <cell r="I822">
            <v>0</v>
          </cell>
          <cell r="K822">
            <v>0.9</v>
          </cell>
          <cell r="L822">
            <v>1.9</v>
          </cell>
          <cell r="M822">
            <v>6.7</v>
          </cell>
          <cell r="N822" t="str">
            <v>1-Victron</v>
          </cell>
        </row>
        <row r="823">
          <cell r="A823" t="str">
            <v>B0822</v>
          </cell>
          <cell r="B823" t="str">
            <v>Fuses</v>
          </cell>
          <cell r="C823" t="str">
            <v>Victron</v>
          </cell>
          <cell r="D823" t="str">
            <v>MEGA-fuse 250A/32V (package of 5 pcs)</v>
          </cell>
          <cell r="E823" t="str">
            <v>CIP136250010</v>
          </cell>
          <cell r="F823" t="str">
            <v>MPN (Part #)</v>
          </cell>
          <cell r="G823">
            <v>0</v>
          </cell>
          <cell r="H823">
            <v>0</v>
          </cell>
          <cell r="I823">
            <v>0</v>
          </cell>
          <cell r="K823">
            <v>0.9</v>
          </cell>
          <cell r="L823">
            <v>1.9</v>
          </cell>
          <cell r="M823">
            <v>6.7</v>
          </cell>
          <cell r="N823" t="str">
            <v>1-Victron</v>
          </cell>
        </row>
        <row r="824">
          <cell r="A824" t="str">
            <v>B0823</v>
          </cell>
          <cell r="B824" t="str">
            <v>Fuses</v>
          </cell>
          <cell r="C824" t="str">
            <v>Victron</v>
          </cell>
          <cell r="D824" t="str">
            <v>MEGA-fuse 300A/32V (package of 5 pcs)</v>
          </cell>
          <cell r="E824" t="str">
            <v>CIP136300010</v>
          </cell>
          <cell r="F824" t="str">
            <v>MPN (Part #)</v>
          </cell>
          <cell r="G824">
            <v>0</v>
          </cell>
          <cell r="H824">
            <v>0</v>
          </cell>
          <cell r="I824">
            <v>0</v>
          </cell>
          <cell r="K824">
            <v>0.9</v>
          </cell>
          <cell r="L824">
            <v>1.9</v>
          </cell>
          <cell r="M824">
            <v>6.7</v>
          </cell>
          <cell r="N824" t="str">
            <v>1-Victron</v>
          </cell>
        </row>
        <row r="825">
          <cell r="A825" t="str">
            <v>B0824</v>
          </cell>
          <cell r="B825" t="str">
            <v>Fuses</v>
          </cell>
          <cell r="C825" t="str">
            <v>Victron</v>
          </cell>
          <cell r="D825" t="str">
            <v>MEGA-fuse 400A/32V (package of 5 pcs)</v>
          </cell>
          <cell r="E825" t="str">
            <v>CIP136400010</v>
          </cell>
          <cell r="F825" t="str">
            <v>MPN (Part #)</v>
          </cell>
          <cell r="G825">
            <v>0</v>
          </cell>
          <cell r="H825">
            <v>0</v>
          </cell>
          <cell r="I825">
            <v>0</v>
          </cell>
          <cell r="K825">
            <v>0.9</v>
          </cell>
          <cell r="L825">
            <v>1.9</v>
          </cell>
          <cell r="M825">
            <v>6.7</v>
          </cell>
          <cell r="N825" t="str">
            <v>1-Victron</v>
          </cell>
        </row>
        <row r="826">
          <cell r="A826" t="str">
            <v>B0825</v>
          </cell>
          <cell r="B826" t="str">
            <v>Fuses</v>
          </cell>
          <cell r="C826" t="str">
            <v>Victron</v>
          </cell>
          <cell r="D826" t="str">
            <v>MEGA-fuse 500A/32V (package of 5 pcs)</v>
          </cell>
          <cell r="E826" t="str">
            <v>CIP136500010</v>
          </cell>
          <cell r="F826" t="str">
            <v>MPN (Part #)</v>
          </cell>
          <cell r="G826">
            <v>0</v>
          </cell>
          <cell r="H826">
            <v>0</v>
          </cell>
          <cell r="I826">
            <v>0</v>
          </cell>
          <cell r="K826">
            <v>0.9</v>
          </cell>
          <cell r="L826">
            <v>1.9</v>
          </cell>
          <cell r="M826">
            <v>6.7</v>
          </cell>
          <cell r="N826" t="str">
            <v>1-Victron</v>
          </cell>
        </row>
        <row r="827">
          <cell r="A827" t="str">
            <v>B0826</v>
          </cell>
          <cell r="B827" t="str">
            <v>Fuses</v>
          </cell>
          <cell r="C827" t="str">
            <v>Victron</v>
          </cell>
          <cell r="D827" t="str">
            <v>MEGA-fuse 125A/58V for 48V products (1 pc)</v>
          </cell>
          <cell r="E827" t="str">
            <v>CIP137125010</v>
          </cell>
          <cell r="F827" t="str">
            <v>MPN (Part #)</v>
          </cell>
          <cell r="G827">
            <v>0</v>
          </cell>
          <cell r="H827">
            <v>0</v>
          </cell>
          <cell r="I827">
            <v>0</v>
          </cell>
          <cell r="K827">
            <v>0.9</v>
          </cell>
          <cell r="L827">
            <v>1.9</v>
          </cell>
          <cell r="M827">
            <v>6.7</v>
          </cell>
          <cell r="N827" t="str">
            <v>1-Victron</v>
          </cell>
        </row>
        <row r="828">
          <cell r="A828" t="str">
            <v>B0827</v>
          </cell>
          <cell r="B828" t="str">
            <v>Fuses</v>
          </cell>
          <cell r="C828" t="str">
            <v>Victron</v>
          </cell>
          <cell r="D828" t="str">
            <v>MEGA-fuse 200A/58V for 48V products (1 pc)</v>
          </cell>
          <cell r="E828" t="str">
            <v>CIP137200010</v>
          </cell>
          <cell r="F828" t="str">
            <v>MPN (Part #)</v>
          </cell>
          <cell r="G828">
            <v>0</v>
          </cell>
          <cell r="H828">
            <v>0</v>
          </cell>
          <cell r="I828">
            <v>0</v>
          </cell>
          <cell r="K828">
            <v>0.9</v>
          </cell>
          <cell r="L828">
            <v>1.9</v>
          </cell>
          <cell r="M828">
            <v>6.7</v>
          </cell>
          <cell r="N828" t="str">
            <v>1-Victron</v>
          </cell>
        </row>
        <row r="829">
          <cell r="A829" t="str">
            <v>B0828</v>
          </cell>
          <cell r="B829" t="str">
            <v>Fuses</v>
          </cell>
          <cell r="C829" t="str">
            <v>Victron</v>
          </cell>
          <cell r="D829" t="str">
            <v>MEGA-fuse 250A/58V for 48V products (1 pc)</v>
          </cell>
          <cell r="E829" t="str">
            <v>CIP137250010</v>
          </cell>
          <cell r="F829" t="str">
            <v>MPN (Part #)</v>
          </cell>
          <cell r="G829">
            <v>0</v>
          </cell>
          <cell r="H829">
            <v>0</v>
          </cell>
          <cell r="I829">
            <v>0</v>
          </cell>
          <cell r="K829">
            <v>0.9</v>
          </cell>
          <cell r="L829">
            <v>1.9</v>
          </cell>
          <cell r="M829">
            <v>6.7</v>
          </cell>
          <cell r="N829" t="str">
            <v>1-Victron</v>
          </cell>
        </row>
        <row r="830">
          <cell r="A830" t="str">
            <v>B0829</v>
          </cell>
          <cell r="B830" t="str">
            <v>Fuses</v>
          </cell>
          <cell r="C830" t="str">
            <v>Victron</v>
          </cell>
          <cell r="D830" t="str">
            <v>MEGA-fuse 300A/58V for 48V products (1 pc)</v>
          </cell>
          <cell r="E830" t="str">
            <v>CIP137300010</v>
          </cell>
          <cell r="F830" t="str">
            <v>MPN (Part #)</v>
          </cell>
          <cell r="G830">
            <v>0</v>
          </cell>
          <cell r="H830">
            <v>0</v>
          </cell>
          <cell r="I830">
            <v>0</v>
          </cell>
          <cell r="K830">
            <v>0.9</v>
          </cell>
          <cell r="L830">
            <v>1.9</v>
          </cell>
          <cell r="M830">
            <v>6.7</v>
          </cell>
          <cell r="N830" t="str">
            <v>1-Victron</v>
          </cell>
        </row>
        <row r="831">
          <cell r="A831" t="str">
            <v>B0830</v>
          </cell>
          <cell r="B831" t="str">
            <v>Fuses</v>
          </cell>
          <cell r="C831" t="str">
            <v>Victron</v>
          </cell>
          <cell r="D831" t="str">
            <v>Fuse holder for MEGA-fuse</v>
          </cell>
          <cell r="E831" t="str">
            <v>CIP000100001</v>
          </cell>
          <cell r="F831" t="str">
            <v>MPN (Part #)</v>
          </cell>
          <cell r="G831">
            <v>0</v>
          </cell>
          <cell r="H831">
            <v>0</v>
          </cell>
          <cell r="I831">
            <v>0</v>
          </cell>
          <cell r="K831">
            <v>3.9</v>
          </cell>
          <cell r="L831">
            <v>3.9</v>
          </cell>
          <cell r="M831">
            <v>9.6999999999999993</v>
          </cell>
          <cell r="N831" t="str">
            <v>1-Victron</v>
          </cell>
        </row>
        <row r="832">
          <cell r="A832" t="str">
            <v>B0831</v>
          </cell>
          <cell r="B832" t="str">
            <v>Fuses</v>
          </cell>
          <cell r="C832" t="str">
            <v>Victron</v>
          </cell>
          <cell r="D832" t="str">
            <v>Modular fuse holder for Mega-fuse</v>
          </cell>
          <cell r="E832" t="str">
            <v>CIP100200100</v>
          </cell>
          <cell r="F832" t="str">
            <v>MPN (Part #)</v>
          </cell>
          <cell r="G832">
            <v>0</v>
          </cell>
          <cell r="H832">
            <v>0</v>
          </cell>
          <cell r="I832">
            <v>0</v>
          </cell>
          <cell r="K832">
            <v>4.5</v>
          </cell>
          <cell r="L832">
            <v>3.3</v>
          </cell>
          <cell r="M832">
            <v>7.3</v>
          </cell>
          <cell r="N832" t="str">
            <v>1-Victron</v>
          </cell>
        </row>
        <row r="833">
          <cell r="A833" t="str">
            <v>B0832</v>
          </cell>
          <cell r="B833" t="str">
            <v>DC Distribution</v>
          </cell>
          <cell r="C833" t="str">
            <v>Victron</v>
          </cell>
          <cell r="D833" t="str">
            <v>Busbar to connect 5 CIP100200100 (500 A)</v>
          </cell>
          <cell r="E833" t="str">
            <v>CIP100400060</v>
          </cell>
          <cell r="F833" t="str">
            <v>MPN (Part #)</v>
          </cell>
          <cell r="G833">
            <v>0</v>
          </cell>
          <cell r="H833">
            <v>0</v>
          </cell>
          <cell r="I833">
            <v>0</v>
          </cell>
          <cell r="K833">
            <v>0.5</v>
          </cell>
          <cell r="L833">
            <v>4</v>
          </cell>
          <cell r="M833">
            <v>18</v>
          </cell>
          <cell r="N833" t="str">
            <v>1-Victron</v>
          </cell>
        </row>
        <row r="834">
          <cell r="A834" t="str">
            <v>B0833</v>
          </cell>
          <cell r="B834" t="str">
            <v>DC Distribution</v>
          </cell>
          <cell r="C834" t="str">
            <v>Victron</v>
          </cell>
          <cell r="D834" t="str">
            <v>Busbar to connect 6 CIP100200100 (1500 A)</v>
          </cell>
          <cell r="E834" t="str">
            <v>CIP100400070</v>
          </cell>
          <cell r="F834" t="str">
            <v>MPN (Part #)</v>
          </cell>
          <cell r="G834">
            <v>0</v>
          </cell>
          <cell r="H834">
            <v>0</v>
          </cell>
          <cell r="I834">
            <v>0</v>
          </cell>
          <cell r="K834">
            <v>0.5</v>
          </cell>
          <cell r="L834">
            <v>4</v>
          </cell>
          <cell r="M834">
            <v>24</v>
          </cell>
          <cell r="N834" t="str">
            <v>1-Victron</v>
          </cell>
        </row>
        <row r="835">
          <cell r="A835" t="str">
            <v>B0834</v>
          </cell>
          <cell r="B835" t="str">
            <v>Fuses</v>
          </cell>
          <cell r="C835" t="str">
            <v>Victron</v>
          </cell>
          <cell r="D835" t="str">
            <v>ANL-fuse 400A/80V for 48V products (1 pc)</v>
          </cell>
          <cell r="E835" t="str">
            <v>CIP142400000</v>
          </cell>
          <cell r="F835" t="str">
            <v>MPN (Part #)</v>
          </cell>
          <cell r="G835">
            <v>0</v>
          </cell>
          <cell r="H835">
            <v>0</v>
          </cell>
          <cell r="I835">
            <v>0</v>
          </cell>
          <cell r="K835">
            <v>1</v>
          </cell>
          <cell r="L835">
            <v>2</v>
          </cell>
          <cell r="M835">
            <v>8.1</v>
          </cell>
          <cell r="N835" t="str">
            <v>1-Victron</v>
          </cell>
        </row>
        <row r="836">
          <cell r="A836" t="str">
            <v>B0835</v>
          </cell>
          <cell r="B836" t="str">
            <v>Fuses</v>
          </cell>
          <cell r="C836" t="str">
            <v>Victron</v>
          </cell>
          <cell r="D836" t="str">
            <v>ANL-fuse 500A/80V for 48V products (1 pc)</v>
          </cell>
          <cell r="E836" t="str">
            <v>CIP142500000</v>
          </cell>
          <cell r="F836" t="str">
            <v>MPN (Part #)</v>
          </cell>
          <cell r="G836">
            <v>0</v>
          </cell>
          <cell r="H836">
            <v>0</v>
          </cell>
          <cell r="I836">
            <v>0</v>
          </cell>
          <cell r="K836">
            <v>1</v>
          </cell>
          <cell r="L836">
            <v>2</v>
          </cell>
          <cell r="M836">
            <v>8.1</v>
          </cell>
          <cell r="N836" t="str">
            <v>1-Victron</v>
          </cell>
        </row>
        <row r="837">
          <cell r="A837" t="str">
            <v>B0836</v>
          </cell>
          <cell r="B837" t="str">
            <v>Fuses</v>
          </cell>
          <cell r="C837" t="str">
            <v>Victron</v>
          </cell>
          <cell r="D837" t="str">
            <v>Fuse holder for ANL-fuse</v>
          </cell>
          <cell r="E837" t="str">
            <v>CIP106100000</v>
          </cell>
          <cell r="F837" t="str">
            <v>MPN (Part #)</v>
          </cell>
          <cell r="G837">
            <v>0</v>
          </cell>
          <cell r="H837">
            <v>0</v>
          </cell>
          <cell r="I837">
            <v>0</v>
          </cell>
          <cell r="K837">
            <v>4.4000000000000004</v>
          </cell>
          <cell r="L837">
            <v>2.5</v>
          </cell>
          <cell r="M837">
            <v>8.6999999999999993</v>
          </cell>
          <cell r="N837" t="str">
            <v>1-Victron</v>
          </cell>
        </row>
        <row r="838">
          <cell r="A838" t="str">
            <v>B0837</v>
          </cell>
          <cell r="B838" t="str">
            <v>Fuses</v>
          </cell>
          <cell r="C838" t="str">
            <v>Victron</v>
          </cell>
          <cell r="D838" t="str">
            <v xml:space="preserve">Fuse CNN 325A/80V for Lynx shunt </v>
          </cell>
          <cell r="E838" t="str">
            <v>CIP140325000</v>
          </cell>
          <cell r="F838" t="str">
            <v>MPN (Part #)</v>
          </cell>
          <cell r="G838">
            <v>0</v>
          </cell>
          <cell r="H838">
            <v>0</v>
          </cell>
          <cell r="I838">
            <v>0</v>
          </cell>
          <cell r="K838">
            <v>1.5</v>
          </cell>
          <cell r="L838">
            <v>8.1999999999999993</v>
          </cell>
          <cell r="M838">
            <v>2</v>
          </cell>
          <cell r="N838" t="str">
            <v>1-Victron</v>
          </cell>
        </row>
        <row r="839">
          <cell r="A839" t="str">
            <v>B0838</v>
          </cell>
          <cell r="B839" t="str">
            <v>Control</v>
          </cell>
          <cell r="C839" t="str">
            <v>Victron</v>
          </cell>
          <cell r="D839" t="str">
            <v>Octo GX</v>
          </cell>
          <cell r="E839" t="str">
            <v>BPP910200100</v>
          </cell>
          <cell r="F839" t="str">
            <v>MPN (Part #)</v>
          </cell>
          <cell r="G839">
            <v>0</v>
          </cell>
          <cell r="H839">
            <v>0</v>
          </cell>
          <cell r="I839">
            <v>0</v>
          </cell>
          <cell r="J839">
            <v>0.5</v>
          </cell>
          <cell r="K839">
            <v>6.1</v>
          </cell>
          <cell r="L839">
            <v>10.8</v>
          </cell>
          <cell r="M839">
            <v>9.5</v>
          </cell>
          <cell r="N839" t="str">
            <v>1-Victron</v>
          </cell>
        </row>
        <row r="840">
          <cell r="A840" t="str">
            <v>B0839</v>
          </cell>
          <cell r="B840" t="str">
            <v>Control</v>
          </cell>
          <cell r="C840" t="str">
            <v>Victron</v>
          </cell>
          <cell r="D840" t="str">
            <v>Cerbo GX</v>
          </cell>
          <cell r="E840" t="str">
            <v>BPP900450100</v>
          </cell>
          <cell r="F840" t="str">
            <v>MPN (Part #)</v>
          </cell>
          <cell r="G840">
            <v>492.05</v>
          </cell>
          <cell r="H840">
            <v>447.3</v>
          </cell>
          <cell r="I840">
            <v>0</v>
          </cell>
          <cell r="J840">
            <v>0.5</v>
          </cell>
          <cell r="K840">
            <v>7.8</v>
          </cell>
          <cell r="L840">
            <v>15.4</v>
          </cell>
          <cell r="M840">
            <v>4.8</v>
          </cell>
          <cell r="N840" t="str">
            <v>1-Victron</v>
          </cell>
        </row>
        <row r="841">
          <cell r="A841" t="str">
            <v>B0840</v>
          </cell>
          <cell r="B841" t="str">
            <v>Control</v>
          </cell>
          <cell r="C841" t="str">
            <v>Victron</v>
          </cell>
          <cell r="D841" t="str">
            <v>GX Touch 50</v>
          </cell>
          <cell r="E841" t="str">
            <v>BPP900455050</v>
          </cell>
          <cell r="F841" t="str">
            <v>MPN (Part #)</v>
          </cell>
          <cell r="G841">
            <v>374.20000000000005</v>
          </cell>
          <cell r="H841">
            <v>340.20000000000005</v>
          </cell>
          <cell r="I841">
            <v>0</v>
          </cell>
          <cell r="J841">
            <v>0.8</v>
          </cell>
          <cell r="K841">
            <v>15</v>
          </cell>
          <cell r="L841">
            <v>8</v>
          </cell>
          <cell r="M841">
            <v>4</v>
          </cell>
          <cell r="N841" t="str">
            <v>1-Victron</v>
          </cell>
        </row>
        <row r="842">
          <cell r="A842" t="str">
            <v>B0841</v>
          </cell>
          <cell r="B842" t="str">
            <v>Victron Accessories</v>
          </cell>
          <cell r="C842" t="str">
            <v>Victron</v>
          </cell>
          <cell r="D842" t="str">
            <v>DIN35 Adapter small</v>
          </cell>
          <cell r="E842" t="str">
            <v>ADA500100100</v>
          </cell>
          <cell r="F842" t="str">
            <v>MPN (Part #)</v>
          </cell>
          <cell r="G842">
            <v>0</v>
          </cell>
          <cell r="H842">
            <v>0</v>
          </cell>
          <cell r="I842">
            <v>0</v>
          </cell>
          <cell r="N842" t="str">
            <v>1-Victron</v>
          </cell>
        </row>
        <row r="843">
          <cell r="A843" t="str">
            <v>B0842</v>
          </cell>
          <cell r="B843" t="str">
            <v>Control</v>
          </cell>
          <cell r="C843" t="str">
            <v>Victron</v>
          </cell>
          <cell r="D843" t="str">
            <v>CANvu GX</v>
          </cell>
          <cell r="E843" t="str">
            <v>BPP900700100</v>
          </cell>
          <cell r="F843" t="str">
            <v>MPN (Part #)</v>
          </cell>
          <cell r="G843">
            <v>0</v>
          </cell>
          <cell r="H843">
            <v>0</v>
          </cell>
          <cell r="I843">
            <v>0</v>
          </cell>
          <cell r="K843">
            <v>15</v>
          </cell>
          <cell r="L843">
            <v>8</v>
          </cell>
          <cell r="M843">
            <v>4</v>
          </cell>
          <cell r="N843" t="str">
            <v>1-Victron</v>
          </cell>
        </row>
        <row r="844">
          <cell r="A844" t="str">
            <v>B0843</v>
          </cell>
          <cell r="B844" t="str">
            <v>Control</v>
          </cell>
          <cell r="C844" t="str">
            <v>Victron</v>
          </cell>
          <cell r="D844" t="str">
            <v>CANvu GX IO Extender and wiring kit</v>
          </cell>
          <cell r="E844" t="str">
            <v>BPP900800100</v>
          </cell>
          <cell r="F844" t="str">
            <v>MPN (Part #)</v>
          </cell>
          <cell r="G844">
            <v>0</v>
          </cell>
          <cell r="H844">
            <v>0</v>
          </cell>
          <cell r="I844">
            <v>0</v>
          </cell>
          <cell r="K844">
            <v>15</v>
          </cell>
          <cell r="L844">
            <v>8</v>
          </cell>
          <cell r="M844">
            <v>4</v>
          </cell>
          <cell r="N844" t="str">
            <v>1-Victron</v>
          </cell>
        </row>
        <row r="845">
          <cell r="A845" t="str">
            <v>B0844</v>
          </cell>
          <cell r="B845" t="str">
            <v>Control</v>
          </cell>
          <cell r="C845" t="str">
            <v>Victron</v>
          </cell>
          <cell r="D845" t="str">
            <v>CCGX WiFi module simple</v>
          </cell>
          <cell r="E845" t="str">
            <v>BPP900100200</v>
          </cell>
          <cell r="F845" t="str">
            <v>MPN (Part #)</v>
          </cell>
          <cell r="G845">
            <v>37.6</v>
          </cell>
          <cell r="H845">
            <v>34.200000000000003</v>
          </cell>
          <cell r="I845">
            <v>0</v>
          </cell>
          <cell r="J845">
            <v>0.2</v>
          </cell>
          <cell r="K845">
            <v>15</v>
          </cell>
          <cell r="L845">
            <v>8</v>
          </cell>
          <cell r="M845">
            <v>4</v>
          </cell>
          <cell r="N845" t="str">
            <v>1-Victron</v>
          </cell>
        </row>
        <row r="846">
          <cell r="A846" t="str">
            <v>B0845</v>
          </cell>
          <cell r="B846" t="str">
            <v>Control</v>
          </cell>
          <cell r="C846" t="str">
            <v>Victron</v>
          </cell>
          <cell r="D846" t="str">
            <v>CCGX WiFi module long range</v>
          </cell>
          <cell r="E846" t="str">
            <v>BPP900200300</v>
          </cell>
          <cell r="F846" t="str">
            <v>MPN (Part #)</v>
          </cell>
          <cell r="G846">
            <v>0</v>
          </cell>
          <cell r="H846">
            <v>0</v>
          </cell>
          <cell r="I846">
            <v>0</v>
          </cell>
          <cell r="J846">
            <v>0.2</v>
          </cell>
          <cell r="K846">
            <v>15</v>
          </cell>
          <cell r="L846">
            <v>8</v>
          </cell>
          <cell r="M846">
            <v>4</v>
          </cell>
          <cell r="N846" t="str">
            <v>1-Victron</v>
          </cell>
        </row>
        <row r="847">
          <cell r="A847" t="str">
            <v>B0846</v>
          </cell>
          <cell r="B847" t="str">
            <v>Control</v>
          </cell>
          <cell r="C847" t="str">
            <v>Victron</v>
          </cell>
          <cell r="D847" t="str">
            <v>VE.Net Panel</v>
          </cell>
          <cell r="E847" t="str">
            <v>VPN000100000</v>
          </cell>
          <cell r="F847" t="str">
            <v>MPN (Part #)</v>
          </cell>
          <cell r="G847">
            <v>0</v>
          </cell>
          <cell r="H847">
            <v>0</v>
          </cell>
          <cell r="I847">
            <v>0</v>
          </cell>
          <cell r="K847">
            <v>6.5</v>
          </cell>
          <cell r="L847">
            <v>12</v>
          </cell>
          <cell r="M847">
            <v>4</v>
          </cell>
          <cell r="N847" t="str">
            <v>1-Victron</v>
          </cell>
        </row>
        <row r="848">
          <cell r="A848" t="str">
            <v>B0847</v>
          </cell>
          <cell r="B848" t="str">
            <v>Control</v>
          </cell>
          <cell r="C848" t="str">
            <v>Victron</v>
          </cell>
          <cell r="D848" t="str">
            <v xml:space="preserve">VE.Net GMDSS Panel </v>
          </cell>
          <cell r="E848" t="str">
            <v>VPN000200000</v>
          </cell>
          <cell r="F848" t="str">
            <v>MPN (Part #)</v>
          </cell>
          <cell r="G848">
            <v>0</v>
          </cell>
          <cell r="H848">
            <v>0</v>
          </cell>
          <cell r="I848">
            <v>0</v>
          </cell>
          <cell r="K848">
            <v>6.5</v>
          </cell>
          <cell r="L848">
            <v>12</v>
          </cell>
          <cell r="M848">
            <v>4</v>
          </cell>
          <cell r="N848" t="str">
            <v>1-Victron</v>
          </cell>
        </row>
        <row r="849">
          <cell r="A849" t="str">
            <v>B0848</v>
          </cell>
          <cell r="B849" t="str">
            <v>Control</v>
          </cell>
          <cell r="C849" t="str">
            <v>Victron</v>
          </cell>
          <cell r="D849" t="str">
            <v xml:space="preserve">VE.Net Blue Power Panel 2 </v>
          </cell>
          <cell r="E849" t="str">
            <v>BPP000200010</v>
          </cell>
          <cell r="F849" t="str">
            <v>MPN (Part #)</v>
          </cell>
          <cell r="G849">
            <v>0</v>
          </cell>
          <cell r="H849">
            <v>0</v>
          </cell>
          <cell r="I849">
            <v>0</v>
          </cell>
          <cell r="K849">
            <v>13</v>
          </cell>
          <cell r="L849">
            <v>12</v>
          </cell>
          <cell r="M849">
            <v>4</v>
          </cell>
          <cell r="N849" t="str">
            <v>1-Victron</v>
          </cell>
        </row>
        <row r="850">
          <cell r="A850" t="str">
            <v>B0849</v>
          </cell>
          <cell r="B850" t="str">
            <v>Control</v>
          </cell>
          <cell r="C850" t="str">
            <v>Victron</v>
          </cell>
          <cell r="D850" t="str">
            <v xml:space="preserve">VE.Net Blue Power Control GX    </v>
          </cell>
          <cell r="E850" t="str">
            <v>BPP000200110R</v>
          </cell>
          <cell r="F850" t="str">
            <v>MPN (Part #)</v>
          </cell>
          <cell r="G850">
            <v>0</v>
          </cell>
          <cell r="H850">
            <v>0</v>
          </cell>
          <cell r="I850">
            <v>0</v>
          </cell>
          <cell r="K850">
            <v>13</v>
          </cell>
          <cell r="L850">
            <v>12</v>
          </cell>
          <cell r="M850">
            <v>4</v>
          </cell>
          <cell r="N850" t="str">
            <v>1-Victron</v>
          </cell>
        </row>
        <row r="851">
          <cell r="A851" t="str">
            <v>B0850</v>
          </cell>
          <cell r="B851" t="str">
            <v>Control</v>
          </cell>
          <cell r="C851" t="str">
            <v>Victron</v>
          </cell>
          <cell r="D851" t="str">
            <v>VE.Net Battery Controller (VBC) 12/24/48V</v>
          </cell>
          <cell r="E851" t="str">
            <v>VBC000300000R</v>
          </cell>
          <cell r="F851" t="str">
            <v>MPN (Part #)</v>
          </cell>
          <cell r="G851">
            <v>0</v>
          </cell>
          <cell r="H851">
            <v>0</v>
          </cell>
          <cell r="I851">
            <v>0</v>
          </cell>
          <cell r="K851">
            <v>10.5</v>
          </cell>
          <cell r="L851">
            <v>7.5</v>
          </cell>
          <cell r="M851">
            <v>2.2000000000000002</v>
          </cell>
          <cell r="N851" t="str">
            <v>1-Victron</v>
          </cell>
        </row>
        <row r="852">
          <cell r="A852" t="str">
            <v>B0851</v>
          </cell>
          <cell r="B852" t="str">
            <v>DC Distribution</v>
          </cell>
          <cell r="C852" t="str">
            <v>Victron</v>
          </cell>
          <cell r="D852" t="str">
            <v>Shunt 500A/50mV</v>
          </cell>
          <cell r="E852" t="str">
            <v>SHU500050100</v>
          </cell>
          <cell r="F852" t="str">
            <v>MPN (Part #)</v>
          </cell>
          <cell r="G852">
            <v>0</v>
          </cell>
          <cell r="H852">
            <v>0</v>
          </cell>
          <cell r="I852">
            <v>0</v>
          </cell>
          <cell r="K852">
            <v>4.5</v>
          </cell>
          <cell r="L852">
            <v>2.8</v>
          </cell>
          <cell r="M852">
            <v>12</v>
          </cell>
          <cell r="N852" t="str">
            <v>1-Victron</v>
          </cell>
        </row>
        <row r="853">
          <cell r="A853" t="str">
            <v>B0852</v>
          </cell>
          <cell r="B853" t="str">
            <v>DC Distribution</v>
          </cell>
          <cell r="C853" t="str">
            <v>Victron</v>
          </cell>
          <cell r="D853" t="str">
            <v>Shunt 1000A/50mV</v>
          </cell>
          <cell r="E853" t="str">
            <v>SHU102050200</v>
          </cell>
          <cell r="F853" t="str">
            <v>MPN (Part #)</v>
          </cell>
          <cell r="G853">
            <v>0</v>
          </cell>
          <cell r="H853">
            <v>0</v>
          </cell>
          <cell r="I853">
            <v>0</v>
          </cell>
          <cell r="K853">
            <v>8</v>
          </cell>
          <cell r="L853">
            <v>3</v>
          </cell>
          <cell r="M853">
            <v>0</v>
          </cell>
          <cell r="N853" t="str">
            <v>1-Victron</v>
          </cell>
        </row>
        <row r="854">
          <cell r="A854" t="str">
            <v>B0853</v>
          </cell>
          <cell r="B854" t="str">
            <v>DC Distribution</v>
          </cell>
          <cell r="C854" t="str">
            <v>Victron</v>
          </cell>
          <cell r="D854" t="str">
            <v>Shunt 2000A/50mV</v>
          </cell>
          <cell r="E854" t="str">
            <v>SHU202050200</v>
          </cell>
          <cell r="F854" t="str">
            <v>MPN (Part #)</v>
          </cell>
          <cell r="G854">
            <v>0</v>
          </cell>
          <cell r="H854">
            <v>0</v>
          </cell>
          <cell r="I854">
            <v>0</v>
          </cell>
          <cell r="K854">
            <v>8</v>
          </cell>
          <cell r="L854">
            <v>5</v>
          </cell>
          <cell r="M854">
            <v>0</v>
          </cell>
          <cell r="N854" t="str">
            <v>1-Victron</v>
          </cell>
        </row>
        <row r="855">
          <cell r="A855" t="str">
            <v>B0854</v>
          </cell>
          <cell r="B855" t="str">
            <v>DC Distribution</v>
          </cell>
          <cell r="C855" t="str">
            <v>Victron</v>
          </cell>
          <cell r="D855" t="str">
            <v>Shunt 6000A/50mV</v>
          </cell>
          <cell r="E855" t="str">
            <v>SHU602050200</v>
          </cell>
          <cell r="F855" t="str">
            <v>MPN (Part #)</v>
          </cell>
          <cell r="G855">
            <v>0</v>
          </cell>
          <cell r="H855">
            <v>0</v>
          </cell>
          <cell r="I855">
            <v>0</v>
          </cell>
          <cell r="K855">
            <v>13.5</v>
          </cell>
          <cell r="L855">
            <v>6</v>
          </cell>
          <cell r="M855">
            <v>16.8</v>
          </cell>
          <cell r="N855" t="str">
            <v>1-Victron</v>
          </cell>
        </row>
        <row r="856">
          <cell r="A856" t="str">
            <v>B0855</v>
          </cell>
          <cell r="B856" t="str">
            <v>Monitoring</v>
          </cell>
          <cell r="C856" t="str">
            <v>Victron</v>
          </cell>
          <cell r="D856" t="str">
            <v>VE.Net Tank Monitor (Resistive)</v>
          </cell>
          <cell r="E856" t="str">
            <v>VRS000100010</v>
          </cell>
          <cell r="F856" t="str">
            <v>MPN (Part #)</v>
          </cell>
          <cell r="G856">
            <v>0</v>
          </cell>
          <cell r="H856">
            <v>0</v>
          </cell>
          <cell r="I856">
            <v>0</v>
          </cell>
          <cell r="K856">
            <v>10.5</v>
          </cell>
          <cell r="L856">
            <v>7.5</v>
          </cell>
          <cell r="M856">
            <v>2.2000000000000002</v>
          </cell>
          <cell r="N856" t="str">
            <v>1-Victron</v>
          </cell>
        </row>
        <row r="857">
          <cell r="A857" t="str">
            <v>B0856</v>
          </cell>
          <cell r="B857" t="str">
            <v>Monitoring</v>
          </cell>
          <cell r="C857" t="str">
            <v>Victron</v>
          </cell>
          <cell r="D857" t="str">
            <v>VE.Can resistive tank sender adapter</v>
          </cell>
          <cell r="E857" t="str">
            <v>BPP900600100</v>
          </cell>
          <cell r="F857" t="str">
            <v>MPN (Part #)</v>
          </cell>
          <cell r="G857">
            <v>0</v>
          </cell>
          <cell r="H857">
            <v>0</v>
          </cell>
          <cell r="I857">
            <v>0</v>
          </cell>
          <cell r="N857" t="str">
            <v>1-Victron</v>
          </cell>
        </row>
        <row r="858">
          <cell r="A858" t="str">
            <v>B0857</v>
          </cell>
          <cell r="B858" t="str">
            <v>Monitoring</v>
          </cell>
          <cell r="C858" t="str">
            <v>Victron</v>
          </cell>
          <cell r="D858" t="str">
            <v>VE.Can Power Cable for BPP900600100</v>
          </cell>
          <cell r="E858" t="str">
            <v>ASS030690000</v>
          </cell>
          <cell r="F858" t="str">
            <v>MPN (Part #)</v>
          </cell>
          <cell r="G858">
            <v>0</v>
          </cell>
          <cell r="H858">
            <v>0</v>
          </cell>
          <cell r="I858">
            <v>0</v>
          </cell>
          <cell r="N858" t="str">
            <v>1-Victron</v>
          </cell>
        </row>
        <row r="859">
          <cell r="A859" t="str">
            <v>B0858</v>
          </cell>
          <cell r="B859" t="str">
            <v>Control</v>
          </cell>
          <cell r="C859" t="str">
            <v>Victron</v>
          </cell>
          <cell r="D859" t="str">
            <v>Digital Multi Control 200/200A GX (90º RJ45)</v>
          </cell>
          <cell r="E859" t="str">
            <v>DMC000200010R</v>
          </cell>
          <cell r="F859" t="str">
            <v>MPN (Part #)</v>
          </cell>
          <cell r="G859">
            <v>0</v>
          </cell>
          <cell r="H859">
            <v>0</v>
          </cell>
          <cell r="I859">
            <v>0</v>
          </cell>
          <cell r="K859">
            <v>6.5</v>
          </cell>
          <cell r="L859">
            <v>12</v>
          </cell>
          <cell r="M859">
            <v>4</v>
          </cell>
          <cell r="N859" t="str">
            <v>1-Victron</v>
          </cell>
        </row>
        <row r="860">
          <cell r="A860" t="str">
            <v>B0859</v>
          </cell>
          <cell r="B860" t="str">
            <v>Control</v>
          </cell>
          <cell r="C860" t="str">
            <v>Victron</v>
          </cell>
          <cell r="D860" t="str">
            <v xml:space="preserve">Phoenix Inverter Control </v>
          </cell>
          <cell r="E860" t="str">
            <v>REC030001210</v>
          </cell>
          <cell r="F860" t="str">
            <v>MPN (Part #)</v>
          </cell>
          <cell r="G860">
            <v>0</v>
          </cell>
          <cell r="H860">
            <v>0</v>
          </cell>
          <cell r="I860">
            <v>0</v>
          </cell>
          <cell r="K860">
            <v>6.5</v>
          </cell>
          <cell r="L860">
            <v>6</v>
          </cell>
          <cell r="M860">
            <v>4</v>
          </cell>
          <cell r="N860" t="str">
            <v>1-Victron</v>
          </cell>
        </row>
        <row r="861">
          <cell r="A861" t="str">
            <v>B0860</v>
          </cell>
          <cell r="B861" t="str">
            <v>Control</v>
          </cell>
          <cell r="C861" t="str">
            <v>Victron</v>
          </cell>
          <cell r="D861" t="str">
            <v xml:space="preserve">Phoenix Charger Control </v>
          </cell>
          <cell r="E861" t="str">
            <v>REC010001110</v>
          </cell>
          <cell r="F861" t="str">
            <v>MPN (Part #)</v>
          </cell>
          <cell r="G861">
            <v>0</v>
          </cell>
          <cell r="H861">
            <v>0</v>
          </cell>
          <cell r="I861">
            <v>0</v>
          </cell>
          <cell r="K861">
            <v>6.5</v>
          </cell>
          <cell r="L861">
            <v>12</v>
          </cell>
          <cell r="M861">
            <v>4</v>
          </cell>
          <cell r="N861" t="str">
            <v>1-Victron</v>
          </cell>
        </row>
        <row r="862">
          <cell r="A862" t="str">
            <v>B0861</v>
          </cell>
          <cell r="B862" t="str">
            <v>Control</v>
          </cell>
          <cell r="C862" t="str">
            <v>Victron</v>
          </cell>
          <cell r="D862" t="str">
            <v>Phoenix Inverter Control VE.Direct</v>
          </cell>
          <cell r="E862" t="str">
            <v>REC040010210R</v>
          </cell>
          <cell r="F862" t="str">
            <v>MPN (Part #)</v>
          </cell>
          <cell r="G862">
            <v>0</v>
          </cell>
          <cell r="H862">
            <v>0</v>
          </cell>
          <cell r="I862">
            <v>0</v>
          </cell>
          <cell r="K862">
            <v>6.5</v>
          </cell>
          <cell r="L862">
            <v>6</v>
          </cell>
          <cell r="M862">
            <v>4</v>
          </cell>
          <cell r="N862" t="str">
            <v>1-Victron</v>
          </cell>
        </row>
        <row r="863">
          <cell r="A863" t="str">
            <v>B0862</v>
          </cell>
          <cell r="B863" t="str">
            <v>Control</v>
          </cell>
          <cell r="C863" t="str">
            <v>Victron</v>
          </cell>
          <cell r="D863" t="str">
            <v>Skylla-i Control GX (90º RJ45)</v>
          </cell>
          <cell r="E863" t="str">
            <v>REC000300010R</v>
          </cell>
          <cell r="F863" t="str">
            <v>MPN (Part #)</v>
          </cell>
          <cell r="G863">
            <v>0</v>
          </cell>
          <cell r="H863">
            <v>0</v>
          </cell>
          <cell r="I863">
            <v>0</v>
          </cell>
          <cell r="K863">
            <v>6.5</v>
          </cell>
          <cell r="L863">
            <v>12</v>
          </cell>
          <cell r="M863">
            <v>4</v>
          </cell>
          <cell r="N863" t="str">
            <v>1-Victron</v>
          </cell>
        </row>
        <row r="864">
          <cell r="A864" t="str">
            <v>B0863</v>
          </cell>
          <cell r="B864" t="str">
            <v>Control</v>
          </cell>
          <cell r="C864" t="str">
            <v>Victron</v>
          </cell>
          <cell r="D864" t="str">
            <v xml:space="preserve">Charger Switch    </v>
          </cell>
          <cell r="E864" t="str">
            <v>SDRPCSV</v>
          </cell>
          <cell r="F864" t="str">
            <v>MPN (Part #)</v>
          </cell>
          <cell r="G864">
            <v>0</v>
          </cell>
          <cell r="H864">
            <v>0</v>
          </cell>
          <cell r="I864">
            <v>0</v>
          </cell>
          <cell r="K864">
            <v>6.5</v>
          </cell>
          <cell r="L864">
            <v>6</v>
          </cell>
          <cell r="M864">
            <v>4</v>
          </cell>
          <cell r="N864" t="str">
            <v>1-Victron</v>
          </cell>
        </row>
        <row r="865">
          <cell r="A865" t="str">
            <v>B0864</v>
          </cell>
          <cell r="B865" t="str">
            <v>Control</v>
          </cell>
          <cell r="C865" t="str">
            <v>Victron</v>
          </cell>
          <cell r="D865" t="str">
            <v xml:space="preserve">Skylla Control  </v>
          </cell>
          <cell r="E865" t="str">
            <v>SDRPSKC</v>
          </cell>
          <cell r="F865" t="str">
            <v>MPN (Part #)</v>
          </cell>
          <cell r="G865">
            <v>0</v>
          </cell>
          <cell r="H865">
            <v>0</v>
          </cell>
          <cell r="I865">
            <v>0</v>
          </cell>
          <cell r="K865">
            <v>6.5</v>
          </cell>
          <cell r="L865">
            <v>12</v>
          </cell>
          <cell r="M865">
            <v>4</v>
          </cell>
          <cell r="N865" t="str">
            <v>1-Victron</v>
          </cell>
        </row>
        <row r="866">
          <cell r="A866" t="str">
            <v>B0865</v>
          </cell>
          <cell r="B866" t="str">
            <v>Monitoring</v>
          </cell>
          <cell r="C866" t="str">
            <v>Victron</v>
          </cell>
          <cell r="D866" t="str">
            <v>Battery Alarm GX</v>
          </cell>
          <cell r="E866" t="str">
            <v>BPA000100010R</v>
          </cell>
          <cell r="F866" t="str">
            <v>MPN (Part #)</v>
          </cell>
          <cell r="G866">
            <v>0</v>
          </cell>
          <cell r="H866">
            <v>0</v>
          </cell>
          <cell r="I866">
            <v>0</v>
          </cell>
          <cell r="K866">
            <v>6.5</v>
          </cell>
          <cell r="L866">
            <v>12</v>
          </cell>
          <cell r="M866">
            <v>4</v>
          </cell>
          <cell r="N866" t="str">
            <v>1-Victron</v>
          </cell>
        </row>
        <row r="867">
          <cell r="A867" t="str">
            <v>B0866</v>
          </cell>
          <cell r="B867" t="str">
            <v>Inverters</v>
          </cell>
          <cell r="C867" t="str">
            <v>Goodwe</v>
          </cell>
          <cell r="D867" t="str">
            <v xml:space="preserve">NS Series 1.5KW </v>
          </cell>
          <cell r="E867" t="str">
            <v>GW1500-NS</v>
          </cell>
          <cell r="F867" t="str">
            <v>MPN (Part #)</v>
          </cell>
          <cell r="G867">
            <v>727.95</v>
          </cell>
          <cell r="H867">
            <v>661.75</v>
          </cell>
          <cell r="I867">
            <v>0</v>
          </cell>
          <cell r="J867">
            <v>7.5</v>
          </cell>
          <cell r="K867">
            <v>27.5</v>
          </cell>
          <cell r="L867">
            <v>34.4</v>
          </cell>
          <cell r="M867">
            <v>12.8</v>
          </cell>
          <cell r="N867" t="str">
            <v>2-Krannich</v>
          </cell>
        </row>
        <row r="868">
          <cell r="A868" t="str">
            <v>B0867</v>
          </cell>
          <cell r="B868" t="str">
            <v>Monitoring</v>
          </cell>
          <cell r="C868" t="str">
            <v>Victron</v>
          </cell>
          <cell r="D868" t="str">
            <v>Outdoor 2G and 3G GSM Antenna for GX GSM</v>
          </cell>
          <cell r="E868" t="str">
            <v>GSM900100100</v>
          </cell>
          <cell r="F868" t="str">
            <v>MPN (Part #)</v>
          </cell>
          <cell r="G868">
            <v>0</v>
          </cell>
          <cell r="H868">
            <v>0</v>
          </cell>
          <cell r="I868">
            <v>0</v>
          </cell>
          <cell r="N868" t="str">
            <v>1-Victron</v>
          </cell>
        </row>
        <row r="869">
          <cell r="A869" t="str">
            <v>B0868</v>
          </cell>
          <cell r="B869" t="str">
            <v>Monitoring</v>
          </cell>
          <cell r="C869" t="str">
            <v>Victron</v>
          </cell>
          <cell r="D869" t="str">
            <v>Active GPS Antenna for GX GSM</v>
          </cell>
          <cell r="E869" t="str">
            <v>GSM900200100</v>
          </cell>
          <cell r="F869" t="str">
            <v>MPN (Part #)</v>
          </cell>
          <cell r="G869">
            <v>0</v>
          </cell>
          <cell r="H869">
            <v>0</v>
          </cell>
          <cell r="I869">
            <v>0</v>
          </cell>
          <cell r="N869" t="str">
            <v>1-Victron</v>
          </cell>
        </row>
        <row r="870">
          <cell r="A870" t="str">
            <v>B0869</v>
          </cell>
          <cell r="B870" t="str">
            <v>Inverters</v>
          </cell>
          <cell r="C870" t="str">
            <v>Goodwe</v>
          </cell>
          <cell r="D870" t="str">
            <v>NS Series 2.0KW</v>
          </cell>
          <cell r="E870" t="str">
            <v>GW2000-NS</v>
          </cell>
          <cell r="F870" t="str">
            <v>MPN (Part #)</v>
          </cell>
          <cell r="G870">
            <v>768.40000000000009</v>
          </cell>
          <cell r="H870">
            <v>698.55000000000007</v>
          </cell>
          <cell r="I870">
            <v>0</v>
          </cell>
          <cell r="J870">
            <v>7.5</v>
          </cell>
          <cell r="K870">
            <v>27.5</v>
          </cell>
          <cell r="L870">
            <v>34.4</v>
          </cell>
          <cell r="M870">
            <v>12.8</v>
          </cell>
          <cell r="N870" t="str">
            <v>2-Krannich</v>
          </cell>
        </row>
        <row r="871">
          <cell r="A871" t="str">
            <v>B0870</v>
          </cell>
          <cell r="C871" t="str">
            <v>Victron</v>
          </cell>
          <cell r="D871" t="str">
            <v>Wall mount enclosure for 65 x 120 mm GX-panels</v>
          </cell>
          <cell r="E871" t="str">
            <v>ASS050300010</v>
          </cell>
          <cell r="F871" t="str">
            <v>MPN (Part #)</v>
          </cell>
          <cell r="G871">
            <v>0</v>
          </cell>
          <cell r="H871">
            <v>0</v>
          </cell>
          <cell r="I871">
            <v>0</v>
          </cell>
          <cell r="K871">
            <v>8</v>
          </cell>
          <cell r="L871">
            <v>15</v>
          </cell>
          <cell r="M871">
            <v>5</v>
          </cell>
          <cell r="N871" t="str">
            <v>1-Victron</v>
          </cell>
        </row>
        <row r="872">
          <cell r="A872" t="str">
            <v>B0871</v>
          </cell>
          <cell r="B872" t="str">
            <v>Control</v>
          </cell>
          <cell r="C872" t="str">
            <v>Victron</v>
          </cell>
          <cell r="D872" t="str">
            <v>Wall mount enclosure for BMV or MPPT Control</v>
          </cell>
          <cell r="E872" t="str">
            <v>ASS050500000</v>
          </cell>
          <cell r="F872" t="str">
            <v>MPN (Part #)</v>
          </cell>
          <cell r="G872">
            <v>0</v>
          </cell>
          <cell r="H872">
            <v>0</v>
          </cell>
          <cell r="I872">
            <v>0</v>
          </cell>
          <cell r="K872">
            <v>13</v>
          </cell>
          <cell r="L872">
            <v>8.5</v>
          </cell>
          <cell r="M872">
            <v>4.5</v>
          </cell>
          <cell r="N872" t="str">
            <v>1-Victron</v>
          </cell>
        </row>
        <row r="873">
          <cell r="A873" t="str">
            <v>B0872</v>
          </cell>
          <cell r="C873" t="str">
            <v>Victron</v>
          </cell>
          <cell r="D873" t="str">
            <v>Wall mount enclosure for Color Control GX</v>
          </cell>
          <cell r="E873" t="str">
            <v>ASS050600000</v>
          </cell>
          <cell r="F873" t="str">
            <v>MPN (Part #)</v>
          </cell>
          <cell r="G873">
            <v>0</v>
          </cell>
          <cell r="H873">
            <v>0</v>
          </cell>
          <cell r="I873">
            <v>0</v>
          </cell>
          <cell r="K873">
            <v>24.5</v>
          </cell>
          <cell r="L873">
            <v>13.5</v>
          </cell>
          <cell r="M873">
            <v>6.5</v>
          </cell>
          <cell r="N873" t="str">
            <v>1-Victron</v>
          </cell>
        </row>
        <row r="874">
          <cell r="A874" t="str">
            <v>B0873</v>
          </cell>
          <cell r="C874" t="str">
            <v>Victron</v>
          </cell>
          <cell r="D874" t="str">
            <v>USB extension cable 0.3m one side right angle</v>
          </cell>
          <cell r="E874" t="str">
            <v>ASS060000100</v>
          </cell>
          <cell r="F874" t="str">
            <v>MPN (Part #)</v>
          </cell>
          <cell r="G874">
            <v>0</v>
          </cell>
          <cell r="H874">
            <v>0</v>
          </cell>
          <cell r="I874">
            <v>0</v>
          </cell>
          <cell r="N874" t="str">
            <v>1-Victron</v>
          </cell>
        </row>
        <row r="875">
          <cell r="A875" t="str">
            <v>B0874</v>
          </cell>
          <cell r="C875" t="str">
            <v>Victron</v>
          </cell>
          <cell r="D875" t="str">
            <v>RJ12 UTP Cable 0.3 m</v>
          </cell>
          <cell r="E875" t="str">
            <v>ASS030066003</v>
          </cell>
          <cell r="F875" t="str">
            <v>MPN (Part #)</v>
          </cell>
          <cell r="G875">
            <v>13.850000000000001</v>
          </cell>
          <cell r="H875">
            <v>12.600000000000001</v>
          </cell>
          <cell r="I875">
            <v>0</v>
          </cell>
          <cell r="N875" t="str">
            <v>1-Victron</v>
          </cell>
        </row>
        <row r="876">
          <cell r="A876" t="str">
            <v>B0875</v>
          </cell>
          <cell r="C876" t="str">
            <v>Victron</v>
          </cell>
          <cell r="D876" t="str">
            <v>RJ12 UTP Cable 0.9 m</v>
          </cell>
          <cell r="E876" t="str">
            <v>ASS030066009</v>
          </cell>
          <cell r="F876" t="str">
            <v>MPN (Part #)</v>
          </cell>
          <cell r="G876">
            <v>13.850000000000001</v>
          </cell>
          <cell r="H876">
            <v>12.600000000000001</v>
          </cell>
          <cell r="I876">
            <v>0</v>
          </cell>
          <cell r="N876" t="str">
            <v>1-Victron</v>
          </cell>
        </row>
        <row r="877">
          <cell r="A877" t="str">
            <v>B0876</v>
          </cell>
          <cell r="B877" t="str">
            <v>Inverters</v>
          </cell>
          <cell r="C877" t="str">
            <v>Goodwe</v>
          </cell>
          <cell r="D877" t="str">
            <v>NS Series 2.5KW</v>
          </cell>
          <cell r="E877" t="str">
            <v>GW2500-NS</v>
          </cell>
          <cell r="F877" t="str">
            <v>MPN (Part #)</v>
          </cell>
          <cell r="G877">
            <v>807.2</v>
          </cell>
          <cell r="H877">
            <v>733.80000000000007</v>
          </cell>
          <cell r="I877">
            <v>0</v>
          </cell>
          <cell r="J877">
            <v>8.5</v>
          </cell>
          <cell r="K877">
            <v>27.5</v>
          </cell>
          <cell r="L877">
            <v>34.4</v>
          </cell>
          <cell r="M877">
            <v>12.8</v>
          </cell>
          <cell r="N877" t="str">
            <v>2-Krannich</v>
          </cell>
        </row>
        <row r="878">
          <cell r="A878" t="str">
            <v>B0877</v>
          </cell>
          <cell r="C878" t="str">
            <v>Victron</v>
          </cell>
          <cell r="D878" t="str">
            <v>RJ12 UTP Cable 3 m</v>
          </cell>
          <cell r="E878" t="str">
            <v>ASS030066030</v>
          </cell>
          <cell r="F878" t="str">
            <v>MPN (Part #)</v>
          </cell>
          <cell r="G878">
            <v>0</v>
          </cell>
          <cell r="H878">
            <v>0</v>
          </cell>
          <cell r="I878">
            <v>0</v>
          </cell>
          <cell r="N878" t="str">
            <v>1-Victron</v>
          </cell>
        </row>
        <row r="879">
          <cell r="A879" t="str">
            <v>B0878</v>
          </cell>
          <cell r="C879" t="str">
            <v>Victron</v>
          </cell>
          <cell r="D879" t="str">
            <v>RJ12 UTP Cable 5 m</v>
          </cell>
          <cell r="E879" t="str">
            <v>ASS030066050</v>
          </cell>
          <cell r="F879" t="str">
            <v>MPN (Part #)</v>
          </cell>
          <cell r="G879">
            <v>0</v>
          </cell>
          <cell r="H879">
            <v>0</v>
          </cell>
          <cell r="I879">
            <v>0</v>
          </cell>
          <cell r="N879" t="str">
            <v>1-Victron</v>
          </cell>
        </row>
        <row r="880">
          <cell r="A880" t="str">
            <v>B0879</v>
          </cell>
          <cell r="C880" t="str">
            <v>Victron</v>
          </cell>
          <cell r="D880" t="str">
            <v>RJ12 UTP Cable 10 m</v>
          </cell>
          <cell r="E880" t="str">
            <v>ASS030066100</v>
          </cell>
          <cell r="F880" t="str">
            <v>MPN (Part #)</v>
          </cell>
          <cell r="G880">
            <v>0</v>
          </cell>
          <cell r="H880">
            <v>0</v>
          </cell>
          <cell r="I880">
            <v>0</v>
          </cell>
          <cell r="N880" t="str">
            <v>1-Victron</v>
          </cell>
        </row>
        <row r="881">
          <cell r="A881" t="str">
            <v>B0880</v>
          </cell>
          <cell r="C881" t="str">
            <v>Victron</v>
          </cell>
          <cell r="D881" t="str">
            <v>RJ12 UTP Cable 15 m</v>
          </cell>
          <cell r="E881" t="str">
            <v>ASS030066150</v>
          </cell>
          <cell r="F881" t="str">
            <v>MPN (Part #)</v>
          </cell>
          <cell r="G881">
            <v>0</v>
          </cell>
          <cell r="H881">
            <v>0</v>
          </cell>
          <cell r="I881">
            <v>0</v>
          </cell>
          <cell r="N881" t="str">
            <v>1-Victron</v>
          </cell>
        </row>
        <row r="882">
          <cell r="A882" t="str">
            <v>B0881</v>
          </cell>
          <cell r="C882" t="str">
            <v>Victron</v>
          </cell>
          <cell r="D882" t="str">
            <v>RJ12 UTP Cable 30 m</v>
          </cell>
          <cell r="E882" t="str">
            <v>ASS030066300</v>
          </cell>
          <cell r="F882" t="str">
            <v>MPN (Part #)</v>
          </cell>
          <cell r="G882">
            <v>0</v>
          </cell>
          <cell r="H882">
            <v>0</v>
          </cell>
          <cell r="I882">
            <v>0</v>
          </cell>
          <cell r="N882" t="str">
            <v>1-Victron</v>
          </cell>
        </row>
        <row r="883">
          <cell r="A883" t="str">
            <v>B0882</v>
          </cell>
          <cell r="C883" t="str">
            <v>Victron</v>
          </cell>
          <cell r="D883" t="str">
            <v>RJ45 UTP Cable 0.5 m</v>
          </cell>
          <cell r="E883" t="str">
            <v>ASS030064900</v>
          </cell>
          <cell r="F883" t="str">
            <v>MPN (Part #)</v>
          </cell>
          <cell r="G883">
            <v>0</v>
          </cell>
          <cell r="H883">
            <v>0</v>
          </cell>
          <cell r="I883">
            <v>0</v>
          </cell>
          <cell r="N883" t="str">
            <v>1-Victron</v>
          </cell>
        </row>
        <row r="884">
          <cell r="A884" t="str">
            <v>B0883</v>
          </cell>
          <cell r="C884" t="str">
            <v>Victron</v>
          </cell>
          <cell r="D884" t="str">
            <v>RJ45 UTP Cable 0.9 m</v>
          </cell>
          <cell r="E884" t="str">
            <v>ASS030064920</v>
          </cell>
          <cell r="F884" t="str">
            <v>MPN (Part #)</v>
          </cell>
          <cell r="G884">
            <v>0</v>
          </cell>
          <cell r="H884">
            <v>0</v>
          </cell>
          <cell r="I884">
            <v>0</v>
          </cell>
          <cell r="N884" t="str">
            <v>1-Victron</v>
          </cell>
        </row>
        <row r="885">
          <cell r="A885" t="str">
            <v>B0884</v>
          </cell>
          <cell r="C885" t="str">
            <v>Victron</v>
          </cell>
          <cell r="D885" t="str">
            <v>RJ45 UTP Cable 1.8 m</v>
          </cell>
          <cell r="E885" t="str">
            <v>ASS030064950</v>
          </cell>
          <cell r="F885" t="str">
            <v>MPN (Part #)</v>
          </cell>
          <cell r="G885">
            <v>0</v>
          </cell>
          <cell r="H885">
            <v>0</v>
          </cell>
          <cell r="I885">
            <v>0</v>
          </cell>
          <cell r="N885" t="str">
            <v>1-Victron</v>
          </cell>
        </row>
        <row r="886">
          <cell r="A886" t="str">
            <v>B0885</v>
          </cell>
          <cell r="C886" t="str">
            <v>Victron</v>
          </cell>
          <cell r="D886" t="str">
            <v>RJ45 UTP Cable 1 m</v>
          </cell>
          <cell r="E886" t="str">
            <v>ASS030064980</v>
          </cell>
          <cell r="F886" t="str">
            <v>MPN (Part #)</v>
          </cell>
          <cell r="G886">
            <v>0</v>
          </cell>
          <cell r="H886">
            <v>0</v>
          </cell>
          <cell r="I886">
            <v>0</v>
          </cell>
          <cell r="N886" t="str">
            <v>1-Victron</v>
          </cell>
        </row>
        <row r="887">
          <cell r="A887" t="str">
            <v>B0886</v>
          </cell>
          <cell r="C887" t="str">
            <v>Victron</v>
          </cell>
          <cell r="D887" t="str">
            <v>RJ45 UTP Cable 5 m</v>
          </cell>
          <cell r="E887" t="str">
            <v>ASS030065000</v>
          </cell>
          <cell r="F887" t="str">
            <v>MPN (Part #)</v>
          </cell>
          <cell r="G887">
            <v>0</v>
          </cell>
          <cell r="H887">
            <v>0</v>
          </cell>
          <cell r="I887">
            <v>0</v>
          </cell>
          <cell r="N887" t="str">
            <v>1-Victron</v>
          </cell>
        </row>
        <row r="888">
          <cell r="A888" t="str">
            <v>B0887</v>
          </cell>
          <cell r="C888" t="str">
            <v>Victron</v>
          </cell>
          <cell r="D888" t="str">
            <v>RJ45 UTP Cable 10 m</v>
          </cell>
          <cell r="E888" t="str">
            <v>ASS030065010</v>
          </cell>
          <cell r="F888" t="str">
            <v>MPN (Part #)</v>
          </cell>
          <cell r="G888">
            <v>0</v>
          </cell>
          <cell r="H888">
            <v>0</v>
          </cell>
          <cell r="I888">
            <v>0</v>
          </cell>
          <cell r="N888" t="str">
            <v>1-Victron</v>
          </cell>
        </row>
        <row r="889">
          <cell r="A889" t="str">
            <v>B0888</v>
          </cell>
          <cell r="C889" t="str">
            <v>Victron</v>
          </cell>
          <cell r="D889" t="str">
            <v>RJ45 UTP Cable 15 m</v>
          </cell>
          <cell r="E889" t="str">
            <v>ASS030065020</v>
          </cell>
          <cell r="F889" t="str">
            <v>MPN (Part #)</v>
          </cell>
          <cell r="G889">
            <v>0</v>
          </cell>
          <cell r="H889">
            <v>0</v>
          </cell>
          <cell r="I889">
            <v>0</v>
          </cell>
          <cell r="N889" t="str">
            <v>1-Victron</v>
          </cell>
        </row>
        <row r="890">
          <cell r="A890" t="str">
            <v>B0889</v>
          </cell>
          <cell r="C890" t="str">
            <v>Victron</v>
          </cell>
          <cell r="D890" t="str">
            <v>RJ45 UTP Cable 20 m</v>
          </cell>
          <cell r="E890" t="str">
            <v>ASS030065030</v>
          </cell>
          <cell r="F890" t="str">
            <v>MPN (Part #)</v>
          </cell>
          <cell r="G890">
            <v>0</v>
          </cell>
          <cell r="H890">
            <v>0</v>
          </cell>
          <cell r="I890">
            <v>0</v>
          </cell>
          <cell r="N890" t="str">
            <v>1-Victron</v>
          </cell>
        </row>
        <row r="891">
          <cell r="A891" t="str">
            <v>B0890</v>
          </cell>
          <cell r="C891" t="str">
            <v>Victron</v>
          </cell>
          <cell r="D891" t="str">
            <v>RJ45 UTP Cable 30 m</v>
          </cell>
          <cell r="E891" t="str">
            <v>ASS030065050</v>
          </cell>
          <cell r="F891" t="str">
            <v>MPN (Part #)</v>
          </cell>
          <cell r="G891">
            <v>0</v>
          </cell>
          <cell r="H891">
            <v>0</v>
          </cell>
          <cell r="I891">
            <v>0</v>
          </cell>
          <cell r="N891" t="str">
            <v>1-Victron</v>
          </cell>
        </row>
        <row r="892">
          <cell r="A892" t="str">
            <v>B0891</v>
          </cell>
          <cell r="B892" t="str">
            <v>Cables</v>
          </cell>
          <cell r="C892" t="str">
            <v>Victron</v>
          </cell>
          <cell r="D892" t="str">
            <v>VE.Direct Cable 1.8m (one side Right Angle conn)</v>
          </cell>
          <cell r="E892" t="str">
            <v>ASS030531218</v>
          </cell>
          <cell r="F892" t="str">
            <v>MPN (Part #)</v>
          </cell>
          <cell r="G892">
            <v>22.75</v>
          </cell>
          <cell r="H892">
            <v>20.700000000000003</v>
          </cell>
          <cell r="I892">
            <v>0</v>
          </cell>
          <cell r="N892" t="str">
            <v>1-Victron</v>
          </cell>
        </row>
        <row r="893">
          <cell r="A893" t="str">
            <v>B0892</v>
          </cell>
          <cell r="B893" t="str">
            <v>Cables</v>
          </cell>
          <cell r="C893" t="str">
            <v>Victron</v>
          </cell>
          <cell r="D893" t="str">
            <v>VE.Direct Cable 3m (one side Right Angle conn)</v>
          </cell>
          <cell r="E893" t="str">
            <v>ASS030531230</v>
          </cell>
          <cell r="F893" t="str">
            <v>MPN (Part #)</v>
          </cell>
          <cell r="G893">
            <v>25.75</v>
          </cell>
          <cell r="H893">
            <v>23.400000000000002</v>
          </cell>
          <cell r="I893">
            <v>0</v>
          </cell>
          <cell r="N893" t="str">
            <v>1-Victron</v>
          </cell>
        </row>
        <row r="894">
          <cell r="A894" t="str">
            <v>B0893</v>
          </cell>
          <cell r="B894" t="str">
            <v>Cables</v>
          </cell>
          <cell r="C894" t="str">
            <v>Victron</v>
          </cell>
          <cell r="D894" t="str">
            <v>VE.Direct Cable 5m (one side Right Angle conn)</v>
          </cell>
          <cell r="E894" t="str">
            <v>ASS030531250</v>
          </cell>
          <cell r="F894" t="str">
            <v>MPN (Part #)</v>
          </cell>
          <cell r="G894">
            <v>28.700000000000003</v>
          </cell>
          <cell r="H894">
            <v>26.1</v>
          </cell>
          <cell r="I894">
            <v>0</v>
          </cell>
          <cell r="N894" t="str">
            <v>1-Victron</v>
          </cell>
        </row>
        <row r="895">
          <cell r="A895" t="str">
            <v>B0894</v>
          </cell>
          <cell r="B895" t="str">
            <v>Cables</v>
          </cell>
          <cell r="C895" t="str">
            <v>Victron</v>
          </cell>
          <cell r="D895" t="str">
            <v>VE.Direct Cable 10m (one side Right Angle conn)</v>
          </cell>
          <cell r="E895" t="str">
            <v>ASS030531320</v>
          </cell>
          <cell r="F895" t="str">
            <v>MPN (Part #)</v>
          </cell>
          <cell r="G895">
            <v>33.65</v>
          </cell>
          <cell r="H895">
            <v>30.6</v>
          </cell>
          <cell r="I895">
            <v>0</v>
          </cell>
          <cell r="N895" t="str">
            <v>1-Victron</v>
          </cell>
        </row>
        <row r="896">
          <cell r="A896" t="str">
            <v>B0895</v>
          </cell>
          <cell r="B896" t="str">
            <v>Cables</v>
          </cell>
          <cell r="C896" t="str">
            <v>Victron</v>
          </cell>
          <cell r="D896" t="str">
            <v>VE.Direct to BMV60xS Cable 1.5m</v>
          </cell>
          <cell r="E896" t="str">
            <v>ASS030532215</v>
          </cell>
          <cell r="F896" t="str">
            <v>MPN (Part #)</v>
          </cell>
          <cell r="G896">
            <v>0</v>
          </cell>
          <cell r="H896">
            <v>0</v>
          </cell>
          <cell r="I896">
            <v>0</v>
          </cell>
          <cell r="N896" t="str">
            <v>1-Victron</v>
          </cell>
        </row>
        <row r="897">
          <cell r="A897" t="str">
            <v>B0896</v>
          </cell>
          <cell r="B897" t="str">
            <v>Cables</v>
          </cell>
          <cell r="C897" t="str">
            <v>Victron</v>
          </cell>
          <cell r="D897" t="str">
            <v>VE.Direct to BMV60xS Cable 3m</v>
          </cell>
          <cell r="E897" t="str">
            <v>ASS030532230</v>
          </cell>
          <cell r="F897" t="str">
            <v>MPN (Part #)</v>
          </cell>
          <cell r="G897">
            <v>0</v>
          </cell>
          <cell r="H897">
            <v>0</v>
          </cell>
          <cell r="I897">
            <v>0</v>
          </cell>
          <cell r="N897" t="str">
            <v>1-Victron</v>
          </cell>
        </row>
        <row r="898">
          <cell r="A898" t="str">
            <v>B0897</v>
          </cell>
          <cell r="C898" t="str">
            <v>Victron</v>
          </cell>
          <cell r="D898" t="str">
            <v>Male to Female 3 pole 1 m (bag of 2)</v>
          </cell>
          <cell r="E898" t="str">
            <v>ASS030560100</v>
          </cell>
          <cell r="F898" t="str">
            <v>MPN (Part #)</v>
          </cell>
          <cell r="G898">
            <v>0</v>
          </cell>
          <cell r="H898">
            <v>0</v>
          </cell>
          <cell r="I898">
            <v>0</v>
          </cell>
          <cell r="N898" t="str">
            <v>1-Victron</v>
          </cell>
        </row>
        <row r="899">
          <cell r="A899" t="str">
            <v>B0898</v>
          </cell>
          <cell r="C899" t="str">
            <v>Victron</v>
          </cell>
          <cell r="D899" t="str">
            <v>Male to Female 3 pole 2 m (bag of 2)</v>
          </cell>
          <cell r="E899" t="str">
            <v>ASS030560200</v>
          </cell>
          <cell r="F899" t="str">
            <v>MPN (Part #)</v>
          </cell>
          <cell r="G899">
            <v>0</v>
          </cell>
          <cell r="H899">
            <v>0</v>
          </cell>
          <cell r="I899">
            <v>0</v>
          </cell>
          <cell r="N899" t="str">
            <v>1-Victron</v>
          </cell>
        </row>
        <row r="900">
          <cell r="A900" t="str">
            <v>B0899</v>
          </cell>
          <cell r="C900" t="str">
            <v>Victron</v>
          </cell>
          <cell r="D900" t="str">
            <v>Male to Female 3 pole 3 m (bag of 2)</v>
          </cell>
          <cell r="E900" t="str">
            <v>ASS030560300</v>
          </cell>
          <cell r="F900" t="str">
            <v>MPN (Part #)</v>
          </cell>
          <cell r="G900">
            <v>0</v>
          </cell>
          <cell r="H900">
            <v>0</v>
          </cell>
          <cell r="I900">
            <v>0</v>
          </cell>
          <cell r="N900" t="str">
            <v>1-Victron</v>
          </cell>
        </row>
        <row r="901">
          <cell r="A901" t="str">
            <v>B0900</v>
          </cell>
          <cell r="C901" t="str">
            <v>Victron</v>
          </cell>
          <cell r="D901" t="str">
            <v>Male to Female 3 pole 5 m (bag of 2)</v>
          </cell>
          <cell r="E901" t="str">
            <v>ASS030560500</v>
          </cell>
          <cell r="F901" t="str">
            <v>MPN (Part #)</v>
          </cell>
          <cell r="G901">
            <v>0</v>
          </cell>
          <cell r="H901">
            <v>0</v>
          </cell>
          <cell r="I901">
            <v>0</v>
          </cell>
          <cell r="N901" t="str">
            <v>1-Victron</v>
          </cell>
        </row>
        <row r="902">
          <cell r="A902" t="str">
            <v>B0901</v>
          </cell>
          <cell r="C902" t="str">
            <v>Victron</v>
          </cell>
          <cell r="D902" t="str">
            <v>VE.Direct to USB interface</v>
          </cell>
          <cell r="E902" t="str">
            <v>ASS030530010</v>
          </cell>
          <cell r="F902" t="str">
            <v>MPN (Part #)</v>
          </cell>
          <cell r="G902">
            <v>46.550000000000004</v>
          </cell>
          <cell r="H902">
            <v>42.300000000000004</v>
          </cell>
          <cell r="I902">
            <v>0</v>
          </cell>
          <cell r="N902" t="str">
            <v>1-Victron</v>
          </cell>
        </row>
        <row r="903">
          <cell r="A903" t="str">
            <v>B0902</v>
          </cell>
          <cell r="C903" t="str">
            <v>Victron</v>
          </cell>
          <cell r="D903" t="str">
            <v>Interface MK2-USB (for Phoenix Charger only)</v>
          </cell>
          <cell r="E903" t="str">
            <v>ASS030130010</v>
          </cell>
          <cell r="F903" t="str">
            <v>MPN (Part #)</v>
          </cell>
          <cell r="G903">
            <v>0</v>
          </cell>
          <cell r="H903">
            <v>0</v>
          </cell>
          <cell r="I903">
            <v>0</v>
          </cell>
          <cell r="N903" t="str">
            <v>1-Victron</v>
          </cell>
        </row>
        <row r="904">
          <cell r="A904" t="str">
            <v>B0903</v>
          </cell>
          <cell r="C904" t="str">
            <v>Victron</v>
          </cell>
          <cell r="D904" t="str">
            <v>CANUSB interface</v>
          </cell>
          <cell r="E904" t="str">
            <v>ASS030532010</v>
          </cell>
          <cell r="F904" t="str">
            <v>MPN (Part #)</v>
          </cell>
          <cell r="G904">
            <v>0</v>
          </cell>
          <cell r="H904">
            <v>0</v>
          </cell>
          <cell r="I904">
            <v>0</v>
          </cell>
          <cell r="N904" t="str">
            <v>1-Victron</v>
          </cell>
        </row>
        <row r="905">
          <cell r="A905" t="str">
            <v>B0904</v>
          </cell>
          <cell r="C905" t="str">
            <v>Victron</v>
          </cell>
          <cell r="D905" t="str">
            <v>VE.Bus to NMEA2000 interface</v>
          </cell>
          <cell r="E905" t="str">
            <v>ASS030520110</v>
          </cell>
          <cell r="F905" t="str">
            <v>MPN (Part #)</v>
          </cell>
          <cell r="G905">
            <v>0</v>
          </cell>
          <cell r="H905">
            <v>0</v>
          </cell>
          <cell r="I905">
            <v>0</v>
          </cell>
          <cell r="N905" t="str">
            <v>1-Victron</v>
          </cell>
        </row>
        <row r="906">
          <cell r="A906" t="str">
            <v>B0905</v>
          </cell>
          <cell r="C906" t="str">
            <v>Victron</v>
          </cell>
          <cell r="D906" t="str">
            <v>VE.Direct to NMEA2000 interface</v>
          </cell>
          <cell r="E906" t="str">
            <v>ASS030520310</v>
          </cell>
          <cell r="F906" t="str">
            <v>MPN (Part #)</v>
          </cell>
          <cell r="G906">
            <v>0</v>
          </cell>
          <cell r="H906">
            <v>0</v>
          </cell>
          <cell r="I906">
            <v>0</v>
          </cell>
          <cell r="N906" t="str">
            <v>1-Victron</v>
          </cell>
        </row>
        <row r="907">
          <cell r="A907" t="str">
            <v>B0906</v>
          </cell>
          <cell r="C907" t="str">
            <v>Victron</v>
          </cell>
          <cell r="D907" t="str">
            <v>VE.Can to NMEA2000 Micro-C male</v>
          </cell>
          <cell r="E907" t="str">
            <v>ASS030520200</v>
          </cell>
          <cell r="F907" t="str">
            <v>MPN (Part #)</v>
          </cell>
          <cell r="G907">
            <v>0</v>
          </cell>
          <cell r="H907">
            <v>0</v>
          </cell>
          <cell r="I907">
            <v>0</v>
          </cell>
          <cell r="N907" t="str">
            <v>1-Victron</v>
          </cell>
        </row>
        <row r="908">
          <cell r="A908" t="str">
            <v>B0907</v>
          </cell>
          <cell r="C908" t="str">
            <v>Victron</v>
          </cell>
          <cell r="D908" t="str">
            <v>Interface MK2.2b (VE.Bus to RS232)</v>
          </cell>
          <cell r="E908" t="str">
            <v>ASS030120210</v>
          </cell>
          <cell r="F908" t="str">
            <v>MPN (Part #)</v>
          </cell>
          <cell r="G908">
            <v>0</v>
          </cell>
          <cell r="H908">
            <v>0</v>
          </cell>
          <cell r="I908">
            <v>0</v>
          </cell>
          <cell r="N908" t="str">
            <v>1-Victron</v>
          </cell>
        </row>
        <row r="909">
          <cell r="A909" t="str">
            <v>B0908</v>
          </cell>
          <cell r="C909" t="str">
            <v>Victron</v>
          </cell>
          <cell r="D909" t="str">
            <v>RS232 to USB converter</v>
          </cell>
          <cell r="E909" t="str">
            <v>ASS030200000</v>
          </cell>
          <cell r="F909" t="str">
            <v>MPN (Part #)</v>
          </cell>
          <cell r="G909">
            <v>0</v>
          </cell>
          <cell r="H909">
            <v>0</v>
          </cell>
          <cell r="I909">
            <v>0</v>
          </cell>
          <cell r="N909" t="str">
            <v>1-Victron</v>
          </cell>
        </row>
        <row r="910">
          <cell r="A910" t="str">
            <v>B0909</v>
          </cell>
          <cell r="C910" t="str">
            <v>Victron</v>
          </cell>
          <cell r="D910" t="str">
            <v>VE.Direct to RS232 interface</v>
          </cell>
          <cell r="E910" t="str">
            <v>ASS030520500</v>
          </cell>
          <cell r="F910" t="str">
            <v>MPN (Part #)</v>
          </cell>
          <cell r="G910">
            <v>0</v>
          </cell>
          <cell r="H910">
            <v>0</v>
          </cell>
          <cell r="I910">
            <v>0</v>
          </cell>
          <cell r="N910" t="str">
            <v>1-Victron</v>
          </cell>
        </row>
        <row r="911">
          <cell r="A911" t="str">
            <v>B0910</v>
          </cell>
          <cell r="C911" t="str">
            <v>Victron</v>
          </cell>
          <cell r="D911" t="str">
            <v>VE.Direct to VE.Can interface</v>
          </cell>
          <cell r="E911" t="str">
            <v>ASS030520410</v>
          </cell>
          <cell r="F911" t="str">
            <v>MPN (Part #)</v>
          </cell>
          <cell r="G911">
            <v>0</v>
          </cell>
          <cell r="H911">
            <v>0</v>
          </cell>
          <cell r="I911">
            <v>0</v>
          </cell>
          <cell r="N911" t="str">
            <v>1-Victron</v>
          </cell>
        </row>
        <row r="912">
          <cell r="A912" t="str">
            <v>B0911</v>
          </cell>
          <cell r="C912" t="str">
            <v>Victron</v>
          </cell>
          <cell r="D912" t="str">
            <v>VE.Direct to Global Remote interface</v>
          </cell>
          <cell r="E912" t="str">
            <v>ASS030534000</v>
          </cell>
          <cell r="F912" t="str">
            <v>MPN (Part #)</v>
          </cell>
          <cell r="G912">
            <v>0</v>
          </cell>
          <cell r="H912">
            <v>0</v>
          </cell>
          <cell r="I912">
            <v>0</v>
          </cell>
          <cell r="N912" t="str">
            <v>1-Victron</v>
          </cell>
        </row>
        <row r="913">
          <cell r="A913" t="str">
            <v>B0912</v>
          </cell>
          <cell r="C913" t="str">
            <v>Victron</v>
          </cell>
          <cell r="D913" t="str">
            <v>VE.Can RJ45 terminator (bag of 2)</v>
          </cell>
          <cell r="E913" t="str">
            <v>ASS030700000</v>
          </cell>
          <cell r="F913" t="str">
            <v>MPN (Part #)</v>
          </cell>
          <cell r="G913">
            <v>0</v>
          </cell>
          <cell r="H913">
            <v>0</v>
          </cell>
          <cell r="I913">
            <v>0</v>
          </cell>
          <cell r="N913" t="str">
            <v>1-Victron</v>
          </cell>
        </row>
        <row r="914">
          <cell r="A914" t="str">
            <v>B0913</v>
          </cell>
          <cell r="C914" t="str">
            <v>Victron</v>
          </cell>
          <cell r="D914" t="str">
            <v>VE.Bus to VE.Can interface</v>
          </cell>
          <cell r="E914" t="str">
            <v>ASS030520115</v>
          </cell>
          <cell r="F914" t="str">
            <v>MPN (Part #)</v>
          </cell>
          <cell r="G914">
            <v>0</v>
          </cell>
          <cell r="H914">
            <v>0</v>
          </cell>
          <cell r="I914">
            <v>0</v>
          </cell>
          <cell r="N914" t="str">
            <v>1-Victron</v>
          </cell>
        </row>
        <row r="915">
          <cell r="A915" t="str">
            <v>B0914</v>
          </cell>
          <cell r="B915" t="str">
            <v>Cables</v>
          </cell>
          <cell r="C915" t="str">
            <v>Victron</v>
          </cell>
          <cell r="D915" t="str">
            <v>VE.Can to CAN-bus BMS type A Cable 1.8m</v>
          </cell>
          <cell r="E915" t="str">
            <v>ASS030710018</v>
          </cell>
          <cell r="F915" t="str">
            <v>MPN (Part #)</v>
          </cell>
          <cell r="G915">
            <v>23.75</v>
          </cell>
          <cell r="H915">
            <v>21.6</v>
          </cell>
          <cell r="I915">
            <v>0</v>
          </cell>
          <cell r="N915" t="str">
            <v>1-Victron</v>
          </cell>
        </row>
        <row r="916">
          <cell r="A916" t="str">
            <v>B0915</v>
          </cell>
          <cell r="B916" t="str">
            <v>Cables</v>
          </cell>
          <cell r="C916" t="str">
            <v>Victron</v>
          </cell>
          <cell r="D916" t="str">
            <v>VE.Can to CAN-bus BMS type A Cable 5m</v>
          </cell>
          <cell r="E916" t="str">
            <v>ASS030710050</v>
          </cell>
          <cell r="F916" t="str">
            <v>MPN (Part #)</v>
          </cell>
          <cell r="G916">
            <v>23.75</v>
          </cell>
          <cell r="H916">
            <v>21.6</v>
          </cell>
          <cell r="I916">
            <v>0</v>
          </cell>
          <cell r="N916" t="str">
            <v>1-Victron</v>
          </cell>
        </row>
        <row r="917">
          <cell r="A917" t="str">
            <v>B0916</v>
          </cell>
          <cell r="B917" t="str">
            <v>Electrical</v>
          </cell>
          <cell r="C917" t="str">
            <v>NETEC</v>
          </cell>
          <cell r="D917" t="str">
            <v>Neutral Bar 165A 3 Pole, 138mm</v>
          </cell>
          <cell r="E917" t="str">
            <v>NE33A006X</v>
          </cell>
          <cell r="F917" t="str">
            <v>MPN (Part #)</v>
          </cell>
          <cell r="G917">
            <v>26.75</v>
          </cell>
          <cell r="H917">
            <v>24.35</v>
          </cell>
          <cell r="I917">
            <v>0</v>
          </cell>
          <cell r="J917">
            <v>0.6</v>
          </cell>
          <cell r="K917">
            <v>13.2</v>
          </cell>
          <cell r="L917">
            <v>2</v>
          </cell>
          <cell r="M917">
            <v>2</v>
          </cell>
          <cell r="N917" t="str">
            <v>6-Various</v>
          </cell>
        </row>
        <row r="918">
          <cell r="A918" t="str">
            <v>B0917</v>
          </cell>
          <cell r="C918" t="str">
            <v>Victron</v>
          </cell>
          <cell r="D918" t="str">
            <v>VE.Can to CAN-bus BMS type B Cable 5m</v>
          </cell>
          <cell r="E918" t="str">
            <v>ASS030720050</v>
          </cell>
          <cell r="F918" t="str">
            <v>MPN (Part #)</v>
          </cell>
          <cell r="G918">
            <v>23.75</v>
          </cell>
          <cell r="H918">
            <v>21.6</v>
          </cell>
          <cell r="I918">
            <v>0</v>
          </cell>
          <cell r="N918" t="str">
            <v>1-Victron</v>
          </cell>
        </row>
        <row r="919">
          <cell r="A919" t="str">
            <v>B0918</v>
          </cell>
          <cell r="C919" t="str">
            <v>Victron</v>
          </cell>
          <cell r="D919" t="str">
            <v>Inverting remote on-off cable</v>
          </cell>
          <cell r="E919" t="str">
            <v>ASS030550120</v>
          </cell>
          <cell r="F919" t="str">
            <v>MPN (Part #)</v>
          </cell>
          <cell r="G919">
            <v>0</v>
          </cell>
          <cell r="H919">
            <v>0</v>
          </cell>
          <cell r="I919">
            <v>0</v>
          </cell>
          <cell r="N919" t="str">
            <v>1-Victron</v>
          </cell>
        </row>
        <row r="920">
          <cell r="A920" t="str">
            <v>B0919</v>
          </cell>
          <cell r="B920" t="str">
            <v>Cables</v>
          </cell>
          <cell r="C920" t="str">
            <v>Victron</v>
          </cell>
          <cell r="D920" t="str">
            <v>Non-inverting remote on-off cable</v>
          </cell>
          <cell r="E920" t="str">
            <v>ASS030550200</v>
          </cell>
          <cell r="F920" t="str">
            <v>MPN (Part #)</v>
          </cell>
          <cell r="G920">
            <v>0</v>
          </cell>
          <cell r="H920">
            <v>0</v>
          </cell>
          <cell r="I920">
            <v>0</v>
          </cell>
          <cell r="N920" t="str">
            <v>1-Victron</v>
          </cell>
        </row>
        <row r="921">
          <cell r="A921" t="str">
            <v>B0920</v>
          </cell>
          <cell r="B921" t="str">
            <v>Cables</v>
          </cell>
          <cell r="C921" t="str">
            <v>Victron</v>
          </cell>
          <cell r="D921" t="str">
            <v>VE.Direct non-inverting remote on-off cable</v>
          </cell>
          <cell r="E921" t="str">
            <v>ASS030550320</v>
          </cell>
          <cell r="F921" t="str">
            <v>MPN (Part #)</v>
          </cell>
          <cell r="G921">
            <v>0</v>
          </cell>
          <cell r="H921">
            <v>0</v>
          </cell>
          <cell r="I921">
            <v>0</v>
          </cell>
          <cell r="N921" t="str">
            <v>1-Victron</v>
          </cell>
        </row>
        <row r="922">
          <cell r="A922" t="str">
            <v>B0921</v>
          </cell>
          <cell r="B922" t="str">
            <v>Cables</v>
          </cell>
          <cell r="C922" t="str">
            <v>Victron</v>
          </cell>
          <cell r="D922" t="str">
            <v>VE.Bus BMS to BMS 12-200 alternator control cable</v>
          </cell>
          <cell r="E922" t="str">
            <v>ASS030510120</v>
          </cell>
          <cell r="F922" t="str">
            <v>MPN (Part #)</v>
          </cell>
          <cell r="G922">
            <v>0</v>
          </cell>
          <cell r="H922">
            <v>0</v>
          </cell>
          <cell r="I922">
            <v>0</v>
          </cell>
          <cell r="N922" t="str">
            <v>1-Victron</v>
          </cell>
        </row>
        <row r="923">
          <cell r="A923" t="str">
            <v>B0922</v>
          </cell>
          <cell r="C923" t="str">
            <v>Victron</v>
          </cell>
          <cell r="D923" t="str">
            <v xml:space="preserve">Multi 48/500/6-16 </v>
          </cell>
          <cell r="E923" t="str">
            <v>CMP485010000</v>
          </cell>
          <cell r="F923" t="str">
            <v>MPN (Part #)</v>
          </cell>
          <cell r="G923">
            <v>0</v>
          </cell>
          <cell r="H923">
            <v>0</v>
          </cell>
          <cell r="I923">
            <v>0</v>
          </cell>
          <cell r="K923">
            <v>3</v>
          </cell>
          <cell r="L923">
            <v>10.5</v>
          </cell>
          <cell r="M923">
            <v>7.2</v>
          </cell>
          <cell r="N923" t="str">
            <v>1-Victron</v>
          </cell>
        </row>
        <row r="924">
          <cell r="A924" t="str">
            <v>B0923</v>
          </cell>
          <cell r="C924" t="str">
            <v>Victron</v>
          </cell>
          <cell r="D924" t="str">
            <v>Smart Solar MPPT 250/85-Tr VE.Can</v>
          </cell>
          <cell r="E924" t="str">
            <v>SCC125085411</v>
          </cell>
          <cell r="F924" t="str">
            <v>MPN (Part #)</v>
          </cell>
          <cell r="G924">
            <v>931.6</v>
          </cell>
          <cell r="H924">
            <v>846.90000000000009</v>
          </cell>
          <cell r="I924">
            <v>0</v>
          </cell>
          <cell r="J924">
            <v>5.5</v>
          </cell>
          <cell r="K924">
            <v>29.5</v>
          </cell>
          <cell r="L924">
            <v>21.5</v>
          </cell>
          <cell r="M924">
            <v>10.3</v>
          </cell>
          <cell r="N924" t="str">
            <v>1-Victron</v>
          </cell>
        </row>
        <row r="925">
          <cell r="A925" t="str">
            <v>B0924</v>
          </cell>
          <cell r="C925" t="str">
            <v>Victron</v>
          </cell>
          <cell r="D925" t="str">
            <v>AC Current sensor</v>
          </cell>
          <cell r="E925" t="str">
            <v>CSE000100000</v>
          </cell>
          <cell r="F925" t="str">
            <v>MPN (Part #)</v>
          </cell>
          <cell r="G925">
            <v>0</v>
          </cell>
          <cell r="H925">
            <v>0</v>
          </cell>
          <cell r="I925">
            <v>0</v>
          </cell>
          <cell r="N925" t="str">
            <v>1-Victron</v>
          </cell>
        </row>
        <row r="926">
          <cell r="A926" t="str">
            <v>B0925</v>
          </cell>
          <cell r="C926" t="str">
            <v>Victron</v>
          </cell>
          <cell r="D926" t="str">
            <v xml:space="preserve">Anti-islanding relay UFR1001E </v>
          </cell>
          <cell r="E926" t="str">
            <v>REL100100000</v>
          </cell>
          <cell r="F926" t="str">
            <v>MPN (Part #)</v>
          </cell>
          <cell r="G926">
            <v>0</v>
          </cell>
          <cell r="H926">
            <v>0</v>
          </cell>
          <cell r="I926">
            <v>0</v>
          </cell>
          <cell r="N926" t="str">
            <v>1-Victron</v>
          </cell>
        </row>
        <row r="927">
          <cell r="A927" t="str">
            <v>B0926</v>
          </cell>
          <cell r="C927" t="str">
            <v>Victron</v>
          </cell>
          <cell r="D927" t="str">
            <v>Zigbee to RS485 converter</v>
          </cell>
          <cell r="E927" t="str">
            <v>ASS300400100</v>
          </cell>
          <cell r="F927" t="str">
            <v>MPN (Part #)</v>
          </cell>
          <cell r="G927">
            <v>0</v>
          </cell>
          <cell r="H927">
            <v>0</v>
          </cell>
          <cell r="I927">
            <v>0</v>
          </cell>
          <cell r="N927" t="str">
            <v>1-Victron</v>
          </cell>
        </row>
        <row r="928">
          <cell r="A928" t="str">
            <v>B0927</v>
          </cell>
          <cell r="C928" t="str">
            <v>Victron</v>
          </cell>
          <cell r="D928" t="str">
            <v>Zigbee to USB converter</v>
          </cell>
          <cell r="E928" t="str">
            <v>ASS300400200</v>
          </cell>
          <cell r="F928" t="str">
            <v>MPN (Part #)</v>
          </cell>
          <cell r="G928">
            <v>0</v>
          </cell>
          <cell r="H928">
            <v>0</v>
          </cell>
          <cell r="I928">
            <v>0</v>
          </cell>
          <cell r="N928" t="str">
            <v>1-Victron</v>
          </cell>
        </row>
        <row r="929">
          <cell r="A929" t="str">
            <v>B0928</v>
          </cell>
          <cell r="C929" t="str">
            <v>Victron</v>
          </cell>
          <cell r="D929" t="str">
            <v>Anti-islanding box 63A single phase - UK</v>
          </cell>
          <cell r="E929" t="str">
            <v>RCD000100200</v>
          </cell>
          <cell r="F929" t="str">
            <v>MPN (Part #)</v>
          </cell>
          <cell r="G929">
            <v>0</v>
          </cell>
          <cell r="H929">
            <v>0</v>
          </cell>
          <cell r="I929">
            <v>0</v>
          </cell>
          <cell r="K929">
            <v>21.5</v>
          </cell>
          <cell r="L929">
            <v>27</v>
          </cell>
          <cell r="M929">
            <v>10</v>
          </cell>
          <cell r="N929" t="str">
            <v>1-Victron</v>
          </cell>
        </row>
        <row r="930">
          <cell r="A930" t="str">
            <v>B0929</v>
          </cell>
          <cell r="C930" t="str">
            <v>Victron</v>
          </cell>
          <cell r="D930" t="str">
            <v>Anti-islanding box 63A single and three phase</v>
          </cell>
          <cell r="E930" t="str">
            <v>RCD000300200</v>
          </cell>
          <cell r="F930" t="str">
            <v>MPN (Part #)</v>
          </cell>
          <cell r="G930">
            <v>0</v>
          </cell>
          <cell r="H930">
            <v>0</v>
          </cell>
          <cell r="I930">
            <v>0</v>
          </cell>
          <cell r="K930">
            <v>23</v>
          </cell>
          <cell r="L930">
            <v>38</v>
          </cell>
          <cell r="M930">
            <v>10</v>
          </cell>
          <cell r="N930" t="str">
            <v>1-Victron</v>
          </cell>
        </row>
        <row r="931">
          <cell r="A931" t="str">
            <v>B0930</v>
          </cell>
          <cell r="C931" t="str">
            <v>Victron</v>
          </cell>
          <cell r="D931" t="str">
            <v>Argodiode 80-2SC 2 batteries 80A</v>
          </cell>
          <cell r="E931" t="str">
            <v>ARG080202000R</v>
          </cell>
          <cell r="F931" t="str">
            <v>MPN (Part #)</v>
          </cell>
          <cell r="G931">
            <v>0</v>
          </cell>
          <cell r="H931">
            <v>0</v>
          </cell>
          <cell r="I931">
            <v>0</v>
          </cell>
          <cell r="J931">
            <v>0.5</v>
          </cell>
          <cell r="K931">
            <v>6</v>
          </cell>
          <cell r="L931">
            <v>12</v>
          </cell>
          <cell r="M931">
            <v>7.5</v>
          </cell>
          <cell r="N931" t="str">
            <v>1-Victron</v>
          </cell>
        </row>
        <row r="932">
          <cell r="A932" t="str">
            <v>B0931</v>
          </cell>
          <cell r="C932" t="str">
            <v>Victron</v>
          </cell>
          <cell r="D932" t="str">
            <v>Argodiode 80-2AC 2 batteries 80A</v>
          </cell>
          <cell r="E932" t="str">
            <v>ARG080201000R</v>
          </cell>
          <cell r="F932" t="str">
            <v>MPN (Part #)</v>
          </cell>
          <cell r="G932">
            <v>0</v>
          </cell>
          <cell r="H932">
            <v>0</v>
          </cell>
          <cell r="I932">
            <v>0</v>
          </cell>
          <cell r="J932">
            <v>0.6</v>
          </cell>
          <cell r="K932">
            <v>6</v>
          </cell>
          <cell r="L932">
            <v>12</v>
          </cell>
          <cell r="M932">
            <v>9</v>
          </cell>
          <cell r="N932" t="str">
            <v>1-Victron</v>
          </cell>
        </row>
        <row r="933">
          <cell r="A933" t="str">
            <v>B0932</v>
          </cell>
          <cell r="C933" t="str">
            <v>Victron</v>
          </cell>
          <cell r="D933" t="str">
            <v>Argodiode 100-3AC 3 batteries 100A</v>
          </cell>
          <cell r="E933" t="str">
            <v>ARG100301000R</v>
          </cell>
          <cell r="F933" t="str">
            <v>MPN (Part #)</v>
          </cell>
          <cell r="G933">
            <v>0</v>
          </cell>
          <cell r="H933">
            <v>0</v>
          </cell>
          <cell r="I933">
            <v>0</v>
          </cell>
          <cell r="J933">
            <v>0.8</v>
          </cell>
          <cell r="K933">
            <v>6</v>
          </cell>
          <cell r="L933">
            <v>12</v>
          </cell>
          <cell r="M933">
            <v>11.5</v>
          </cell>
          <cell r="N933" t="str">
            <v>1-Victron</v>
          </cell>
        </row>
        <row r="934">
          <cell r="A934" t="str">
            <v>B0933</v>
          </cell>
          <cell r="C934" t="str">
            <v>Victron</v>
          </cell>
          <cell r="D934" t="str">
            <v>Argodiode 120-2AC 2 batteries 120A</v>
          </cell>
          <cell r="E934" t="str">
            <v>ARG120201020R</v>
          </cell>
          <cell r="F934" t="str">
            <v>MPN (Part #)</v>
          </cell>
          <cell r="G934">
            <v>0</v>
          </cell>
          <cell r="H934">
            <v>0</v>
          </cell>
          <cell r="I934">
            <v>0</v>
          </cell>
          <cell r="J934">
            <v>0.8</v>
          </cell>
          <cell r="K934">
            <v>6</v>
          </cell>
          <cell r="L934">
            <v>12</v>
          </cell>
          <cell r="M934">
            <v>11.5</v>
          </cell>
          <cell r="N934" t="str">
            <v>1-Victron</v>
          </cell>
        </row>
        <row r="935">
          <cell r="A935" t="str">
            <v>B0934</v>
          </cell>
          <cell r="C935" t="str">
            <v>Victron</v>
          </cell>
          <cell r="D935" t="str">
            <v>Argodiode 140-3AC 3 batteries 140A</v>
          </cell>
          <cell r="E935" t="str">
            <v>ARG140301020R</v>
          </cell>
          <cell r="F935" t="str">
            <v>MPN (Part #)</v>
          </cell>
          <cell r="G935">
            <v>0</v>
          </cell>
          <cell r="H935">
            <v>0</v>
          </cell>
          <cell r="I935">
            <v>0</v>
          </cell>
          <cell r="J935">
            <v>1.1000000000000001</v>
          </cell>
          <cell r="K935">
            <v>6</v>
          </cell>
          <cell r="L935">
            <v>12</v>
          </cell>
          <cell r="M935">
            <v>15</v>
          </cell>
          <cell r="N935" t="str">
            <v>1-Victron</v>
          </cell>
        </row>
        <row r="936">
          <cell r="A936" t="str">
            <v>B0935</v>
          </cell>
          <cell r="C936" t="str">
            <v>Victron</v>
          </cell>
          <cell r="D936" t="str">
            <v>Argodiode 160-2AC 2 batteries 160A</v>
          </cell>
          <cell r="E936" t="str">
            <v>ARG160201020</v>
          </cell>
          <cell r="F936" t="str">
            <v>MPN (Part #)</v>
          </cell>
          <cell r="G936">
            <v>0</v>
          </cell>
          <cell r="H936">
            <v>0</v>
          </cell>
          <cell r="I936">
            <v>0</v>
          </cell>
          <cell r="J936">
            <v>1.1000000000000001</v>
          </cell>
          <cell r="K936">
            <v>6</v>
          </cell>
          <cell r="L936">
            <v>12</v>
          </cell>
          <cell r="M936">
            <v>15</v>
          </cell>
          <cell r="N936" t="str">
            <v>1-Victron</v>
          </cell>
        </row>
        <row r="937">
          <cell r="A937" t="str">
            <v>B0936</v>
          </cell>
          <cell r="C937" t="str">
            <v>Victron</v>
          </cell>
          <cell r="D937" t="str">
            <v>Argodiode 180-3AC 3 batteries 180A</v>
          </cell>
          <cell r="E937" t="str">
            <v>ARG180301020</v>
          </cell>
          <cell r="F937" t="str">
            <v>MPN (Part #)</v>
          </cell>
          <cell r="G937">
            <v>0</v>
          </cell>
          <cell r="H937">
            <v>0</v>
          </cell>
          <cell r="I937">
            <v>0</v>
          </cell>
          <cell r="J937">
            <v>1.5</v>
          </cell>
          <cell r="K937">
            <v>6</v>
          </cell>
          <cell r="L937">
            <v>12</v>
          </cell>
          <cell r="M937">
            <v>20</v>
          </cell>
          <cell r="N937" t="str">
            <v>1-Victron</v>
          </cell>
        </row>
        <row r="938">
          <cell r="A938" t="str">
            <v>B0937</v>
          </cell>
          <cell r="C938" t="str">
            <v>Victron</v>
          </cell>
          <cell r="D938" t="str">
            <v>Argofet 100-2 Two batteries 100A</v>
          </cell>
          <cell r="E938" t="str">
            <v>ARG100201020R</v>
          </cell>
          <cell r="F938" t="str">
            <v>MPN (Part #)</v>
          </cell>
          <cell r="G938">
            <v>0</v>
          </cell>
          <cell r="H938">
            <v>0</v>
          </cell>
          <cell r="I938">
            <v>0</v>
          </cell>
          <cell r="J938">
            <v>1.4</v>
          </cell>
          <cell r="K938">
            <v>6.5</v>
          </cell>
          <cell r="L938">
            <v>12</v>
          </cell>
          <cell r="M938">
            <v>20</v>
          </cell>
          <cell r="N938" t="str">
            <v>1-Victron</v>
          </cell>
        </row>
        <row r="939">
          <cell r="A939" t="str">
            <v>B0938</v>
          </cell>
          <cell r="C939" t="str">
            <v>Victron</v>
          </cell>
          <cell r="D939" t="str">
            <v>Argofet 100-3 Three batteries 100A</v>
          </cell>
          <cell r="E939" t="str">
            <v>ARG100301020R</v>
          </cell>
          <cell r="F939" t="str">
            <v>MPN (Part #)</v>
          </cell>
          <cell r="G939">
            <v>0</v>
          </cell>
          <cell r="H939">
            <v>0</v>
          </cell>
          <cell r="I939">
            <v>0</v>
          </cell>
          <cell r="J939">
            <v>1.4</v>
          </cell>
          <cell r="K939">
            <v>6.5</v>
          </cell>
          <cell r="L939">
            <v>12</v>
          </cell>
          <cell r="M939">
            <v>20</v>
          </cell>
          <cell r="N939" t="str">
            <v>1-Victron</v>
          </cell>
        </row>
        <row r="940">
          <cell r="A940" t="str">
            <v>B0939</v>
          </cell>
          <cell r="C940" t="str">
            <v>Victron</v>
          </cell>
          <cell r="D940" t="str">
            <v>Argofet 200-2 Two batteries 200A</v>
          </cell>
          <cell r="E940" t="str">
            <v>ARG200201020R</v>
          </cell>
          <cell r="F940" t="str">
            <v>MPN (Part #)</v>
          </cell>
          <cell r="G940">
            <v>0</v>
          </cell>
          <cell r="H940">
            <v>0</v>
          </cell>
          <cell r="I940">
            <v>0</v>
          </cell>
          <cell r="J940">
            <v>1.4</v>
          </cell>
          <cell r="K940">
            <v>6.5</v>
          </cell>
          <cell r="L940">
            <v>12</v>
          </cell>
          <cell r="M940">
            <v>20</v>
          </cell>
          <cell r="N940" t="str">
            <v>1-Victron</v>
          </cell>
        </row>
        <row r="941">
          <cell r="A941" t="str">
            <v>B0940</v>
          </cell>
          <cell r="C941" t="str">
            <v>Victron</v>
          </cell>
          <cell r="D941" t="str">
            <v>Argofet 200-3 Three batteries 200A</v>
          </cell>
          <cell r="E941" t="str">
            <v>ARG200301020R</v>
          </cell>
          <cell r="F941" t="str">
            <v>MPN (Part #)</v>
          </cell>
          <cell r="G941">
            <v>0</v>
          </cell>
          <cell r="H941">
            <v>0</v>
          </cell>
          <cell r="I941">
            <v>0</v>
          </cell>
          <cell r="J941">
            <v>1.4</v>
          </cell>
          <cell r="K941">
            <v>6.5</v>
          </cell>
          <cell r="L941">
            <v>12</v>
          </cell>
          <cell r="M941">
            <v>20</v>
          </cell>
          <cell r="N941" t="str">
            <v>1-Victron</v>
          </cell>
        </row>
        <row r="942">
          <cell r="A942" t="str">
            <v>B0941</v>
          </cell>
          <cell r="C942" t="str">
            <v>Victron</v>
          </cell>
          <cell r="D942" t="str">
            <v>Cyrix-ct 12/24V-230A intelligent combiner</v>
          </cell>
          <cell r="E942" t="str">
            <v>CYR010230010R</v>
          </cell>
          <cell r="F942" t="str">
            <v>MPN (Part #)</v>
          </cell>
          <cell r="G942">
            <v>0</v>
          </cell>
          <cell r="H942">
            <v>0</v>
          </cell>
          <cell r="I942">
            <v>0</v>
          </cell>
          <cell r="J942">
            <v>0.27</v>
          </cell>
          <cell r="K942">
            <v>6.5</v>
          </cell>
          <cell r="L942">
            <v>10</v>
          </cell>
          <cell r="M942">
            <v>5</v>
          </cell>
          <cell r="N942" t="str">
            <v>1-Victron</v>
          </cell>
        </row>
        <row r="943">
          <cell r="A943" t="str">
            <v>B0942</v>
          </cell>
          <cell r="C943" t="str">
            <v>Victron</v>
          </cell>
          <cell r="D943" t="str">
            <v>Cyrix-i 12/24V-400A intelligent combiner</v>
          </cell>
          <cell r="E943" t="str">
            <v>CYR010400000</v>
          </cell>
          <cell r="F943" t="str">
            <v>MPN (Part #)</v>
          </cell>
          <cell r="G943">
            <v>0</v>
          </cell>
          <cell r="H943">
            <v>0</v>
          </cell>
          <cell r="I943">
            <v>0</v>
          </cell>
          <cell r="J943">
            <v>0.9</v>
          </cell>
          <cell r="K943">
            <v>7.8</v>
          </cell>
          <cell r="L943">
            <v>10.199999999999999</v>
          </cell>
          <cell r="M943">
            <v>11</v>
          </cell>
          <cell r="N943" t="str">
            <v>1-Victron</v>
          </cell>
        </row>
        <row r="944">
          <cell r="A944" t="str">
            <v>B0943</v>
          </cell>
          <cell r="C944" t="str">
            <v>Victron</v>
          </cell>
          <cell r="D944" t="str">
            <v>Cyrix-i 24/48V-400A intelligent combiner</v>
          </cell>
          <cell r="E944" t="str">
            <v>CYR020400000</v>
          </cell>
          <cell r="F944" t="str">
            <v>MPN (Part #)</v>
          </cell>
          <cell r="G944">
            <v>0</v>
          </cell>
          <cell r="H944">
            <v>0</v>
          </cell>
          <cell r="I944">
            <v>0</v>
          </cell>
          <cell r="J944">
            <v>0.9</v>
          </cell>
          <cell r="K944">
            <v>7.8</v>
          </cell>
          <cell r="L944">
            <v>10.199999999999999</v>
          </cell>
          <cell r="M944">
            <v>11</v>
          </cell>
          <cell r="N944" t="str">
            <v>1-Victron</v>
          </cell>
        </row>
        <row r="945">
          <cell r="A945" t="str">
            <v>B0944</v>
          </cell>
          <cell r="C945" t="str">
            <v>Victron</v>
          </cell>
          <cell r="D945" t="str">
            <v>BCD 402  2 batteries 40A</v>
          </cell>
          <cell r="E945" t="str">
            <v>BCD000402000</v>
          </cell>
          <cell r="F945" t="str">
            <v>MPN (Part #)</v>
          </cell>
          <cell r="G945">
            <v>0</v>
          </cell>
          <cell r="H945">
            <v>0</v>
          </cell>
          <cell r="I945">
            <v>0</v>
          </cell>
          <cell r="J945">
            <v>0.6</v>
          </cell>
          <cell r="K945">
            <v>6</v>
          </cell>
          <cell r="L945">
            <v>12</v>
          </cell>
          <cell r="M945">
            <v>7.5</v>
          </cell>
          <cell r="N945" t="str">
            <v>1-Victron</v>
          </cell>
        </row>
        <row r="946">
          <cell r="A946" t="str">
            <v>B0945</v>
          </cell>
          <cell r="C946" t="str">
            <v>Victron</v>
          </cell>
          <cell r="D946" t="str">
            <v>BCD 802  2 batteries 80A</v>
          </cell>
          <cell r="E946" t="str">
            <v>BCD000802000</v>
          </cell>
          <cell r="F946" t="str">
            <v>MPN (Part #)</v>
          </cell>
          <cell r="G946">
            <v>0</v>
          </cell>
          <cell r="H946">
            <v>0</v>
          </cell>
          <cell r="I946">
            <v>0</v>
          </cell>
          <cell r="J946">
            <v>0.8</v>
          </cell>
          <cell r="K946">
            <v>6</v>
          </cell>
          <cell r="L946">
            <v>12</v>
          </cell>
          <cell r="M946">
            <v>7.5</v>
          </cell>
          <cell r="N946" t="str">
            <v>1-Victron</v>
          </cell>
        </row>
        <row r="947">
          <cell r="A947" t="str">
            <v>B0946</v>
          </cell>
          <cell r="C947" t="str">
            <v>Victron</v>
          </cell>
          <cell r="D947" t="str">
            <v>BatteryProtect 12/24V 65A</v>
          </cell>
          <cell r="E947" t="str">
            <v>BPR000065400</v>
          </cell>
          <cell r="F947" t="str">
            <v>MPN (Part #)</v>
          </cell>
          <cell r="G947">
            <v>0</v>
          </cell>
          <cell r="H947">
            <v>0</v>
          </cell>
          <cell r="I947">
            <v>0</v>
          </cell>
          <cell r="J947">
            <v>0.2</v>
          </cell>
          <cell r="K947">
            <v>4</v>
          </cell>
          <cell r="L947">
            <v>4.8</v>
          </cell>
          <cell r="M947">
            <v>10.6</v>
          </cell>
          <cell r="N947" t="str">
            <v>1-Victron</v>
          </cell>
        </row>
        <row r="948">
          <cell r="A948" t="str">
            <v>B0947</v>
          </cell>
          <cell r="C948" t="str">
            <v>Victron</v>
          </cell>
          <cell r="D948" t="str">
            <v>BatteryProtect 48V-100A</v>
          </cell>
          <cell r="E948" t="str">
            <v>BPR048100400</v>
          </cell>
          <cell r="F948" t="str">
            <v>MPN (Part #)</v>
          </cell>
          <cell r="G948">
            <v>0</v>
          </cell>
          <cell r="H948">
            <v>0</v>
          </cell>
          <cell r="I948">
            <v>0</v>
          </cell>
          <cell r="J948">
            <v>0.8</v>
          </cell>
          <cell r="K948">
            <v>6.2</v>
          </cell>
          <cell r="L948">
            <v>12.3</v>
          </cell>
          <cell r="M948">
            <v>12</v>
          </cell>
          <cell r="N948" t="str">
            <v>1-Victron</v>
          </cell>
        </row>
        <row r="949">
          <cell r="A949" t="str">
            <v>B0948</v>
          </cell>
          <cell r="C949" t="str">
            <v>Victron</v>
          </cell>
          <cell r="D949" t="str">
            <v>BlueSolar PWM-LCD&amp;USB 12/24V-5A</v>
          </cell>
          <cell r="E949" t="str">
            <v>SCC010005050</v>
          </cell>
          <cell r="F949" t="str">
            <v>MPN (Part #)</v>
          </cell>
          <cell r="G949">
            <v>41.6</v>
          </cell>
          <cell r="H949">
            <v>37.800000000000004</v>
          </cell>
          <cell r="I949">
            <v>0</v>
          </cell>
          <cell r="J949">
            <v>0.15</v>
          </cell>
          <cell r="K949">
            <v>9.6</v>
          </cell>
          <cell r="L949">
            <v>16.899999999999999</v>
          </cell>
          <cell r="M949">
            <v>3.6</v>
          </cell>
          <cell r="N949" t="str">
            <v>1-Victron</v>
          </cell>
        </row>
        <row r="950">
          <cell r="A950" t="str">
            <v>B0949</v>
          </cell>
          <cell r="C950" t="str">
            <v>Victron</v>
          </cell>
          <cell r="D950" t="str">
            <v>BlueSolar PWM-LCD&amp;USB 12/24V-10A</v>
          </cell>
          <cell r="E950" t="str">
            <v>SCC010010050</v>
          </cell>
          <cell r="F950" t="str">
            <v>MPN (Part #)</v>
          </cell>
          <cell r="G950">
            <v>46.550000000000004</v>
          </cell>
          <cell r="H950">
            <v>42.300000000000004</v>
          </cell>
          <cell r="I950">
            <v>0</v>
          </cell>
          <cell r="J950">
            <v>0.15</v>
          </cell>
          <cell r="K950">
            <v>9.6</v>
          </cell>
          <cell r="L950">
            <v>16.899999999999999</v>
          </cell>
          <cell r="M950">
            <v>3.6</v>
          </cell>
          <cell r="N950" t="str">
            <v>1-Victron</v>
          </cell>
        </row>
        <row r="951">
          <cell r="A951" t="str">
            <v>B0950</v>
          </cell>
          <cell r="C951" t="str">
            <v>Victron</v>
          </cell>
          <cell r="D951" t="str">
            <v>BlueSolar PWM-LCD&amp;USB 12/24V-20A</v>
          </cell>
          <cell r="E951" t="str">
            <v>SCC010020050</v>
          </cell>
          <cell r="F951" t="str">
            <v>MPN (Part #)</v>
          </cell>
          <cell r="G951">
            <v>58.400000000000006</v>
          </cell>
          <cell r="H951">
            <v>53.1</v>
          </cell>
          <cell r="I951">
            <v>0</v>
          </cell>
          <cell r="J951">
            <v>0.15</v>
          </cell>
          <cell r="K951">
            <v>9.6</v>
          </cell>
          <cell r="L951">
            <v>16.899999999999999</v>
          </cell>
          <cell r="M951">
            <v>3.6</v>
          </cell>
          <cell r="N951" t="str">
            <v>1-Victron</v>
          </cell>
        </row>
        <row r="952">
          <cell r="A952" t="str">
            <v>B0951</v>
          </cell>
          <cell r="C952" t="str">
            <v>Victron</v>
          </cell>
          <cell r="D952" t="str">
            <v>BlueSolar PWM-LCD&amp;USB 12/24V-30A</v>
          </cell>
          <cell r="E952" t="str">
            <v>SCC010030050</v>
          </cell>
          <cell r="F952" t="str">
            <v>MPN (Part #)</v>
          </cell>
          <cell r="G952">
            <v>76.25</v>
          </cell>
          <cell r="H952">
            <v>69.3</v>
          </cell>
          <cell r="I952">
            <v>0</v>
          </cell>
          <cell r="J952">
            <v>0.15</v>
          </cell>
          <cell r="K952">
            <v>10.199999999999999</v>
          </cell>
          <cell r="L952">
            <v>18.399999999999999</v>
          </cell>
          <cell r="M952">
            <v>4.8</v>
          </cell>
          <cell r="N952" t="str">
            <v>1-Victron</v>
          </cell>
        </row>
        <row r="953">
          <cell r="A953" t="str">
            <v>B0952</v>
          </cell>
          <cell r="C953" t="str">
            <v>Victron</v>
          </cell>
          <cell r="D953" t="str">
            <v>BlueSolar PWM-LCD&amp;USB 48V-10A</v>
          </cell>
          <cell r="E953" t="str">
            <v>SCC040010050</v>
          </cell>
          <cell r="F953" t="str">
            <v>MPN (Part #)</v>
          </cell>
          <cell r="G953">
            <v>81.2</v>
          </cell>
          <cell r="H953">
            <v>73.8</v>
          </cell>
          <cell r="I953">
            <v>0</v>
          </cell>
          <cell r="J953">
            <v>0.15</v>
          </cell>
          <cell r="K953">
            <v>10.199999999999999</v>
          </cell>
          <cell r="L953">
            <v>18.399999999999999</v>
          </cell>
          <cell r="M953">
            <v>4.8</v>
          </cell>
          <cell r="N953" t="str">
            <v>1-Victron</v>
          </cell>
        </row>
        <row r="954">
          <cell r="A954" t="str">
            <v>B0953</v>
          </cell>
          <cell r="C954" t="str">
            <v>Victron</v>
          </cell>
          <cell r="D954" t="str">
            <v>Remote panel for BlueSolar PWM-Pro</v>
          </cell>
          <cell r="E954" t="str">
            <v>SCC900300000</v>
          </cell>
          <cell r="F954" t="str">
            <v>MPN (Part #)</v>
          </cell>
          <cell r="G954">
            <v>70.3</v>
          </cell>
          <cell r="H954">
            <v>63.900000000000006</v>
          </cell>
          <cell r="I954">
            <v>0</v>
          </cell>
          <cell r="J954">
            <v>0.21</v>
          </cell>
          <cell r="K954">
            <v>4.9000000000000004</v>
          </cell>
          <cell r="L954">
            <v>11.3</v>
          </cell>
          <cell r="M954">
            <v>11.3</v>
          </cell>
          <cell r="N954" t="str">
            <v>1-Victron</v>
          </cell>
        </row>
        <row r="955">
          <cell r="A955" t="str">
            <v>B0954</v>
          </cell>
          <cell r="C955" t="str">
            <v>Victron</v>
          </cell>
          <cell r="D955" t="str">
            <v>Temperature sensor for BlueSolar PWM-Pro</v>
          </cell>
          <cell r="E955" t="str">
            <v>SCC940100100</v>
          </cell>
          <cell r="F955" t="str">
            <v>MPN (Part #)</v>
          </cell>
          <cell r="G955">
            <v>18.8</v>
          </cell>
          <cell r="H955">
            <v>17.100000000000001</v>
          </cell>
          <cell r="I955">
            <v>0</v>
          </cell>
          <cell r="N955" t="str">
            <v>1-Victron</v>
          </cell>
        </row>
        <row r="956">
          <cell r="A956" t="str">
            <v>B0955</v>
          </cell>
          <cell r="C956" t="str">
            <v>Victron</v>
          </cell>
          <cell r="D956" t="str">
            <v>BlueSolar PWM-Pro to USB interface cable</v>
          </cell>
          <cell r="E956" t="str">
            <v>SCC940100200</v>
          </cell>
          <cell r="F956" t="str">
            <v>MPN (Part #)</v>
          </cell>
          <cell r="G956">
            <v>18.8</v>
          </cell>
          <cell r="H956">
            <v>17.100000000000001</v>
          </cell>
          <cell r="I956">
            <v>0</v>
          </cell>
          <cell r="N956" t="str">
            <v>1-Victron</v>
          </cell>
        </row>
        <row r="957">
          <cell r="A957" t="str">
            <v>B0956</v>
          </cell>
          <cell r="C957" t="str">
            <v>Victron</v>
          </cell>
          <cell r="D957" t="str">
            <v>BlueSolar PWM DUO 12/24V-20A</v>
          </cell>
          <cell r="E957" t="str">
            <v>SCC010020000</v>
          </cell>
          <cell r="F957" t="str">
            <v>MPN (Part #)</v>
          </cell>
          <cell r="G957">
            <v>0</v>
          </cell>
          <cell r="H957">
            <v>0</v>
          </cell>
          <cell r="I957">
            <v>0</v>
          </cell>
          <cell r="K957">
            <v>7.6</v>
          </cell>
          <cell r="L957">
            <v>15.3</v>
          </cell>
          <cell r="M957">
            <v>3.7</v>
          </cell>
          <cell r="N957" t="str">
            <v>1-Victron</v>
          </cell>
        </row>
        <row r="958">
          <cell r="A958" t="str">
            <v>B0957</v>
          </cell>
          <cell r="C958" t="str">
            <v>Victron</v>
          </cell>
          <cell r="D958" t="str">
            <v>Remote Panel for BlueSolar DUO</v>
          </cell>
          <cell r="E958" t="str">
            <v>SCC900200000</v>
          </cell>
          <cell r="F958" t="str">
            <v>MPN (Part #)</v>
          </cell>
          <cell r="G958">
            <v>0</v>
          </cell>
          <cell r="H958">
            <v>0</v>
          </cell>
          <cell r="I958">
            <v>0</v>
          </cell>
          <cell r="K958">
            <v>4.9000000000000004</v>
          </cell>
          <cell r="L958">
            <v>11.3</v>
          </cell>
          <cell r="M958">
            <v>11.3</v>
          </cell>
          <cell r="N958" t="str">
            <v>1-Victron</v>
          </cell>
        </row>
        <row r="959">
          <cell r="A959" t="str">
            <v>B0958</v>
          </cell>
          <cell r="B959" t="str">
            <v>Solar Controllers</v>
          </cell>
          <cell r="C959" t="str">
            <v>Victron</v>
          </cell>
          <cell r="D959" t="str">
            <v>SmartSolar MPPT 150/70-Tr VE.Can</v>
          </cell>
          <cell r="E959" t="str">
            <v>SCC115070410</v>
          </cell>
          <cell r="F959" t="str">
            <v>MPN (Part #)</v>
          </cell>
          <cell r="G959">
            <v>0</v>
          </cell>
          <cell r="H959">
            <v>0</v>
          </cell>
          <cell r="I959">
            <v>0</v>
          </cell>
          <cell r="J959">
            <v>4.2</v>
          </cell>
          <cell r="K959">
            <v>20</v>
          </cell>
          <cell r="L959">
            <v>25</v>
          </cell>
          <cell r="M959">
            <v>9.5</v>
          </cell>
          <cell r="N959" t="str">
            <v>1-Victron</v>
          </cell>
        </row>
        <row r="960">
          <cell r="A960" t="str">
            <v>B0959</v>
          </cell>
          <cell r="B960" t="str">
            <v>Solar Controllers</v>
          </cell>
          <cell r="C960" t="str">
            <v>Victron</v>
          </cell>
          <cell r="D960" t="str">
            <v>Smart Solar MPPT 150/100-Tr VE.Can</v>
          </cell>
          <cell r="E960" t="str">
            <v>SCC115110411</v>
          </cell>
          <cell r="F960" t="str">
            <v>MPN (Part #)</v>
          </cell>
          <cell r="G960">
            <v>877.15000000000009</v>
          </cell>
          <cell r="H960">
            <v>797.40000000000009</v>
          </cell>
          <cell r="I960">
            <v>0</v>
          </cell>
          <cell r="J960">
            <v>4.5</v>
          </cell>
          <cell r="K960">
            <v>21.6</v>
          </cell>
          <cell r="L960">
            <v>29.5</v>
          </cell>
          <cell r="M960">
            <v>10.3</v>
          </cell>
          <cell r="N960" t="str">
            <v>1-Victron</v>
          </cell>
        </row>
        <row r="961">
          <cell r="A961" t="str">
            <v>B0960</v>
          </cell>
          <cell r="B961" t="str">
            <v>Solar Controllers</v>
          </cell>
          <cell r="C961" t="str">
            <v>Victron</v>
          </cell>
          <cell r="D961" t="str">
            <v>Smart Solar MPPT 250/70-Tr VE.Can</v>
          </cell>
          <cell r="E961" t="str">
            <v>SCC125070421</v>
          </cell>
          <cell r="F961" t="str">
            <v>MPN (Part #)</v>
          </cell>
          <cell r="G961">
            <v>866.25</v>
          </cell>
          <cell r="H961">
            <v>787.5</v>
          </cell>
          <cell r="I961">
            <v>0</v>
          </cell>
          <cell r="J961">
            <v>4.2</v>
          </cell>
          <cell r="K961">
            <v>15</v>
          </cell>
          <cell r="L961">
            <v>27</v>
          </cell>
          <cell r="M961">
            <v>25</v>
          </cell>
          <cell r="N961" t="str">
            <v>1-Victron</v>
          </cell>
        </row>
        <row r="962">
          <cell r="A962" t="str">
            <v>B0961</v>
          </cell>
          <cell r="C962" t="str">
            <v>Victron</v>
          </cell>
          <cell r="D962" t="str">
            <v>SmartSolar MPPT 250/85-Tr</v>
          </cell>
          <cell r="E962" t="str">
            <v>SCC125085210</v>
          </cell>
          <cell r="F962" t="str">
            <v>MPN (Part #)</v>
          </cell>
          <cell r="G962">
            <v>0</v>
          </cell>
          <cell r="H962">
            <v>0</v>
          </cell>
          <cell r="I962">
            <v>0</v>
          </cell>
          <cell r="J962">
            <v>4.5</v>
          </cell>
          <cell r="K962">
            <v>21.6</v>
          </cell>
          <cell r="L962">
            <v>29.5</v>
          </cell>
          <cell r="M962">
            <v>10.3</v>
          </cell>
          <cell r="N962" t="str">
            <v>1-Victron</v>
          </cell>
        </row>
        <row r="963">
          <cell r="A963" t="str">
            <v>B0962</v>
          </cell>
          <cell r="B963" t="str">
            <v>Solar Controllers</v>
          </cell>
          <cell r="C963" t="str">
            <v>Victron</v>
          </cell>
          <cell r="D963" t="str">
            <v>Smart Solar MPPT 250/100-Tr VE.Can</v>
          </cell>
          <cell r="E963" t="str">
            <v>SCC125110411</v>
          </cell>
          <cell r="F963" t="str">
            <v>MPN (Part #)</v>
          </cell>
          <cell r="G963">
            <v>0</v>
          </cell>
          <cell r="H963">
            <v>0</v>
          </cell>
          <cell r="I963">
            <v>0</v>
          </cell>
          <cell r="J963">
            <v>5.5</v>
          </cell>
          <cell r="K963">
            <v>33</v>
          </cell>
          <cell r="L963">
            <v>29</v>
          </cell>
          <cell r="M963">
            <v>16</v>
          </cell>
          <cell r="N963" t="str">
            <v>1-Victron</v>
          </cell>
        </row>
        <row r="964">
          <cell r="A964" t="str">
            <v>B0963</v>
          </cell>
          <cell r="C964" t="str">
            <v>Victron</v>
          </cell>
          <cell r="D964" t="str">
            <v>MPPT WireBox-S 75-10/15 (For 75/10 and 75-15)</v>
          </cell>
          <cell r="E964" t="str">
            <v>SCC950100000</v>
          </cell>
          <cell r="F964" t="str">
            <v>MPN (Part #)</v>
          </cell>
          <cell r="G964">
            <v>39.6</v>
          </cell>
          <cell r="H964">
            <v>36</v>
          </cell>
          <cell r="I964">
            <v>0</v>
          </cell>
          <cell r="N964" t="str">
            <v>1-Victron</v>
          </cell>
        </row>
        <row r="965">
          <cell r="A965" t="str">
            <v>B0964</v>
          </cell>
          <cell r="C965" t="str">
            <v>Victron</v>
          </cell>
          <cell r="D965" t="str">
            <v>MPPT WireBox-S 100-15</v>
          </cell>
          <cell r="E965" t="str">
            <v>SCC950120000</v>
          </cell>
          <cell r="F965" t="str">
            <v>MPN (Part #)</v>
          </cell>
          <cell r="G965">
            <v>39.6</v>
          </cell>
          <cell r="H965">
            <v>36</v>
          </cell>
          <cell r="I965">
            <v>0</v>
          </cell>
          <cell r="N965" t="str">
            <v>1-Victron</v>
          </cell>
        </row>
        <row r="966">
          <cell r="A966" t="str">
            <v>B0965</v>
          </cell>
          <cell r="C966" t="str">
            <v>Victron</v>
          </cell>
          <cell r="D966" t="str">
            <v>MPPT WireBox-S 100-20</v>
          </cell>
          <cell r="E966" t="str">
            <v>SCC950140000</v>
          </cell>
          <cell r="F966" t="str">
            <v>MPN (Part #)</v>
          </cell>
          <cell r="G966">
            <v>39.6</v>
          </cell>
          <cell r="H966">
            <v>36</v>
          </cell>
          <cell r="I966">
            <v>0</v>
          </cell>
          <cell r="N966" t="str">
            <v>1-Victron</v>
          </cell>
        </row>
        <row r="967">
          <cell r="A967" t="str">
            <v>B0966</v>
          </cell>
          <cell r="C967" t="str">
            <v>Victron</v>
          </cell>
          <cell r="D967" t="str">
            <v>MPPT WireBox-M (for models with h-130mm)</v>
          </cell>
          <cell r="E967" t="str">
            <v>SCC950200000</v>
          </cell>
          <cell r="F967" t="str">
            <v>MPN (Part #)</v>
          </cell>
          <cell r="G967">
            <v>49.5</v>
          </cell>
          <cell r="H967">
            <v>45</v>
          </cell>
          <cell r="I967">
            <v>0</v>
          </cell>
          <cell r="N967" t="str">
            <v>1-Victron</v>
          </cell>
        </row>
        <row r="968">
          <cell r="A968" t="str">
            <v>B0967</v>
          </cell>
          <cell r="C968" t="str">
            <v>Victron</v>
          </cell>
          <cell r="D968" t="str">
            <v>Lynx Ion + Shunt 350A (not supported in AU)</v>
          </cell>
          <cell r="E968" t="str">
            <v>LYN040351000</v>
          </cell>
          <cell r="F968" t="str">
            <v>MPN (Part #)</v>
          </cell>
          <cell r="G968">
            <v>0</v>
          </cell>
          <cell r="H968">
            <v>0</v>
          </cell>
          <cell r="I968">
            <v>0</v>
          </cell>
          <cell r="K968">
            <v>19</v>
          </cell>
          <cell r="L968">
            <v>18</v>
          </cell>
          <cell r="M968">
            <v>8</v>
          </cell>
          <cell r="N968" t="str">
            <v>1-Victron</v>
          </cell>
        </row>
        <row r="969">
          <cell r="A969" t="str">
            <v>B0968</v>
          </cell>
          <cell r="C969" t="str">
            <v>Victron</v>
          </cell>
          <cell r="D969" t="str">
            <v>Ion Control (not supported in AU)</v>
          </cell>
          <cell r="E969" t="str">
            <v>LYN010100100</v>
          </cell>
          <cell r="F969" t="str">
            <v>MPN (Part #)</v>
          </cell>
          <cell r="G969">
            <v>0</v>
          </cell>
          <cell r="H969">
            <v>0</v>
          </cell>
          <cell r="I969">
            <v>0</v>
          </cell>
          <cell r="K969">
            <v>11.3</v>
          </cell>
          <cell r="L969">
            <v>11.1</v>
          </cell>
          <cell r="M969">
            <v>3.7</v>
          </cell>
          <cell r="N969" t="str">
            <v>1-Victron</v>
          </cell>
        </row>
        <row r="970">
          <cell r="A970" t="str">
            <v>B0969</v>
          </cell>
          <cell r="C970" t="str">
            <v>Victron</v>
          </cell>
          <cell r="D970" t="str">
            <v>Victron Peak Power Pack 12,8V/8Ah 102Wh</v>
          </cell>
          <cell r="E970" t="str">
            <v>PPP012008000</v>
          </cell>
          <cell r="F970" t="str">
            <v>MPN (Part #)</v>
          </cell>
          <cell r="G970">
            <v>0</v>
          </cell>
          <cell r="H970">
            <v>0</v>
          </cell>
          <cell r="I970">
            <v>0</v>
          </cell>
          <cell r="K970">
            <v>9.1999999999999993</v>
          </cell>
          <cell r="L970">
            <v>19</v>
          </cell>
          <cell r="M970">
            <v>17.2</v>
          </cell>
          <cell r="N970" t="str">
            <v>1-Victron</v>
          </cell>
        </row>
        <row r="971">
          <cell r="A971" t="str">
            <v>B0970</v>
          </cell>
          <cell r="C971" t="str">
            <v>Victron</v>
          </cell>
          <cell r="D971" t="str">
            <v>Victron Peak Power Pack 12,8V/20Ah 256Wh</v>
          </cell>
          <cell r="E971" t="str">
            <v>PPP012020000</v>
          </cell>
          <cell r="F971" t="str">
            <v>MPN (Part #)</v>
          </cell>
          <cell r="G971">
            <v>0</v>
          </cell>
          <cell r="H971">
            <v>0</v>
          </cell>
          <cell r="I971">
            <v>0</v>
          </cell>
          <cell r="J971">
            <v>3.8</v>
          </cell>
          <cell r="K971">
            <v>13.2</v>
          </cell>
          <cell r="L971">
            <v>19</v>
          </cell>
          <cell r="M971">
            <v>17.2</v>
          </cell>
          <cell r="N971" t="str">
            <v>1-Victron</v>
          </cell>
        </row>
        <row r="972">
          <cell r="A972" t="str">
            <v>B0971</v>
          </cell>
          <cell r="C972" t="str">
            <v>Victron</v>
          </cell>
          <cell r="D972" t="str">
            <v>Victron Peak Power Pack 12,8V/30Ah 384Wh</v>
          </cell>
          <cell r="E972" t="str">
            <v>PPP012030000</v>
          </cell>
          <cell r="F972" t="str">
            <v>MPN (Part #)</v>
          </cell>
          <cell r="G972">
            <v>0</v>
          </cell>
          <cell r="H972">
            <v>0</v>
          </cell>
          <cell r="I972">
            <v>0</v>
          </cell>
          <cell r="J972">
            <v>5.4</v>
          </cell>
          <cell r="K972">
            <v>17.2</v>
          </cell>
          <cell r="L972">
            <v>19</v>
          </cell>
          <cell r="M972">
            <v>17.2</v>
          </cell>
          <cell r="N972" t="str">
            <v>1-Victron</v>
          </cell>
        </row>
        <row r="973">
          <cell r="A973" t="str">
            <v>B0972</v>
          </cell>
          <cell r="C973" t="str">
            <v>Victron</v>
          </cell>
          <cell r="D973" t="str">
            <v>Victron Peak Power Pack 12,8V/40Ah 512Wh</v>
          </cell>
          <cell r="E973" t="str">
            <v>PPP012040000</v>
          </cell>
          <cell r="F973" t="str">
            <v>MPN (Part #)</v>
          </cell>
          <cell r="G973">
            <v>0</v>
          </cell>
          <cell r="H973">
            <v>0</v>
          </cell>
          <cell r="I973">
            <v>0</v>
          </cell>
          <cell r="J973">
            <v>8.6</v>
          </cell>
          <cell r="K973">
            <v>21.2</v>
          </cell>
          <cell r="L973">
            <v>19</v>
          </cell>
          <cell r="M973">
            <v>17.2</v>
          </cell>
          <cell r="N973" t="str">
            <v>1-Victron</v>
          </cell>
        </row>
        <row r="974">
          <cell r="A974" t="str">
            <v>B0973</v>
          </cell>
          <cell r="C974" t="str">
            <v>Victron</v>
          </cell>
          <cell r="D974" t="str">
            <v>Mini BMS</v>
          </cell>
          <cell r="E974" t="str">
            <v>BMS400100000</v>
          </cell>
          <cell r="F974" t="str">
            <v>MPN (Part #)</v>
          </cell>
          <cell r="G974">
            <v>0</v>
          </cell>
          <cell r="H974">
            <v>0</v>
          </cell>
          <cell r="I974">
            <v>0</v>
          </cell>
          <cell r="K974">
            <v>4.3</v>
          </cell>
          <cell r="L974">
            <v>10.6</v>
          </cell>
          <cell r="M974">
            <v>2.2999999999999998</v>
          </cell>
          <cell r="N974" t="str">
            <v>1-Victron</v>
          </cell>
        </row>
        <row r="975">
          <cell r="A975" t="str">
            <v>B0974</v>
          </cell>
          <cell r="C975" t="str">
            <v>Victron</v>
          </cell>
          <cell r="D975" t="str">
            <v>Battery Management System 12/200</v>
          </cell>
          <cell r="E975" t="str">
            <v>BMS012201000</v>
          </cell>
          <cell r="F975" t="str">
            <v>MPN (Part #)</v>
          </cell>
          <cell r="G975">
            <v>0</v>
          </cell>
          <cell r="H975">
            <v>0</v>
          </cell>
          <cell r="I975">
            <v>0</v>
          </cell>
          <cell r="J975">
            <v>1.8</v>
          </cell>
          <cell r="K975">
            <v>6.5</v>
          </cell>
          <cell r="L975">
            <v>12</v>
          </cell>
          <cell r="M975">
            <v>26</v>
          </cell>
          <cell r="N975" t="str">
            <v>1-Victron</v>
          </cell>
        </row>
        <row r="976">
          <cell r="A976" t="str">
            <v>B0975</v>
          </cell>
          <cell r="C976" t="str">
            <v>Victron</v>
          </cell>
          <cell r="D976" t="str">
            <v>Male to Female 3 pole 1 m (bag of 2)</v>
          </cell>
          <cell r="E976" t="str">
            <v>ASS030560100</v>
          </cell>
          <cell r="F976" t="str">
            <v>MPN (Part #)</v>
          </cell>
          <cell r="G976">
            <v>0</v>
          </cell>
          <cell r="H976">
            <v>0</v>
          </cell>
          <cell r="I976">
            <v>0</v>
          </cell>
          <cell r="N976" t="str">
            <v>1-Victron</v>
          </cell>
        </row>
        <row r="977">
          <cell r="A977" t="str">
            <v>B0976</v>
          </cell>
          <cell r="C977" t="str">
            <v>Victron</v>
          </cell>
          <cell r="D977" t="str">
            <v>Male to Female 3 pole 2 m (bag of 2)</v>
          </cell>
          <cell r="E977" t="str">
            <v>ASS030560200</v>
          </cell>
          <cell r="F977" t="str">
            <v>MPN (Part #)</v>
          </cell>
          <cell r="G977">
            <v>0</v>
          </cell>
          <cell r="H977">
            <v>0</v>
          </cell>
          <cell r="I977">
            <v>0</v>
          </cell>
          <cell r="N977" t="str">
            <v>1-Victron</v>
          </cell>
        </row>
        <row r="978">
          <cell r="A978" t="str">
            <v>B0977</v>
          </cell>
          <cell r="C978" t="str">
            <v>Victron</v>
          </cell>
          <cell r="D978" t="str">
            <v>Male to Female 3 pole 3 m (bag of 2)</v>
          </cell>
          <cell r="E978" t="str">
            <v>ASS030560300</v>
          </cell>
          <cell r="F978" t="str">
            <v>MPN (Part #)</v>
          </cell>
          <cell r="G978">
            <v>0</v>
          </cell>
          <cell r="H978">
            <v>0</v>
          </cell>
          <cell r="I978">
            <v>0</v>
          </cell>
          <cell r="N978" t="str">
            <v>1-Victron</v>
          </cell>
        </row>
        <row r="979">
          <cell r="A979" t="str">
            <v>B0978</v>
          </cell>
          <cell r="C979" t="str">
            <v>Victron</v>
          </cell>
          <cell r="D979" t="str">
            <v>Male to Female 3 pole 5 m (bag of 2)</v>
          </cell>
          <cell r="E979" t="str">
            <v>ASS030560500</v>
          </cell>
          <cell r="F979" t="str">
            <v>MPN (Part #)</v>
          </cell>
          <cell r="G979">
            <v>0</v>
          </cell>
          <cell r="H979">
            <v>0</v>
          </cell>
          <cell r="I979">
            <v>0</v>
          </cell>
          <cell r="N979" t="str">
            <v>1-Victron</v>
          </cell>
        </row>
        <row r="980">
          <cell r="A980" t="str">
            <v>B0979</v>
          </cell>
          <cell r="C980" t="str">
            <v>Victron</v>
          </cell>
          <cell r="D980" t="str">
            <v>VE.Bus BMS to BMS 12-200 alternator control cable</v>
          </cell>
          <cell r="E980" t="str">
            <v>ASS030510120</v>
          </cell>
          <cell r="F980" t="str">
            <v>MPN (Part #)</v>
          </cell>
          <cell r="G980">
            <v>0</v>
          </cell>
          <cell r="H980">
            <v>0</v>
          </cell>
          <cell r="I980">
            <v>0</v>
          </cell>
          <cell r="N980" t="str">
            <v>1-Victron</v>
          </cell>
        </row>
        <row r="981">
          <cell r="A981" t="str">
            <v>B0980</v>
          </cell>
          <cell r="C981" t="str">
            <v>Victron</v>
          </cell>
          <cell r="D981" t="str">
            <v>Inverting remote on-off cable</v>
          </cell>
          <cell r="E981" t="str">
            <v>ASS030550100</v>
          </cell>
          <cell r="F981" t="str">
            <v>MPN (Part #)</v>
          </cell>
          <cell r="G981">
            <v>0</v>
          </cell>
          <cell r="H981">
            <v>0</v>
          </cell>
          <cell r="I981">
            <v>0</v>
          </cell>
          <cell r="N981" t="str">
            <v>1-Victron</v>
          </cell>
        </row>
        <row r="982">
          <cell r="A982" t="str">
            <v>B0981</v>
          </cell>
          <cell r="C982" t="str">
            <v>Victron</v>
          </cell>
          <cell r="D982" t="str">
            <v>Non-inverting remote on-off cable</v>
          </cell>
          <cell r="E982" t="str">
            <v>ASS030550200</v>
          </cell>
          <cell r="F982" t="str">
            <v>MPN (Part #)</v>
          </cell>
          <cell r="G982">
            <v>0</v>
          </cell>
          <cell r="H982">
            <v>0</v>
          </cell>
          <cell r="I982">
            <v>0</v>
          </cell>
          <cell r="N982" t="str">
            <v>1-Victron</v>
          </cell>
        </row>
        <row r="983">
          <cell r="A983" t="str">
            <v>B0982</v>
          </cell>
          <cell r="C983" t="str">
            <v>Victron</v>
          </cell>
          <cell r="D983" t="str">
            <v>Cyrix-Li-load 12/24V-230A</v>
          </cell>
          <cell r="E983" t="str">
            <v>CYR010230450</v>
          </cell>
          <cell r="F983" t="str">
            <v>MPN (Part #)</v>
          </cell>
          <cell r="G983">
            <v>0</v>
          </cell>
          <cell r="H983">
            <v>0</v>
          </cell>
          <cell r="I983">
            <v>0</v>
          </cell>
          <cell r="J983">
            <v>0.27</v>
          </cell>
          <cell r="K983">
            <v>6.5</v>
          </cell>
          <cell r="L983">
            <v>10</v>
          </cell>
          <cell r="M983">
            <v>5</v>
          </cell>
          <cell r="N983" t="str">
            <v>1-Victron</v>
          </cell>
        </row>
        <row r="984">
          <cell r="A984" t="str">
            <v>B0983</v>
          </cell>
          <cell r="C984" t="str">
            <v>Victron</v>
          </cell>
          <cell r="D984" t="str">
            <v>Cyrix-Li-load 24/48V-230A</v>
          </cell>
          <cell r="E984" t="str">
            <v>CYR020230450</v>
          </cell>
          <cell r="F984" t="str">
            <v>MPN (Part #)</v>
          </cell>
          <cell r="G984">
            <v>0</v>
          </cell>
          <cell r="H984">
            <v>0</v>
          </cell>
          <cell r="I984">
            <v>0</v>
          </cell>
          <cell r="J984">
            <v>0.27</v>
          </cell>
          <cell r="K984">
            <v>6.5</v>
          </cell>
          <cell r="L984">
            <v>10</v>
          </cell>
          <cell r="M984">
            <v>5</v>
          </cell>
          <cell r="N984" t="str">
            <v>1-Victron</v>
          </cell>
        </row>
        <row r="985">
          <cell r="A985" t="str">
            <v>B0984</v>
          </cell>
          <cell r="C985" t="str">
            <v>Victron</v>
          </cell>
          <cell r="D985" t="str">
            <v>Cyrix-Li-Charge 12/24V-230A</v>
          </cell>
          <cell r="E985" t="str">
            <v>CYR010230430</v>
          </cell>
          <cell r="F985" t="str">
            <v>MPN (Part #)</v>
          </cell>
          <cell r="G985">
            <v>0</v>
          </cell>
          <cell r="H985">
            <v>0</v>
          </cell>
          <cell r="I985">
            <v>0</v>
          </cell>
          <cell r="J985">
            <v>0.27</v>
          </cell>
          <cell r="K985">
            <v>6.5</v>
          </cell>
          <cell r="L985">
            <v>10</v>
          </cell>
          <cell r="M985">
            <v>5</v>
          </cell>
          <cell r="N985" t="str">
            <v>1-Victron</v>
          </cell>
        </row>
        <row r="986">
          <cell r="A986" t="str">
            <v>B0985</v>
          </cell>
          <cell r="C986" t="str">
            <v>Victron</v>
          </cell>
          <cell r="D986" t="str">
            <v>Cyrix-Li-Charge 24/48V-230A</v>
          </cell>
          <cell r="E986" t="str">
            <v>CYR020230430</v>
          </cell>
          <cell r="F986" t="str">
            <v>MPN (Part #)</v>
          </cell>
          <cell r="G986">
            <v>0</v>
          </cell>
          <cell r="H986">
            <v>0</v>
          </cell>
          <cell r="I986">
            <v>0</v>
          </cell>
          <cell r="J986">
            <v>0.27</v>
          </cell>
          <cell r="K986">
            <v>6.5</v>
          </cell>
          <cell r="L986">
            <v>10</v>
          </cell>
          <cell r="M986">
            <v>5</v>
          </cell>
          <cell r="N986" t="str">
            <v>1-Victron</v>
          </cell>
        </row>
        <row r="987">
          <cell r="A987" t="str">
            <v>B0986</v>
          </cell>
          <cell r="C987" t="str">
            <v>Victron</v>
          </cell>
          <cell r="D987" t="str">
            <v>Cyrix-Li-ct 12/24V-230A combiner</v>
          </cell>
          <cell r="E987" t="str">
            <v>CYR010230412</v>
          </cell>
          <cell r="F987" t="str">
            <v>MPN (Part #)</v>
          </cell>
          <cell r="G987">
            <v>0</v>
          </cell>
          <cell r="H987">
            <v>0</v>
          </cell>
          <cell r="I987">
            <v>0</v>
          </cell>
          <cell r="J987">
            <v>0.27</v>
          </cell>
          <cell r="K987">
            <v>6.5</v>
          </cell>
          <cell r="L987">
            <v>10</v>
          </cell>
          <cell r="M987">
            <v>5</v>
          </cell>
          <cell r="N987" t="str">
            <v>1-Victron</v>
          </cell>
        </row>
        <row r="988">
          <cell r="A988" t="str">
            <v>B0987</v>
          </cell>
          <cell r="C988" t="str">
            <v>Victron</v>
          </cell>
          <cell r="D988" t="str">
            <v>Inverting remote on-off cable</v>
          </cell>
          <cell r="E988" t="str">
            <v>ASS030550100</v>
          </cell>
          <cell r="F988" t="str">
            <v>MPN (Part #)</v>
          </cell>
          <cell r="G988">
            <v>0</v>
          </cell>
          <cell r="H988">
            <v>0</v>
          </cell>
          <cell r="I988">
            <v>0</v>
          </cell>
          <cell r="N988" t="str">
            <v>1-Victron</v>
          </cell>
        </row>
        <row r="989">
          <cell r="A989" t="str">
            <v>B0988</v>
          </cell>
          <cell r="C989" t="str">
            <v>Victron</v>
          </cell>
          <cell r="D989" t="str">
            <v>VE.Direct TX digital output cable (PWM light dimming cable)</v>
          </cell>
          <cell r="E989" t="str">
            <v>ASS030550500</v>
          </cell>
          <cell r="F989" t="str">
            <v>MPN (Part #)</v>
          </cell>
          <cell r="G989">
            <v>0</v>
          </cell>
          <cell r="H989">
            <v>0</v>
          </cell>
          <cell r="I989">
            <v>0</v>
          </cell>
          <cell r="N989" t="str">
            <v>1-Victron</v>
          </cell>
        </row>
        <row r="990">
          <cell r="A990" t="str">
            <v>B0989</v>
          </cell>
          <cell r="C990" t="str">
            <v>Victron</v>
          </cell>
          <cell r="D990" t="str">
            <v>MPPT Control (VE.Direct cable not included)</v>
          </cell>
          <cell r="E990" t="str">
            <v>SCC900500000</v>
          </cell>
          <cell r="F990" t="str">
            <v>MPN (Part #)</v>
          </cell>
          <cell r="G990">
            <v>0</v>
          </cell>
          <cell r="H990">
            <v>0</v>
          </cell>
          <cell r="I990">
            <v>0</v>
          </cell>
          <cell r="J990">
            <v>0.3</v>
          </cell>
          <cell r="K990">
            <v>6.5</v>
          </cell>
          <cell r="L990">
            <v>6.5</v>
          </cell>
          <cell r="M990">
            <v>3</v>
          </cell>
          <cell r="N990" t="str">
            <v>1-Victron</v>
          </cell>
        </row>
        <row r="991">
          <cell r="A991" t="str">
            <v>B0990</v>
          </cell>
          <cell r="C991" t="str">
            <v>Victron</v>
          </cell>
          <cell r="D991" t="str">
            <v>VE.Direct non-inverting remote on-off cable</v>
          </cell>
          <cell r="E991" t="str">
            <v>ASS030550320</v>
          </cell>
          <cell r="F991" t="str">
            <v>MPN (Part #)</v>
          </cell>
          <cell r="G991">
            <v>0</v>
          </cell>
          <cell r="H991">
            <v>0</v>
          </cell>
          <cell r="I991">
            <v>0</v>
          </cell>
          <cell r="N991" t="str">
            <v>1-Victron</v>
          </cell>
        </row>
        <row r="992">
          <cell r="A992" t="str">
            <v>B0991</v>
          </cell>
          <cell r="C992" t="str">
            <v>Victron</v>
          </cell>
          <cell r="D992" t="str">
            <v>Smart Battery Sense short range (&lt;3m)</v>
          </cell>
          <cell r="E992" t="str">
            <v>SBS050100200</v>
          </cell>
          <cell r="F992" t="str">
            <v>MPN (Part #)</v>
          </cell>
          <cell r="G992">
            <v>0</v>
          </cell>
          <cell r="H992">
            <v>0</v>
          </cell>
          <cell r="I992">
            <v>0</v>
          </cell>
          <cell r="N992" t="str">
            <v>1-Victron</v>
          </cell>
        </row>
        <row r="993">
          <cell r="A993" t="str">
            <v>B0992</v>
          </cell>
          <cell r="C993" t="str">
            <v>Victron</v>
          </cell>
          <cell r="D993" t="str">
            <v>Smart Battery Sense long range (up to 10m)</v>
          </cell>
          <cell r="E993" t="str">
            <v>SBS050150200</v>
          </cell>
          <cell r="F993" t="str">
            <v>MPN (Part #)</v>
          </cell>
          <cell r="G993">
            <v>0</v>
          </cell>
          <cell r="H993">
            <v>0</v>
          </cell>
          <cell r="I993">
            <v>0</v>
          </cell>
          <cell r="N993" t="str">
            <v>1-Victron</v>
          </cell>
        </row>
        <row r="994">
          <cell r="A994" t="str">
            <v>B0993</v>
          </cell>
          <cell r="C994" t="str">
            <v>Victron</v>
          </cell>
          <cell r="D994" t="str">
            <v>20W-12V Mono 440×350×25mm series 4a*</v>
          </cell>
          <cell r="E994" t="str">
            <v>SPM040201200</v>
          </cell>
          <cell r="F994" t="str">
            <v>MPN (Part #)</v>
          </cell>
          <cell r="G994">
            <v>0</v>
          </cell>
          <cell r="H994">
            <v>0</v>
          </cell>
          <cell r="I994">
            <v>0</v>
          </cell>
          <cell r="J994">
            <v>1.9</v>
          </cell>
          <cell r="N994" t="str">
            <v>1-Victron</v>
          </cell>
        </row>
        <row r="995">
          <cell r="A995" t="str">
            <v>B0994</v>
          </cell>
          <cell r="C995" t="str">
            <v>Victron</v>
          </cell>
          <cell r="D995" t="str">
            <v>30W-12V Mono 430×545×25mm series 3a*</v>
          </cell>
          <cell r="E995" t="str">
            <v>SPM030301200</v>
          </cell>
          <cell r="F995" t="str">
            <v>MPN (Part #)</v>
          </cell>
          <cell r="G995">
            <v>0</v>
          </cell>
          <cell r="H995">
            <v>0</v>
          </cell>
          <cell r="I995">
            <v>0</v>
          </cell>
          <cell r="N995" t="str">
            <v>1-Victron</v>
          </cell>
        </row>
        <row r="996">
          <cell r="A996" t="str">
            <v>B0995</v>
          </cell>
          <cell r="C996" t="str">
            <v>Victron</v>
          </cell>
          <cell r="D996" t="str">
            <v>40W-12V Mono 425×668×25mm series 4a*</v>
          </cell>
          <cell r="E996" t="str">
            <v>SPM040401200</v>
          </cell>
          <cell r="F996" t="str">
            <v>MPN (Part #)</v>
          </cell>
          <cell r="G996">
            <v>0</v>
          </cell>
          <cell r="H996">
            <v>0</v>
          </cell>
          <cell r="I996">
            <v>0</v>
          </cell>
          <cell r="J996">
            <v>3.1</v>
          </cell>
          <cell r="N996" t="str">
            <v>1-Victron</v>
          </cell>
        </row>
        <row r="997">
          <cell r="A997" t="str">
            <v>B0996</v>
          </cell>
          <cell r="C997" t="str">
            <v>Victron</v>
          </cell>
          <cell r="D997" t="str">
            <v>55W-12V Mono 545×668×25mm series 4a*</v>
          </cell>
          <cell r="E997" t="str">
            <v>SPM040551200</v>
          </cell>
          <cell r="F997" t="str">
            <v>MPN (Part #)</v>
          </cell>
          <cell r="G997">
            <v>0</v>
          </cell>
          <cell r="H997">
            <v>0</v>
          </cell>
          <cell r="I997">
            <v>0</v>
          </cell>
          <cell r="J997">
            <v>4</v>
          </cell>
          <cell r="N997" t="str">
            <v>1-Victron</v>
          </cell>
        </row>
        <row r="998">
          <cell r="A998" t="str">
            <v>B0997</v>
          </cell>
          <cell r="C998" t="str">
            <v>Victron</v>
          </cell>
          <cell r="D998" t="str">
            <v>80W-12V Mono 1195×545×35mm series 3a</v>
          </cell>
          <cell r="E998" t="str">
            <v>SPM030801200</v>
          </cell>
          <cell r="F998" t="str">
            <v>MPN (Part #)</v>
          </cell>
          <cell r="G998">
            <v>0</v>
          </cell>
          <cell r="H998">
            <v>0</v>
          </cell>
          <cell r="I998">
            <v>0</v>
          </cell>
          <cell r="N998" t="str">
            <v>1-Victron</v>
          </cell>
        </row>
        <row r="999">
          <cell r="A999" t="str">
            <v>B0998</v>
          </cell>
          <cell r="C999" t="str">
            <v>Victron</v>
          </cell>
          <cell r="D999" t="str">
            <v>90W-12V Mono 780×668×30mm series 4a</v>
          </cell>
          <cell r="E999" t="str">
            <v>SPM040901200</v>
          </cell>
          <cell r="F999" t="str">
            <v>MPN (Part #)</v>
          </cell>
          <cell r="G999">
            <v>151.45000000000002</v>
          </cell>
          <cell r="H999">
            <v>137.70000000000002</v>
          </cell>
          <cell r="I999">
            <v>0</v>
          </cell>
          <cell r="J999">
            <v>6.1</v>
          </cell>
          <cell r="N999" t="str">
            <v>1-Victron</v>
          </cell>
        </row>
        <row r="1000">
          <cell r="A1000" t="str">
            <v>B0999</v>
          </cell>
          <cell r="C1000" t="str">
            <v>Victron</v>
          </cell>
          <cell r="D1000" t="str">
            <v>115W-12V Mono 1015x668x30mm series 4a</v>
          </cell>
          <cell r="E1000" t="str">
            <v>SPM041151200</v>
          </cell>
          <cell r="F1000" t="str">
            <v>MPN (Part #)</v>
          </cell>
          <cell r="G1000">
            <v>173.25</v>
          </cell>
          <cell r="H1000">
            <v>157.5</v>
          </cell>
          <cell r="I1000">
            <v>0</v>
          </cell>
          <cell r="N1000" t="str">
            <v>1-Victron</v>
          </cell>
        </row>
        <row r="1001">
          <cell r="A1001" t="str">
            <v>B1000</v>
          </cell>
          <cell r="C1001" t="str">
            <v>Victron</v>
          </cell>
          <cell r="D1001" t="str">
            <v>175W-12V Mono 1485x668×30mm series 4a</v>
          </cell>
          <cell r="E1001" t="str">
            <v>SPM041751200</v>
          </cell>
          <cell r="F1001" t="str">
            <v>MPN (Part #)</v>
          </cell>
          <cell r="G1001">
            <v>0</v>
          </cell>
          <cell r="H1001">
            <v>0</v>
          </cell>
          <cell r="I1001">
            <v>0</v>
          </cell>
          <cell r="J1001">
            <v>11</v>
          </cell>
          <cell r="N1001" t="str">
            <v>1-Victron</v>
          </cell>
        </row>
        <row r="1002">
          <cell r="A1002" t="str">
            <v>B1001</v>
          </cell>
          <cell r="C1002" t="str">
            <v>Victron</v>
          </cell>
          <cell r="D1002" t="str">
            <v>215W-24V Mono 1580×808×35mm series 4a</v>
          </cell>
          <cell r="E1002" t="str">
            <v>SPM042152400</v>
          </cell>
          <cell r="F1002" t="str">
            <v>MPN (Part #)</v>
          </cell>
          <cell r="G1002">
            <v>0</v>
          </cell>
          <cell r="H1002">
            <v>0</v>
          </cell>
          <cell r="I1002">
            <v>0</v>
          </cell>
          <cell r="J1002">
            <v>15</v>
          </cell>
          <cell r="N1002" t="str">
            <v>1-Victron</v>
          </cell>
        </row>
        <row r="1003">
          <cell r="A1003" t="str">
            <v>B1002</v>
          </cell>
          <cell r="C1003" t="str">
            <v>Victron</v>
          </cell>
          <cell r="D1003" t="str">
            <v>305W-20V Mono 1640x992x35mm series 4a</v>
          </cell>
          <cell r="E1003" t="str">
            <v>SPM043052000</v>
          </cell>
          <cell r="F1003" t="str">
            <v>MPN (Part #)</v>
          </cell>
          <cell r="G1003">
            <v>0</v>
          </cell>
          <cell r="H1003">
            <v>0</v>
          </cell>
          <cell r="I1003">
            <v>0</v>
          </cell>
          <cell r="J1003">
            <v>18.399999999999999</v>
          </cell>
          <cell r="N1003" t="str">
            <v>1-Victron</v>
          </cell>
        </row>
        <row r="1004">
          <cell r="A1004" t="str">
            <v>B1003</v>
          </cell>
          <cell r="C1004" t="str">
            <v>Victron</v>
          </cell>
          <cell r="D1004" t="str">
            <v>360W-24V Mono 1956×992×40mm series 4a</v>
          </cell>
          <cell r="E1004" t="str">
            <v>SPM043602400</v>
          </cell>
          <cell r="F1004" t="str">
            <v>MPN (Part #)</v>
          </cell>
          <cell r="G1004">
            <v>0</v>
          </cell>
          <cell r="H1004">
            <v>0</v>
          </cell>
          <cell r="I1004">
            <v>0</v>
          </cell>
          <cell r="J1004">
            <v>22.5</v>
          </cell>
          <cell r="N1004" t="str">
            <v>1-Victron</v>
          </cell>
        </row>
        <row r="1005">
          <cell r="A1005" t="str">
            <v>B1004</v>
          </cell>
          <cell r="C1005" t="str">
            <v>Victron</v>
          </cell>
          <cell r="D1005" t="str">
            <v>Solar Cable 4mm with MC4 Connectors Length 1 m</v>
          </cell>
          <cell r="E1005" t="str">
            <v>SCA000100000</v>
          </cell>
          <cell r="F1005" t="str">
            <v>MPN (Part #)</v>
          </cell>
          <cell r="G1005">
            <v>0</v>
          </cell>
          <cell r="H1005">
            <v>0</v>
          </cell>
          <cell r="I1005">
            <v>0</v>
          </cell>
          <cell r="N1005" t="str">
            <v>1-Victron</v>
          </cell>
        </row>
        <row r="1006">
          <cell r="A1006" t="str">
            <v>B1005</v>
          </cell>
          <cell r="C1006" t="str">
            <v>Victron</v>
          </cell>
          <cell r="D1006" t="str">
            <v>Solar Cable 4mm with MC4 Connectors Length 3 m</v>
          </cell>
          <cell r="E1006" t="str">
            <v>SCA000300000</v>
          </cell>
          <cell r="F1006" t="str">
            <v>MPN (Part #)</v>
          </cell>
          <cell r="G1006">
            <v>0</v>
          </cell>
          <cell r="H1006">
            <v>0</v>
          </cell>
          <cell r="I1006">
            <v>0</v>
          </cell>
          <cell r="N1006" t="str">
            <v>1-Victron</v>
          </cell>
        </row>
        <row r="1007">
          <cell r="A1007" t="str">
            <v>B1006</v>
          </cell>
          <cell r="C1007" t="str">
            <v>Victron</v>
          </cell>
          <cell r="D1007" t="str">
            <v>Solar Cable 4mm with MC4 Connectors Length 5 m</v>
          </cell>
          <cell r="E1007" t="str">
            <v>SCA000500000</v>
          </cell>
          <cell r="F1007" t="str">
            <v>MPN (Part #)</v>
          </cell>
          <cell r="G1007">
            <v>0</v>
          </cell>
          <cell r="H1007">
            <v>0</v>
          </cell>
          <cell r="I1007">
            <v>0</v>
          </cell>
          <cell r="N1007" t="str">
            <v>1-Victron</v>
          </cell>
        </row>
        <row r="1008">
          <cell r="A1008" t="str">
            <v>B1007</v>
          </cell>
          <cell r="C1008" t="str">
            <v>Victron</v>
          </cell>
          <cell r="D1008" t="str">
            <v>Solar Cable 6mm with MC4 Connectors Length 1 m</v>
          </cell>
          <cell r="E1008" t="str">
            <v>SCA000100100</v>
          </cell>
          <cell r="F1008" t="str">
            <v>MPN (Part #)</v>
          </cell>
          <cell r="G1008">
            <v>0</v>
          </cell>
          <cell r="H1008">
            <v>0</v>
          </cell>
          <cell r="I1008">
            <v>0</v>
          </cell>
          <cell r="N1008" t="str">
            <v>1-Victron</v>
          </cell>
        </row>
        <row r="1009">
          <cell r="A1009" t="str">
            <v>B1008</v>
          </cell>
          <cell r="C1009" t="str">
            <v>Victron</v>
          </cell>
          <cell r="D1009" t="str">
            <v>Solar Cable 6mm with MC4 Connectors Length 3 m</v>
          </cell>
          <cell r="E1009" t="str">
            <v>SCA000300100</v>
          </cell>
          <cell r="F1009" t="str">
            <v>MPN (Part #)</v>
          </cell>
          <cell r="G1009">
            <v>0</v>
          </cell>
          <cell r="H1009">
            <v>0</v>
          </cell>
          <cell r="I1009">
            <v>0</v>
          </cell>
          <cell r="N1009" t="str">
            <v>1-Victron</v>
          </cell>
        </row>
        <row r="1010">
          <cell r="A1010" t="str">
            <v>B1009</v>
          </cell>
          <cell r="C1010" t="str">
            <v>Victron</v>
          </cell>
          <cell r="D1010" t="str">
            <v>Solar Cable 6mm with MC4 Connectors Length 5 m</v>
          </cell>
          <cell r="E1010" t="str">
            <v>SCA000500100</v>
          </cell>
          <cell r="F1010" t="str">
            <v>MPN (Part #)</v>
          </cell>
          <cell r="G1010">
            <v>0</v>
          </cell>
          <cell r="H1010">
            <v>0</v>
          </cell>
          <cell r="I1010">
            <v>0</v>
          </cell>
          <cell r="N1010" t="str">
            <v>1-Victron</v>
          </cell>
        </row>
        <row r="1011">
          <cell r="A1011" t="str">
            <v>B1010</v>
          </cell>
          <cell r="C1011" t="str">
            <v>Victron</v>
          </cell>
          <cell r="D1011" t="str">
            <v>Solar Cable 6mm with MC4 Connectors Length 10 m</v>
          </cell>
          <cell r="E1011" t="str">
            <v>SCA001000100</v>
          </cell>
          <cell r="F1011" t="str">
            <v>MPN (Part #)</v>
          </cell>
          <cell r="G1011">
            <v>0</v>
          </cell>
          <cell r="H1011">
            <v>0</v>
          </cell>
          <cell r="I1011">
            <v>0</v>
          </cell>
          <cell r="N1011" t="str">
            <v>1-Victron</v>
          </cell>
        </row>
        <row r="1012">
          <cell r="A1012" t="str">
            <v>B1011</v>
          </cell>
          <cell r="C1012" t="str">
            <v>Victron</v>
          </cell>
          <cell r="D1012" t="str">
            <v>Solar Cable 6mm with MC4 Connectors Length 20 m</v>
          </cell>
          <cell r="E1012" t="str">
            <v>SCA002000100</v>
          </cell>
          <cell r="F1012" t="str">
            <v>MPN (Part #)</v>
          </cell>
          <cell r="G1012">
            <v>0</v>
          </cell>
          <cell r="H1012">
            <v>0</v>
          </cell>
          <cell r="I1012">
            <v>0</v>
          </cell>
          <cell r="N1012" t="str">
            <v>1-Victron</v>
          </cell>
        </row>
        <row r="1013">
          <cell r="A1013" t="str">
            <v>B1012</v>
          </cell>
          <cell r="C1013" t="str">
            <v>Victron</v>
          </cell>
          <cell r="D1013" t="str">
            <v>Solar adapter cable MC4 male to MC3 female, length 15 cm</v>
          </cell>
          <cell r="E1013" t="str">
            <v>SCA500100000</v>
          </cell>
          <cell r="F1013" t="str">
            <v>MPN (Part #)</v>
          </cell>
          <cell r="G1013">
            <v>0</v>
          </cell>
          <cell r="H1013">
            <v>0</v>
          </cell>
          <cell r="I1013">
            <v>0</v>
          </cell>
          <cell r="N1013" t="str">
            <v>1-Victron</v>
          </cell>
        </row>
        <row r="1014">
          <cell r="A1014" t="str">
            <v>B1013</v>
          </cell>
          <cell r="C1014" t="str">
            <v>Victron</v>
          </cell>
          <cell r="D1014" t="str">
            <v>Solar adapter cable MC4 female to MC3 male, length 15 cm</v>
          </cell>
          <cell r="E1014" t="str">
            <v>SCA500200000</v>
          </cell>
          <cell r="F1014" t="str">
            <v>MPN (Part #)</v>
          </cell>
          <cell r="G1014">
            <v>0</v>
          </cell>
          <cell r="H1014">
            <v>0</v>
          </cell>
          <cell r="I1014">
            <v>0</v>
          </cell>
          <cell r="N1014" t="str">
            <v>1-Victron</v>
          </cell>
        </row>
        <row r="1015">
          <cell r="A1015" t="str">
            <v>B1014</v>
          </cell>
          <cell r="C1015" t="str">
            <v>Victron</v>
          </cell>
          <cell r="D1015" t="str">
            <v>Digital Multi Control 200/200A</v>
          </cell>
          <cell r="E1015" t="str">
            <v>REC020005010</v>
          </cell>
          <cell r="F1015" t="str">
            <v>MPN (Part #)</v>
          </cell>
          <cell r="G1015">
            <v>0</v>
          </cell>
          <cell r="H1015">
            <v>0</v>
          </cell>
          <cell r="I1015">
            <v>0</v>
          </cell>
          <cell r="K1015">
            <v>6.5</v>
          </cell>
          <cell r="L1015">
            <v>12</v>
          </cell>
          <cell r="M1015">
            <v>4</v>
          </cell>
          <cell r="N1015" t="str">
            <v>1-Victron</v>
          </cell>
        </row>
        <row r="1016">
          <cell r="A1016" t="str">
            <v>B1015</v>
          </cell>
          <cell r="C1016" t="str">
            <v>Victron</v>
          </cell>
          <cell r="D1016" t="str">
            <v>Wall mount enclosure for Color Control GX</v>
          </cell>
          <cell r="E1016" t="str">
            <v>ASS050400000</v>
          </cell>
          <cell r="F1016" t="str">
            <v>MPN (Part #)</v>
          </cell>
          <cell r="G1016">
            <v>0</v>
          </cell>
          <cell r="H1016">
            <v>0</v>
          </cell>
          <cell r="I1016">
            <v>0</v>
          </cell>
          <cell r="K1016">
            <v>16.5</v>
          </cell>
          <cell r="L1016">
            <v>13.5</v>
          </cell>
          <cell r="M1016">
            <v>6.5</v>
          </cell>
          <cell r="N1016" t="str">
            <v>1-Victron</v>
          </cell>
        </row>
        <row r="1017">
          <cell r="A1017" t="str">
            <v>B1016</v>
          </cell>
          <cell r="B1017" t="str">
            <v>Inverters</v>
          </cell>
          <cell r="C1017" t="str">
            <v>Victron</v>
          </cell>
          <cell r="D1017" t="str">
            <v>Phoenix Inverter 48/5000 Smart</v>
          </cell>
          <cell r="E1017" t="str">
            <v>PIN482500000</v>
          </cell>
          <cell r="F1017" t="str">
            <v>MPN (Part #)</v>
          </cell>
          <cell r="G1017">
            <v>2316.6</v>
          </cell>
          <cell r="H1017">
            <v>2106</v>
          </cell>
          <cell r="I1017">
            <v>0</v>
          </cell>
          <cell r="J1017">
            <v>28</v>
          </cell>
          <cell r="K1017">
            <v>555</v>
          </cell>
          <cell r="L1017">
            <v>295</v>
          </cell>
          <cell r="M1017">
            <v>160</v>
          </cell>
          <cell r="N1017" t="str">
            <v>1-Victron</v>
          </cell>
        </row>
        <row r="1018">
          <cell r="A1018" t="str">
            <v>B1017</v>
          </cell>
          <cell r="B1018" t="str">
            <v>Cables</v>
          </cell>
          <cell r="C1018" t="str">
            <v>Victron</v>
          </cell>
          <cell r="D1018" t="str">
            <v>VE.Direct Cable 0.3m (one side Right Angle conn)</v>
          </cell>
          <cell r="E1018" t="str">
            <v>ASS030531203</v>
          </cell>
          <cell r="F1018" t="str">
            <v>MPN (Part #)</v>
          </cell>
          <cell r="G1018">
            <v>22.75</v>
          </cell>
          <cell r="H1018">
            <v>20.700000000000003</v>
          </cell>
          <cell r="I1018">
            <v>0</v>
          </cell>
          <cell r="N1018" t="str">
            <v>1-Victron</v>
          </cell>
        </row>
        <row r="1019">
          <cell r="A1019" t="str">
            <v>B1018</v>
          </cell>
          <cell r="B1019" t="str">
            <v>Electrical</v>
          </cell>
          <cell r="C1019" t="str">
            <v>Noark</v>
          </cell>
          <cell r="D1019" t="str">
            <v>MCB 63A 360V DC 4 Pole</v>
          </cell>
          <cell r="E1019">
            <v>84482</v>
          </cell>
          <cell r="F1019" t="str">
            <v>MPN (Part #)</v>
          </cell>
          <cell r="G1019">
            <v>91.45</v>
          </cell>
          <cell r="H1019">
            <v>83.100000000000009</v>
          </cell>
          <cell r="I1019">
            <v>0</v>
          </cell>
          <cell r="J1019">
            <v>0.51</v>
          </cell>
          <cell r="K1019">
            <v>9</v>
          </cell>
          <cell r="L1019">
            <v>7.5</v>
          </cell>
          <cell r="M1019">
            <v>7.5</v>
          </cell>
          <cell r="N1019" t="str">
            <v>3-Tradezone</v>
          </cell>
        </row>
        <row r="1020">
          <cell r="A1020" t="str">
            <v>B1019</v>
          </cell>
          <cell r="B1020" t="str">
            <v>Signage</v>
          </cell>
          <cell r="C1020" t="str">
            <v>Avery</v>
          </cell>
          <cell r="D1020" t="str">
            <v>Label Adhesive A4 Clear 1/page (Avery #L7567)</v>
          </cell>
          <cell r="E1020" t="str">
            <v>L7567</v>
          </cell>
          <cell r="F1020" t="str">
            <v>MPN (Part #)</v>
          </cell>
          <cell r="G1020">
            <v>0</v>
          </cell>
          <cell r="H1020">
            <v>0</v>
          </cell>
          <cell r="I1020">
            <v>0</v>
          </cell>
          <cell r="N1020" t="str">
            <v>1-Victron</v>
          </cell>
        </row>
        <row r="1021">
          <cell r="A1021" t="str">
            <v>B1020</v>
          </cell>
          <cell r="B1021" t="str">
            <v>Inverters</v>
          </cell>
          <cell r="C1021" t="str">
            <v>Goodwe</v>
          </cell>
          <cell r="D1021" t="str">
            <v>DNS Series 3.0KW</v>
          </cell>
          <cell r="E1021" t="str">
            <v>GW3000D-NS</v>
          </cell>
          <cell r="F1021" t="str">
            <v>MPN (Part #)</v>
          </cell>
          <cell r="G1021">
            <v>1019.85</v>
          </cell>
          <cell r="H1021">
            <v>927.15000000000009</v>
          </cell>
          <cell r="I1021">
            <v>0</v>
          </cell>
          <cell r="J1021">
            <v>13</v>
          </cell>
          <cell r="K1021">
            <v>35.4</v>
          </cell>
          <cell r="L1021">
            <v>43.3</v>
          </cell>
          <cell r="M1021">
            <v>14.7</v>
          </cell>
          <cell r="N1021" t="str">
            <v>2-Krannich</v>
          </cell>
        </row>
        <row r="1022">
          <cell r="A1022" t="str">
            <v>B1021</v>
          </cell>
          <cell r="B1022" t="str">
            <v>Sensor</v>
          </cell>
          <cell r="C1022" t="str">
            <v>Victron</v>
          </cell>
          <cell r="D1022" t="str">
            <v>Energy meter EM24 - 3 phase - max 65A/phase</v>
          </cell>
          <cell r="E1022" t="str">
            <v>REL200100000</v>
          </cell>
          <cell r="F1022" t="str">
            <v>MPN (Part #)</v>
          </cell>
          <cell r="G1022">
            <v>294.05</v>
          </cell>
          <cell r="H1022">
            <v>267.3</v>
          </cell>
          <cell r="I1022">
            <v>0</v>
          </cell>
          <cell r="N1022" t="str">
            <v>1-Victron</v>
          </cell>
        </row>
        <row r="1023">
          <cell r="A1023" t="str">
            <v>B1022</v>
          </cell>
          <cell r="B1023" t="str">
            <v>Cables</v>
          </cell>
          <cell r="C1023" t="str">
            <v>Victron</v>
          </cell>
          <cell r="D1023" t="str">
            <v>RS485 to USB interface cable 1.8 m</v>
          </cell>
          <cell r="E1023" t="str">
            <v>ASS030572018</v>
          </cell>
          <cell r="F1023" t="str">
            <v>MPN (Part #)</v>
          </cell>
          <cell r="G1023">
            <v>0</v>
          </cell>
          <cell r="H1023">
            <v>0</v>
          </cell>
          <cell r="I1023">
            <v>0</v>
          </cell>
          <cell r="N1023" t="str">
            <v>1-Victron</v>
          </cell>
        </row>
        <row r="1024">
          <cell r="A1024" t="str">
            <v>B1023</v>
          </cell>
          <cell r="B1024" t="str">
            <v>Batteries</v>
          </cell>
          <cell r="C1024" t="str">
            <v>Powerplus</v>
          </cell>
          <cell r="D1024" t="str">
            <v>Battery Powerplus LiFe 3.3KWh 24V Lithium Module</v>
          </cell>
          <cell r="E1024" t="str">
            <v>LiFe2433P</v>
          </cell>
          <cell r="F1024" t="str">
            <v>MPN (Part #)</v>
          </cell>
          <cell r="G1024">
            <v>3768.3</v>
          </cell>
          <cell r="H1024">
            <v>3425.7000000000003</v>
          </cell>
          <cell r="I1024">
            <v>0</v>
          </cell>
          <cell r="J1024">
            <v>41</v>
          </cell>
          <cell r="K1024">
            <v>63.5</v>
          </cell>
          <cell r="L1024">
            <v>43.4</v>
          </cell>
          <cell r="M1024">
            <v>8.8000000000000007</v>
          </cell>
          <cell r="N1024" t="str">
            <v>6-Various</v>
          </cell>
        </row>
        <row r="1025">
          <cell r="A1025" t="str">
            <v>B1024</v>
          </cell>
          <cell r="C1025" t="str">
            <v>Victron</v>
          </cell>
          <cell r="D1025" t="str">
            <v>Cyrix-ct 12/24V-120A intelligent combiner</v>
          </cell>
          <cell r="E1025" t="str">
            <v>CYR010120011R</v>
          </cell>
          <cell r="F1025" t="str">
            <v>MPN (Part #)</v>
          </cell>
          <cell r="G1025">
            <v>0</v>
          </cell>
          <cell r="H1025">
            <v>0</v>
          </cell>
          <cell r="I1025">
            <v>0</v>
          </cell>
          <cell r="J1025">
            <v>0.11</v>
          </cell>
          <cell r="K1025">
            <v>4.5999999999999996</v>
          </cell>
          <cell r="L1025">
            <v>4.5999999999999996</v>
          </cell>
          <cell r="M1025">
            <v>8</v>
          </cell>
          <cell r="N1025" t="str">
            <v>1-Victron</v>
          </cell>
        </row>
        <row r="1026">
          <cell r="A1026" t="str">
            <v>B1025</v>
          </cell>
          <cell r="C1026" t="str">
            <v>Victron</v>
          </cell>
          <cell r="D1026" t="str">
            <v>Cyrix-ct 12/24V-120A Battery combiner kit</v>
          </cell>
          <cell r="E1026" t="str">
            <v>CYR010120110R</v>
          </cell>
          <cell r="F1026" t="str">
            <v>MPN (Part #)</v>
          </cell>
          <cell r="G1026">
            <v>0</v>
          </cell>
          <cell r="H1026">
            <v>0</v>
          </cell>
          <cell r="I1026">
            <v>0</v>
          </cell>
          <cell r="J1026">
            <v>0.11</v>
          </cell>
          <cell r="K1026">
            <v>4.5999999999999996</v>
          </cell>
          <cell r="L1026">
            <v>4.5999999999999996</v>
          </cell>
          <cell r="M1026">
            <v>8</v>
          </cell>
          <cell r="N1026" t="str">
            <v>1-Victron</v>
          </cell>
        </row>
        <row r="1027">
          <cell r="A1027" t="str">
            <v>B1026</v>
          </cell>
          <cell r="C1027" t="str">
            <v>Victron</v>
          </cell>
          <cell r="D1027" t="str">
            <v>BlueSolar PWM-Light 48V-10A</v>
          </cell>
          <cell r="E1027" t="str">
            <v>SCC040010020</v>
          </cell>
          <cell r="F1027" t="str">
            <v>MPN (Part #)</v>
          </cell>
          <cell r="G1027">
            <v>70.3</v>
          </cell>
          <cell r="H1027">
            <v>63.900000000000006</v>
          </cell>
          <cell r="I1027">
            <v>0</v>
          </cell>
          <cell r="J1027">
            <v>0.15</v>
          </cell>
          <cell r="K1027">
            <v>9.5</v>
          </cell>
          <cell r="L1027">
            <v>14</v>
          </cell>
          <cell r="M1027">
            <v>3.4</v>
          </cell>
          <cell r="N1027" t="str">
            <v>1-Victron</v>
          </cell>
        </row>
        <row r="1028">
          <cell r="A1028" t="str">
            <v>B1027</v>
          </cell>
          <cell r="C1028" t="str">
            <v>Victron</v>
          </cell>
          <cell r="D1028" t="str">
            <v>BlueSolar PWM-Light 48V-20A</v>
          </cell>
          <cell r="E1028" t="str">
            <v>SCC040020020</v>
          </cell>
          <cell r="F1028" t="str">
            <v>MPN (Part #)</v>
          </cell>
          <cell r="G1028">
            <v>90.100000000000009</v>
          </cell>
          <cell r="H1028">
            <v>81.900000000000006</v>
          </cell>
          <cell r="I1028">
            <v>0</v>
          </cell>
          <cell r="J1028">
            <v>0.15</v>
          </cell>
          <cell r="K1028">
            <v>9.5</v>
          </cell>
          <cell r="L1028">
            <v>14</v>
          </cell>
          <cell r="M1028">
            <v>3.4</v>
          </cell>
          <cell r="N1028" t="str">
            <v>1-Victron</v>
          </cell>
        </row>
        <row r="1029">
          <cell r="A1029" t="str">
            <v>B1028</v>
          </cell>
          <cell r="C1029" t="str">
            <v>Victron</v>
          </cell>
          <cell r="D1029" t="str">
            <v>BlueSolar PWM-Light 48V-30A</v>
          </cell>
          <cell r="E1029" t="str">
            <v>SCC040030020</v>
          </cell>
          <cell r="F1029" t="str">
            <v>MPN (Part #)</v>
          </cell>
          <cell r="G1029">
            <v>104.95</v>
          </cell>
          <cell r="H1029">
            <v>95.4</v>
          </cell>
          <cell r="I1029">
            <v>0</v>
          </cell>
          <cell r="J1029">
            <v>0.15</v>
          </cell>
          <cell r="K1029">
            <v>9.5</v>
          </cell>
          <cell r="L1029">
            <v>14</v>
          </cell>
          <cell r="M1029">
            <v>3.4</v>
          </cell>
          <cell r="N1029" t="str">
            <v>1-Victron</v>
          </cell>
        </row>
        <row r="1030">
          <cell r="A1030" t="str">
            <v>B1029</v>
          </cell>
          <cell r="C1030" t="str">
            <v>Victron</v>
          </cell>
          <cell r="D1030" t="str">
            <v>BlueSolar PWM-Pro 12/24V-5A</v>
          </cell>
          <cell r="E1030" t="str">
            <v>SCC010005010</v>
          </cell>
          <cell r="F1030" t="str">
            <v>MPN (Part #)</v>
          </cell>
          <cell r="G1030">
            <v>41.6</v>
          </cell>
          <cell r="H1030">
            <v>37.800000000000004</v>
          </cell>
          <cell r="I1030">
            <v>0</v>
          </cell>
          <cell r="J1030">
            <v>0.15</v>
          </cell>
          <cell r="K1030">
            <v>7</v>
          </cell>
          <cell r="L1030">
            <v>13.8</v>
          </cell>
          <cell r="M1030">
            <v>3.7</v>
          </cell>
          <cell r="N1030" t="str">
            <v>1-Victron</v>
          </cell>
        </row>
        <row r="1031">
          <cell r="A1031" t="str">
            <v>B1030</v>
          </cell>
          <cell r="C1031" t="str">
            <v>Victron</v>
          </cell>
          <cell r="D1031" t="str">
            <v>BlueSolar PWM-Pro 12/24V-10A</v>
          </cell>
          <cell r="E1031" t="str">
            <v>SCC010010010</v>
          </cell>
          <cell r="F1031" t="str">
            <v>MPN (Part #)</v>
          </cell>
          <cell r="G1031">
            <v>46.550000000000004</v>
          </cell>
          <cell r="H1031">
            <v>42.300000000000004</v>
          </cell>
          <cell r="I1031">
            <v>0</v>
          </cell>
          <cell r="J1031">
            <v>0.15</v>
          </cell>
          <cell r="K1031">
            <v>7</v>
          </cell>
          <cell r="L1031">
            <v>13.8</v>
          </cell>
          <cell r="M1031">
            <v>3.7</v>
          </cell>
          <cell r="N1031" t="str">
            <v>1-Victron</v>
          </cell>
        </row>
        <row r="1032">
          <cell r="A1032" t="str">
            <v>B1031</v>
          </cell>
          <cell r="C1032" t="str">
            <v>Victron</v>
          </cell>
          <cell r="D1032" t="str">
            <v>BlueSolar PWM-Pro 12/24V-20A</v>
          </cell>
          <cell r="E1032" t="str">
            <v>SCC010020110</v>
          </cell>
          <cell r="F1032" t="str">
            <v>MPN (Part #)</v>
          </cell>
          <cell r="G1032">
            <v>81.2</v>
          </cell>
          <cell r="H1032">
            <v>73.8</v>
          </cell>
          <cell r="I1032">
            <v>0</v>
          </cell>
          <cell r="J1032">
            <v>0.3</v>
          </cell>
          <cell r="K1032">
            <v>8.1999999999999993</v>
          </cell>
          <cell r="L1032">
            <v>16</v>
          </cell>
          <cell r="M1032">
            <v>4.8</v>
          </cell>
          <cell r="N1032" t="str">
            <v>1-Victron</v>
          </cell>
        </row>
        <row r="1033">
          <cell r="A1033" t="str">
            <v>B1032</v>
          </cell>
          <cell r="C1033" t="str">
            <v>Victron</v>
          </cell>
          <cell r="D1033" t="str">
            <v>BlueSolar PWM-Pro 12/24V-30A</v>
          </cell>
          <cell r="E1033" t="str">
            <v>SCC010030010</v>
          </cell>
          <cell r="F1033" t="str">
            <v>MPN (Part #)</v>
          </cell>
          <cell r="G1033">
            <v>128.70000000000002</v>
          </cell>
          <cell r="H1033">
            <v>117</v>
          </cell>
          <cell r="I1033">
            <v>0</v>
          </cell>
          <cell r="J1033">
            <v>0.5</v>
          </cell>
          <cell r="K1033">
            <v>10</v>
          </cell>
          <cell r="L1033">
            <v>20</v>
          </cell>
          <cell r="M1033">
            <v>5.7</v>
          </cell>
          <cell r="N1033" t="str">
            <v>1-Victron</v>
          </cell>
        </row>
        <row r="1034">
          <cell r="A1034" t="str">
            <v>B1033</v>
          </cell>
          <cell r="C1034" t="str">
            <v>Victron</v>
          </cell>
          <cell r="D1034" t="str">
            <v xml:space="preserve">12V15Ah  AGM Super Cycle Batt. (Faston-tab 6.3x0.8mm) </v>
          </cell>
          <cell r="E1034" t="str">
            <v>BAT412015080</v>
          </cell>
          <cell r="F1034" t="str">
            <v>MPN (Part #)</v>
          </cell>
          <cell r="G1034">
            <v>0</v>
          </cell>
          <cell r="H1034">
            <v>0</v>
          </cell>
          <cell r="I1034">
            <v>0</v>
          </cell>
          <cell r="J1034">
            <v>4.2</v>
          </cell>
          <cell r="K1034">
            <v>15.1</v>
          </cell>
          <cell r="L1034">
            <v>9.9</v>
          </cell>
          <cell r="M1034">
            <v>10.3</v>
          </cell>
          <cell r="N1034" t="str">
            <v>1-Victron</v>
          </cell>
        </row>
        <row r="1035">
          <cell r="A1035" t="str">
            <v>B1034</v>
          </cell>
          <cell r="C1035" t="str">
            <v>Victron</v>
          </cell>
          <cell r="D1035" t="str">
            <v>Lithium SuperPack 25,6V/50Ah (M8)</v>
          </cell>
          <cell r="E1035" t="str">
            <v>BAT524050705</v>
          </cell>
          <cell r="F1035" t="str">
            <v>MPN (Part #)</v>
          </cell>
          <cell r="G1035">
            <v>0</v>
          </cell>
          <cell r="H1035">
            <v>0</v>
          </cell>
          <cell r="I1035">
            <v>0</v>
          </cell>
          <cell r="J1035">
            <v>16</v>
          </cell>
          <cell r="K1035">
            <v>39.5</v>
          </cell>
          <cell r="L1035">
            <v>11</v>
          </cell>
          <cell r="M1035">
            <v>28.6</v>
          </cell>
          <cell r="N1035" t="str">
            <v>1-Victron</v>
          </cell>
        </row>
        <row r="1036">
          <cell r="A1036" t="str">
            <v>B1035</v>
          </cell>
          <cell r="C1036" t="str">
            <v>Victron</v>
          </cell>
          <cell r="D1036" t="str">
            <v>50W-12V Poly 540×670×25mm series 3a*</v>
          </cell>
          <cell r="E1036" t="str">
            <v>SPP030501200</v>
          </cell>
          <cell r="F1036" t="str">
            <v>MPN (Part #)</v>
          </cell>
          <cell r="G1036">
            <v>0</v>
          </cell>
          <cell r="H1036">
            <v>0</v>
          </cell>
          <cell r="I1036">
            <v>0</v>
          </cell>
          <cell r="N1036" t="str">
            <v>1-Victron</v>
          </cell>
        </row>
        <row r="1037">
          <cell r="A1037" t="str">
            <v>B1036</v>
          </cell>
          <cell r="C1037" t="str">
            <v>Victron</v>
          </cell>
          <cell r="D1037" t="str">
            <v>60W-12V Poly 545×668×25mm series 4a*</v>
          </cell>
          <cell r="E1037" t="str">
            <v>SPP040601200</v>
          </cell>
          <cell r="F1037" t="str">
            <v>MPN (Part #)</v>
          </cell>
          <cell r="G1037">
            <v>0</v>
          </cell>
          <cell r="H1037">
            <v>0</v>
          </cell>
          <cell r="I1037">
            <v>0</v>
          </cell>
          <cell r="J1037">
            <v>4</v>
          </cell>
          <cell r="N1037" t="str">
            <v>1-Victron</v>
          </cell>
        </row>
        <row r="1038">
          <cell r="A1038" t="str">
            <v>B1037</v>
          </cell>
          <cell r="C1038" t="str">
            <v>Victron</v>
          </cell>
          <cell r="D1038" t="str">
            <v>90W-12V Poly 780×668×30mm series 4a</v>
          </cell>
          <cell r="E1038" t="str">
            <v>SPP040901200</v>
          </cell>
          <cell r="F1038" t="str">
            <v>MPN (Part #)</v>
          </cell>
          <cell r="G1038">
            <v>0</v>
          </cell>
          <cell r="H1038">
            <v>0</v>
          </cell>
          <cell r="I1038">
            <v>0</v>
          </cell>
          <cell r="J1038">
            <v>6.1</v>
          </cell>
          <cell r="N1038" t="str">
            <v>1-Victron</v>
          </cell>
        </row>
        <row r="1039">
          <cell r="A1039" t="str">
            <v>B1038</v>
          </cell>
          <cell r="C1039" t="str">
            <v>Victron</v>
          </cell>
          <cell r="D1039" t="str">
            <v>100W-12V Poly 1000×670×35mm series 3a</v>
          </cell>
          <cell r="E1039" t="str">
            <v>SPP031001200</v>
          </cell>
          <cell r="F1039" t="str">
            <v>MPN (Part #)</v>
          </cell>
          <cell r="G1039">
            <v>0</v>
          </cell>
          <cell r="H1039">
            <v>0</v>
          </cell>
          <cell r="I1039">
            <v>0</v>
          </cell>
          <cell r="N1039" t="str">
            <v>1-Victron</v>
          </cell>
        </row>
        <row r="1040">
          <cell r="A1040" t="str">
            <v>B1039</v>
          </cell>
          <cell r="C1040" t="str">
            <v>Victron</v>
          </cell>
          <cell r="D1040" t="str">
            <v xml:space="preserve">115W-12V Poly 1015x668x30mm series 4a </v>
          </cell>
          <cell r="E1040" t="str">
            <v>SPP041151200</v>
          </cell>
          <cell r="F1040" t="str">
            <v>MPN (Part #)</v>
          </cell>
          <cell r="G1040">
            <v>0</v>
          </cell>
          <cell r="H1040">
            <v>0</v>
          </cell>
          <cell r="I1040">
            <v>0</v>
          </cell>
          <cell r="J1040">
            <v>9</v>
          </cell>
          <cell r="N1040" t="str">
            <v>1-Victron</v>
          </cell>
        </row>
        <row r="1041">
          <cell r="A1041" t="str">
            <v>B1040</v>
          </cell>
          <cell r="C1041" t="str">
            <v>Victron</v>
          </cell>
          <cell r="D1041" t="str">
            <v>260W-20V Poly 1640x992x40mm series 3b</v>
          </cell>
          <cell r="E1041" t="str">
            <v>SPP032602000</v>
          </cell>
          <cell r="F1041" t="str">
            <v>MPN (Part #)</v>
          </cell>
          <cell r="G1041">
            <v>0</v>
          </cell>
          <cell r="H1041">
            <v>0</v>
          </cell>
          <cell r="I1041">
            <v>0</v>
          </cell>
          <cell r="N1041" t="str">
            <v>1-Victron</v>
          </cell>
        </row>
        <row r="1042">
          <cell r="A1042" t="str">
            <v>B1041</v>
          </cell>
          <cell r="C1042" t="str">
            <v>Victron</v>
          </cell>
          <cell r="D1042" t="str">
            <v>Solar splitter pair MC4-Y, 1x M-2F / 1x F-2M</v>
          </cell>
          <cell r="E1042" t="str">
            <v>SCA520500000</v>
          </cell>
          <cell r="F1042" t="str">
            <v>MPN (Part #)</v>
          </cell>
          <cell r="G1042">
            <v>0</v>
          </cell>
          <cell r="H1042">
            <v>0</v>
          </cell>
          <cell r="I1042">
            <v>0</v>
          </cell>
          <cell r="N1042" t="str">
            <v>1-Victron</v>
          </cell>
        </row>
        <row r="1043">
          <cell r="A1043" t="str">
            <v>B1042</v>
          </cell>
          <cell r="C1043" t="str">
            <v>ecoCool</v>
          </cell>
          <cell r="D1043" t="str">
            <v>Solar connector pair MC4, 1x Male / 1x Female</v>
          </cell>
          <cell r="E1043" t="str">
            <v>SCA520300000</v>
          </cell>
          <cell r="F1043" t="str">
            <v>MPN (Part #)</v>
          </cell>
          <cell r="G1043">
            <v>0</v>
          </cell>
          <cell r="H1043">
            <v>0</v>
          </cell>
          <cell r="I1043">
            <v>0</v>
          </cell>
          <cell r="N1043" t="str">
            <v>1-Victron</v>
          </cell>
        </row>
        <row r="1044">
          <cell r="A1044" t="str">
            <v>B1045</v>
          </cell>
          <cell r="C1044" t="str">
            <v>SMA</v>
          </cell>
          <cell r="D1044" t="str">
            <v>Automatic Backup Unit for Sunny Storage</v>
          </cell>
          <cell r="E1044" t="str">
            <v>SBS-ABU-63.1-AU-10</v>
          </cell>
          <cell r="F1044" t="str">
            <v>MPN (Part #)</v>
          </cell>
          <cell r="G1044">
            <v>0</v>
          </cell>
          <cell r="H1044">
            <v>0</v>
          </cell>
          <cell r="I1044">
            <v>0</v>
          </cell>
          <cell r="N1044" t="str">
            <v>9-SolarJuice</v>
          </cell>
        </row>
        <row r="1045">
          <cell r="A1045" t="str">
            <v>B1046</v>
          </cell>
          <cell r="B1045" t="str">
            <v>Batteries</v>
          </cell>
          <cell r="C1045" t="str">
            <v>Sonnenschein</v>
          </cell>
          <cell r="D1045" t="str">
            <v>Solar Sealed 2V Gel Cell, A602/1130, battery links included, AH @ C100 = 1105</v>
          </cell>
          <cell r="E1045" t="str">
            <v>A602/1130</v>
          </cell>
          <cell r="F1045" t="str">
            <v>MPN (Part #)</v>
          </cell>
          <cell r="G1045">
            <v>0</v>
          </cell>
          <cell r="H1045">
            <v>0</v>
          </cell>
          <cell r="I1045">
            <v>0</v>
          </cell>
          <cell r="N1045" t="str">
            <v>10-SupplyPartners</v>
          </cell>
        </row>
        <row r="1046">
          <cell r="A1046" t="str">
            <v>B1047</v>
          </cell>
          <cell r="B1046" t="str">
            <v>Batteries</v>
          </cell>
          <cell r="C1046" t="str">
            <v>Sonnenschein</v>
          </cell>
          <cell r="D1046" t="str">
            <v>Solar Sealed 2V Gel Cell, A602/1415, battery links included, AH @ C100 = 1382</v>
          </cell>
          <cell r="E1046" t="str">
            <v>A602/1415</v>
          </cell>
          <cell r="F1046" t="str">
            <v>MPN (Part #)</v>
          </cell>
          <cell r="G1046">
            <v>0</v>
          </cell>
          <cell r="H1046">
            <v>0</v>
          </cell>
          <cell r="I1046">
            <v>0</v>
          </cell>
          <cell r="N1046" t="str">
            <v>10-SupplyPartners</v>
          </cell>
        </row>
        <row r="1047">
          <cell r="A1047" t="str">
            <v>B1048</v>
          </cell>
          <cell r="B1047" t="str">
            <v>Batteries</v>
          </cell>
          <cell r="C1047" t="str">
            <v>Sonnenschein</v>
          </cell>
          <cell r="D1047" t="str">
            <v>Solar Sealed 2V Gel Cell, A602/1695, battery links included, AH @ C100 = 1658</v>
          </cell>
          <cell r="E1047" t="str">
            <v>A602/1695</v>
          </cell>
          <cell r="F1047" t="str">
            <v>MPN (Part #)</v>
          </cell>
          <cell r="G1047">
            <v>0</v>
          </cell>
          <cell r="H1047">
            <v>0</v>
          </cell>
          <cell r="I1047">
            <v>0</v>
          </cell>
          <cell r="N1047" t="str">
            <v>10-SupplyPartners</v>
          </cell>
        </row>
        <row r="1048">
          <cell r="A1048" t="str">
            <v>B1049</v>
          </cell>
          <cell r="B1048" t="str">
            <v>Batteries</v>
          </cell>
          <cell r="C1048" t="str">
            <v>Sonnenschein</v>
          </cell>
          <cell r="D1048" t="str">
            <v>Solar Sealed 2V Gel Cell, A602/1960, battery links included, AH @ C100 = 1937</v>
          </cell>
          <cell r="E1048" t="str">
            <v>A602/1960</v>
          </cell>
          <cell r="F1048" t="str">
            <v>MPN (Part #)</v>
          </cell>
          <cell r="G1048">
            <v>0</v>
          </cell>
          <cell r="H1048">
            <v>0</v>
          </cell>
          <cell r="I1048">
            <v>0</v>
          </cell>
          <cell r="N1048" t="str">
            <v>10-SupplyPartners</v>
          </cell>
        </row>
        <row r="1049">
          <cell r="A1049" t="str">
            <v>B1050</v>
          </cell>
          <cell r="B1049" t="str">
            <v>Batteries</v>
          </cell>
          <cell r="C1049" t="str">
            <v>Sonnenschein</v>
          </cell>
          <cell r="D1049" t="str">
            <v>Solar Sealed 2V Gel Cell, A602/2600, battery links included, AH @ C100 = 2547</v>
          </cell>
          <cell r="E1049" t="str">
            <v>A602/2600</v>
          </cell>
          <cell r="F1049" t="str">
            <v>MPN (Part #)</v>
          </cell>
          <cell r="G1049">
            <v>0</v>
          </cell>
          <cell r="H1049">
            <v>0</v>
          </cell>
          <cell r="I1049">
            <v>0</v>
          </cell>
          <cell r="N1049" t="str">
            <v>10-SupplyPartners</v>
          </cell>
        </row>
        <row r="1050">
          <cell r="A1050" t="str">
            <v>B1051</v>
          </cell>
          <cell r="B1050" t="str">
            <v>Batteries</v>
          </cell>
          <cell r="C1050" t="str">
            <v>Sonnenschein</v>
          </cell>
          <cell r="D1050" t="str">
            <v>Solar Sealed 2V Gel Cell, A602/520, battery links included, AH @ C100 = 505</v>
          </cell>
          <cell r="E1050" t="str">
            <v>A602/520</v>
          </cell>
          <cell r="F1050" t="str">
            <v>MPN (Part #)</v>
          </cell>
          <cell r="G1050">
            <v>0</v>
          </cell>
          <cell r="H1050">
            <v>0</v>
          </cell>
          <cell r="I1050">
            <v>0</v>
          </cell>
          <cell r="N1050" t="str">
            <v>10-SupplyPartners</v>
          </cell>
        </row>
        <row r="1051">
          <cell r="A1051" t="str">
            <v>B1052</v>
          </cell>
          <cell r="B1051" t="str">
            <v>Batteries</v>
          </cell>
          <cell r="C1051" t="str">
            <v>Sonnenschein</v>
          </cell>
          <cell r="D1051" t="str">
            <v>Solar Sealed 2V Gel Cell, A602/750, battery links included, AH @ C100 = 707</v>
          </cell>
          <cell r="E1051" t="str">
            <v>A602/750</v>
          </cell>
          <cell r="F1051" t="str">
            <v>MPN (Part #)</v>
          </cell>
          <cell r="G1051">
            <v>0</v>
          </cell>
          <cell r="H1051">
            <v>0</v>
          </cell>
          <cell r="I1051">
            <v>0</v>
          </cell>
          <cell r="N1051" t="str">
            <v>10-SupplyPartners</v>
          </cell>
        </row>
        <row r="1052">
          <cell r="A1052" t="str">
            <v>B1053</v>
          </cell>
          <cell r="B1052" t="str">
            <v>Batteries</v>
          </cell>
          <cell r="C1052" t="str">
            <v>Sonnenschein</v>
          </cell>
          <cell r="D1052" t="str">
            <v>Solar Sealed 2V Gel Cell, A602/850, battery links included, AH @ C100 = 829</v>
          </cell>
          <cell r="E1052" t="str">
            <v>A602/850</v>
          </cell>
          <cell r="F1052" t="str">
            <v>MPN (Part #)</v>
          </cell>
          <cell r="G1052">
            <v>0</v>
          </cell>
          <cell r="H1052">
            <v>0</v>
          </cell>
          <cell r="I1052">
            <v>0</v>
          </cell>
          <cell r="N1052" t="str">
            <v>10-SupplyPartners</v>
          </cell>
        </row>
        <row r="1053">
          <cell r="A1053" t="str">
            <v>B1054</v>
          </cell>
          <cell r="B1053" t="str">
            <v>Batteries</v>
          </cell>
          <cell r="C1053" t="str">
            <v>Sonnenschein</v>
          </cell>
          <cell r="D1053" t="str">
            <v>Solar Sealed 6V Gel Cell, SB6/200A, AH @ C100 = 200</v>
          </cell>
          <cell r="E1053" t="str">
            <v>SB6/200A</v>
          </cell>
          <cell r="F1053" t="str">
            <v>MPN (Part #)</v>
          </cell>
          <cell r="G1053">
            <v>0</v>
          </cell>
          <cell r="H1053">
            <v>0</v>
          </cell>
          <cell r="I1053">
            <v>0</v>
          </cell>
          <cell r="J1053">
            <v>29</v>
          </cell>
          <cell r="K1053">
            <v>24.6</v>
          </cell>
          <cell r="L1053">
            <v>19.2</v>
          </cell>
          <cell r="M1053">
            <v>27.5</v>
          </cell>
          <cell r="N1053" t="str">
            <v>10-SupplyPartners</v>
          </cell>
        </row>
        <row r="1054">
          <cell r="A1054" t="str">
            <v>B1055</v>
          </cell>
          <cell r="B1054" t="str">
            <v>Batteries</v>
          </cell>
          <cell r="C1054" t="str">
            <v>Sonnenschein</v>
          </cell>
          <cell r="D1054" t="str">
            <v>Solar Sealed 6V Gel Cell, SB6/330A, AH @ C100 = 330</v>
          </cell>
          <cell r="E1054" t="str">
            <v>SB6/330A</v>
          </cell>
          <cell r="F1054" t="str">
            <v>MPN (Part #)</v>
          </cell>
          <cell r="G1054">
            <v>0</v>
          </cell>
          <cell r="H1054">
            <v>0</v>
          </cell>
          <cell r="I1054">
            <v>0</v>
          </cell>
          <cell r="J1054">
            <v>47</v>
          </cell>
          <cell r="K1054">
            <v>31.2</v>
          </cell>
          <cell r="L1054">
            <v>18.2</v>
          </cell>
          <cell r="M1054">
            <v>35.9</v>
          </cell>
          <cell r="N1054" t="str">
            <v>10-SupplyPartners</v>
          </cell>
        </row>
        <row r="1055">
          <cell r="A1055" t="str">
            <v>B1056</v>
          </cell>
          <cell r="B1055" t="str">
            <v>Inverters</v>
          </cell>
          <cell r="C1055" t="str">
            <v>Sungrow</v>
          </cell>
          <cell r="D1055" t="str">
            <v>10kW Three Phase Solar</v>
          </cell>
          <cell r="E1055" t="str">
            <v>SG10KTL-MT</v>
          </cell>
          <cell r="F1055" t="str">
            <v>MPN (Part #)</v>
          </cell>
          <cell r="G1055">
            <v>0</v>
          </cell>
          <cell r="H1055">
            <v>0</v>
          </cell>
          <cell r="I1055">
            <v>0</v>
          </cell>
          <cell r="J1055">
            <v>24</v>
          </cell>
          <cell r="K1055">
            <v>37</v>
          </cell>
          <cell r="L1055">
            <v>48.5</v>
          </cell>
          <cell r="M1055">
            <v>21</v>
          </cell>
          <cell r="N1055" t="str">
            <v>10-SupplyPartners</v>
          </cell>
        </row>
        <row r="1056">
          <cell r="A1056" t="str">
            <v>B1057</v>
          </cell>
          <cell r="B1056" t="str">
            <v>Inverters</v>
          </cell>
          <cell r="C1056" t="str">
            <v>Sungrow</v>
          </cell>
          <cell r="D1056" t="str">
            <v>15kW Three Phase Solar</v>
          </cell>
          <cell r="E1056" t="str">
            <v>SG15KTL-M</v>
          </cell>
          <cell r="F1056" t="str">
            <v>MPN (Part #)</v>
          </cell>
          <cell r="G1056">
            <v>0</v>
          </cell>
          <cell r="H1056">
            <v>0</v>
          </cell>
          <cell r="I1056">
            <v>0</v>
          </cell>
          <cell r="J1056">
            <v>24</v>
          </cell>
          <cell r="K1056">
            <v>37</v>
          </cell>
          <cell r="L1056">
            <v>48.5</v>
          </cell>
          <cell r="M1056">
            <v>21</v>
          </cell>
          <cell r="N1056" t="str">
            <v>10-SupplyPartners</v>
          </cell>
        </row>
        <row r="1057">
          <cell r="A1057" t="str">
            <v>B1058</v>
          </cell>
          <cell r="B1057" t="str">
            <v>Inverters</v>
          </cell>
          <cell r="C1057" t="str">
            <v>Sungrow</v>
          </cell>
          <cell r="D1057" t="str">
            <v>20kW Three Phase Solar</v>
          </cell>
          <cell r="E1057" t="str">
            <v>SG20KTL-M</v>
          </cell>
          <cell r="F1057" t="str">
            <v>MPN (Part #)</v>
          </cell>
          <cell r="G1057">
            <v>0</v>
          </cell>
          <cell r="H1057">
            <v>0</v>
          </cell>
          <cell r="I1057">
            <v>0</v>
          </cell>
          <cell r="J1057">
            <v>24</v>
          </cell>
          <cell r="K1057">
            <v>37</v>
          </cell>
          <cell r="L1057">
            <v>48.5</v>
          </cell>
          <cell r="M1057">
            <v>21</v>
          </cell>
          <cell r="N1057" t="str">
            <v>10-SupplyPartners</v>
          </cell>
        </row>
        <row r="1058">
          <cell r="A1058" t="str">
            <v>B1059</v>
          </cell>
          <cell r="B1058" t="str">
            <v>Inverters</v>
          </cell>
          <cell r="C1058" t="str">
            <v>Sungrow</v>
          </cell>
          <cell r="D1058" t="str">
            <v>5kW Single Phase Hybrid</v>
          </cell>
          <cell r="E1058" t="str">
            <v>SGSH5K-20</v>
          </cell>
          <cell r="F1058" t="str">
            <v>MPN (Part #)</v>
          </cell>
          <cell r="G1058">
            <v>0</v>
          </cell>
          <cell r="H1058">
            <v>0</v>
          </cell>
          <cell r="I1058">
            <v>0</v>
          </cell>
          <cell r="J1058">
            <v>22</v>
          </cell>
          <cell r="K1058">
            <v>45.7</v>
          </cell>
          <cell r="L1058">
            <v>51.5</v>
          </cell>
          <cell r="M1058">
            <v>17</v>
          </cell>
          <cell r="N1058" t="str">
            <v>10-SupplyPartners</v>
          </cell>
        </row>
        <row r="1059">
          <cell r="A1059" t="str">
            <v>B1060</v>
          </cell>
          <cell r="B1059" t="str">
            <v>Inverters</v>
          </cell>
          <cell r="C1059" t="str">
            <v>Sungrow</v>
          </cell>
          <cell r="D1059" t="str">
            <v>5kW Three Phase Solar</v>
          </cell>
          <cell r="E1059" t="str">
            <v>SG5KTL-MT</v>
          </cell>
          <cell r="F1059" t="str">
            <v>MPN (Part #)</v>
          </cell>
          <cell r="G1059">
            <v>0</v>
          </cell>
          <cell r="H1059">
            <v>0</v>
          </cell>
          <cell r="I1059">
            <v>0</v>
          </cell>
          <cell r="J1059">
            <v>20</v>
          </cell>
          <cell r="K1059">
            <v>37</v>
          </cell>
          <cell r="L1059">
            <v>48.5</v>
          </cell>
          <cell r="M1059">
            <v>16</v>
          </cell>
          <cell r="N1059" t="str">
            <v>10-SupplyPartners</v>
          </cell>
        </row>
        <row r="1060">
          <cell r="A1060" t="str">
            <v>B1061</v>
          </cell>
          <cell r="B1060" t="str">
            <v>Control</v>
          </cell>
          <cell r="C1060" t="str">
            <v>Sungrow</v>
          </cell>
          <cell r="D1060" t="str">
            <v>COM100E - Logger1000 commercial datalogger in IP66 enclosure with power supply</v>
          </cell>
          <cell r="E1060" t="str">
            <v>COM100E</v>
          </cell>
          <cell r="F1060" t="str">
            <v>MPN (Part #)</v>
          </cell>
          <cell r="G1060">
            <v>0</v>
          </cell>
          <cell r="H1060">
            <v>0</v>
          </cell>
          <cell r="I1060">
            <v>0</v>
          </cell>
          <cell r="J1060">
            <v>6</v>
          </cell>
          <cell r="K1060">
            <v>46</v>
          </cell>
          <cell r="L1060">
            <v>31.5</v>
          </cell>
          <cell r="M1060">
            <v>12.6</v>
          </cell>
          <cell r="N1060" t="str">
            <v>10-SupplyPartners</v>
          </cell>
        </row>
        <row r="1061">
          <cell r="A1061" t="str">
            <v>B1062</v>
          </cell>
          <cell r="B1061" t="str">
            <v>Inverters</v>
          </cell>
          <cell r="C1061" t="str">
            <v>Sungrow</v>
          </cell>
          <cell r="D1061" t="str">
            <v>Crystal 2.0kW Single MPPT (2nd Gen)</v>
          </cell>
          <cell r="E1061" t="str">
            <v>SG2K-S</v>
          </cell>
          <cell r="F1061" t="str">
            <v>MPN (Part #)</v>
          </cell>
          <cell r="G1061">
            <v>0</v>
          </cell>
          <cell r="H1061">
            <v>0</v>
          </cell>
          <cell r="I1061">
            <v>0</v>
          </cell>
          <cell r="J1061">
            <v>8.5</v>
          </cell>
          <cell r="K1061">
            <v>30</v>
          </cell>
          <cell r="L1061">
            <v>37</v>
          </cell>
          <cell r="M1061">
            <v>12.5</v>
          </cell>
          <cell r="N1061" t="str">
            <v>10-SupplyPartners</v>
          </cell>
        </row>
        <row r="1062">
          <cell r="A1062" t="str">
            <v>B1063</v>
          </cell>
          <cell r="B1062" t="str">
            <v>Inverters</v>
          </cell>
          <cell r="C1062" t="str">
            <v>Sungrow</v>
          </cell>
          <cell r="D1062" t="str">
            <v>Crystal 2.5kW Single MPPT (2nd Gen)</v>
          </cell>
          <cell r="E1062" t="str">
            <v>SG2K5-S</v>
          </cell>
          <cell r="F1062" t="str">
            <v>MPN (Part #)</v>
          </cell>
          <cell r="G1062">
            <v>0</v>
          </cell>
          <cell r="H1062">
            <v>0</v>
          </cell>
          <cell r="I1062">
            <v>0</v>
          </cell>
          <cell r="J1062">
            <v>8.5</v>
          </cell>
          <cell r="K1062">
            <v>30</v>
          </cell>
          <cell r="L1062">
            <v>37</v>
          </cell>
          <cell r="M1062">
            <v>12.5</v>
          </cell>
          <cell r="N1062" t="str">
            <v>10-SupplyPartners</v>
          </cell>
        </row>
        <row r="1063">
          <cell r="A1063" t="str">
            <v>B1064</v>
          </cell>
          <cell r="B1063" t="str">
            <v>Inverters</v>
          </cell>
          <cell r="C1063" t="str">
            <v>Sungrow</v>
          </cell>
          <cell r="D1063" t="str">
            <v>Crystal 3kW Dual MPPT (2nd Gen)</v>
          </cell>
          <cell r="E1063" t="str">
            <v>SG3K-D</v>
          </cell>
          <cell r="F1063" t="str">
            <v>MPN (Part #)</v>
          </cell>
          <cell r="G1063">
            <v>0</v>
          </cell>
          <cell r="H1063">
            <v>0</v>
          </cell>
          <cell r="I1063">
            <v>0</v>
          </cell>
          <cell r="J1063">
            <v>11.5</v>
          </cell>
          <cell r="K1063">
            <v>36</v>
          </cell>
          <cell r="L1063">
            <v>39</v>
          </cell>
          <cell r="M1063">
            <v>13.3</v>
          </cell>
          <cell r="N1063" t="str">
            <v>10-SupplyPartners</v>
          </cell>
        </row>
        <row r="1064">
          <cell r="A1064" t="str">
            <v>B1065</v>
          </cell>
          <cell r="B1064" t="str">
            <v>Inverters</v>
          </cell>
          <cell r="C1064" t="str">
            <v>Sungrow</v>
          </cell>
          <cell r="D1064" t="str">
            <v>Crystal 3kW Single MPPT (2nd Gen)</v>
          </cell>
          <cell r="E1064" t="str">
            <v>SG3K-S</v>
          </cell>
          <cell r="F1064" t="str">
            <v>MPN (Part #)</v>
          </cell>
          <cell r="G1064">
            <v>0</v>
          </cell>
          <cell r="H1064">
            <v>0</v>
          </cell>
          <cell r="I1064">
            <v>0</v>
          </cell>
          <cell r="J1064">
            <v>8.5</v>
          </cell>
          <cell r="K1064">
            <v>30</v>
          </cell>
          <cell r="L1064">
            <v>37</v>
          </cell>
          <cell r="M1064">
            <v>12.5</v>
          </cell>
          <cell r="N1064" t="str">
            <v>10-SupplyPartners</v>
          </cell>
        </row>
        <row r="1065">
          <cell r="A1065" t="str">
            <v>B1066</v>
          </cell>
          <cell r="B1065" t="str">
            <v>Inverters</v>
          </cell>
          <cell r="C1065" t="str">
            <v>Sungrow</v>
          </cell>
          <cell r="D1065" t="str">
            <v>Crystal 5kW Dual MPPT (2nd Gen)</v>
          </cell>
          <cell r="E1065" t="str">
            <v>SG5K-D</v>
          </cell>
          <cell r="F1065" t="str">
            <v>MPN (Part #)</v>
          </cell>
          <cell r="G1065">
            <v>0</v>
          </cell>
          <cell r="H1065">
            <v>0</v>
          </cell>
          <cell r="I1065">
            <v>0</v>
          </cell>
          <cell r="J1065">
            <v>11.5</v>
          </cell>
          <cell r="K1065">
            <v>36</v>
          </cell>
          <cell r="L1065">
            <v>39</v>
          </cell>
          <cell r="M1065">
            <v>13.3</v>
          </cell>
          <cell r="N1065" t="str">
            <v>10-SupplyPartners</v>
          </cell>
        </row>
        <row r="1066">
          <cell r="A1066" t="str">
            <v>B1067</v>
          </cell>
          <cell r="B1066" t="str">
            <v>Inverters</v>
          </cell>
          <cell r="C1066" t="str">
            <v>Victron</v>
          </cell>
          <cell r="D1066" t="str">
            <v>Phoenix Inverter 24/5000 Smart</v>
          </cell>
          <cell r="F1066" t="str">
            <v>MPN (Part #)</v>
          </cell>
          <cell r="G1066">
            <v>0</v>
          </cell>
          <cell r="H1066">
            <v>0</v>
          </cell>
          <cell r="I1066">
            <v>0</v>
          </cell>
          <cell r="N1066" t="str">
            <v>10-SupplyPartners</v>
          </cell>
        </row>
        <row r="1067">
          <cell r="A1067" t="str">
            <v>B1068</v>
          </cell>
          <cell r="B1067" t="str">
            <v>Inverters</v>
          </cell>
          <cell r="C1067" t="str">
            <v>Victron</v>
          </cell>
          <cell r="D1067" t="str">
            <v>Phoenix Inverter 12/5000 Smart</v>
          </cell>
          <cell r="F1067" t="str">
            <v>MPN (Part #)</v>
          </cell>
          <cell r="G1067">
            <v>0</v>
          </cell>
          <cell r="H1067">
            <v>0</v>
          </cell>
          <cell r="I1067">
            <v>0</v>
          </cell>
          <cell r="N1067" t="str">
            <v>10-SupplyPartners</v>
          </cell>
        </row>
        <row r="1068">
          <cell r="A1068" t="str">
            <v>B1069</v>
          </cell>
          <cell r="B1068" t="str">
            <v>Inverters</v>
          </cell>
          <cell r="C1068" t="str">
            <v>Victron</v>
          </cell>
          <cell r="D1068" t="str">
            <v>MultiPlus 12/2000/80-32</v>
          </cell>
          <cell r="E1068" t="str">
            <v>PMP122200000</v>
          </cell>
          <cell r="F1068" t="str">
            <v>MPN (Part #)</v>
          </cell>
          <cell r="G1068">
            <v>1737.45</v>
          </cell>
          <cell r="H1068">
            <v>1579.5</v>
          </cell>
          <cell r="I1068">
            <v>0</v>
          </cell>
          <cell r="J1068">
            <v>15</v>
          </cell>
          <cell r="K1068">
            <v>51</v>
          </cell>
          <cell r="L1068">
            <v>24</v>
          </cell>
          <cell r="M1068">
            <v>15</v>
          </cell>
          <cell r="N1068" t="str">
            <v>1-Victron</v>
          </cell>
        </row>
        <row r="1069">
          <cell r="A1069" t="str">
            <v>B1070</v>
          </cell>
          <cell r="B1069" t="str">
            <v>Inverter-Chargers</v>
          </cell>
          <cell r="C1069" t="str">
            <v>Victron</v>
          </cell>
          <cell r="D1069" t="str">
            <v xml:space="preserve">Quattro-II 24/5000/120-50 230V </v>
          </cell>
          <cell r="E1069" t="str">
            <v>QUA242505010</v>
          </cell>
          <cell r="F1069" t="str">
            <v>MPN (Part #)</v>
          </cell>
          <cell r="G1069">
            <v>3962</v>
          </cell>
          <cell r="H1069">
            <v>3601.8</v>
          </cell>
          <cell r="I1069">
            <v>0</v>
          </cell>
          <cell r="J1069">
            <v>33</v>
          </cell>
          <cell r="K1069">
            <v>32.799999999999997</v>
          </cell>
          <cell r="L1069">
            <v>56</v>
          </cell>
          <cell r="M1069">
            <v>15</v>
          </cell>
          <cell r="N1069" t="str">
            <v>1-Victron</v>
          </cell>
        </row>
        <row r="1070">
          <cell r="A1070" t="str">
            <v>B1071</v>
          </cell>
          <cell r="B1070" t="str">
            <v>Inverter-Chargers</v>
          </cell>
          <cell r="C1070" t="str">
            <v>Victron</v>
          </cell>
          <cell r="D1070" t="str">
            <v xml:space="preserve">Quattro-II 48/5000/70-50 230V </v>
          </cell>
          <cell r="E1070" t="str">
            <v>QUA482504010</v>
          </cell>
          <cell r="F1070" t="str">
            <v>MPN (Part #)</v>
          </cell>
          <cell r="G1070">
            <v>3229.4</v>
          </cell>
          <cell r="H1070">
            <v>2935.8</v>
          </cell>
          <cell r="I1070">
            <v>0</v>
          </cell>
          <cell r="J1070">
            <v>35</v>
          </cell>
          <cell r="K1070">
            <v>32.799999999999997</v>
          </cell>
          <cell r="L1070">
            <v>56</v>
          </cell>
          <cell r="M1070">
            <v>15</v>
          </cell>
          <cell r="N1070" t="str">
            <v>1-Victron</v>
          </cell>
        </row>
        <row r="1071">
          <cell r="A1071" t="str">
            <v>B1072</v>
          </cell>
          <cell r="B1071" t="str">
            <v>Electrical</v>
          </cell>
          <cell r="C1071" t="str">
            <v>Midnight Solar</v>
          </cell>
          <cell r="D1071" t="str">
            <v>Ground Fault Relay 63A/150V</v>
          </cell>
          <cell r="E1071" t="str">
            <v>MNDC-GFP63</v>
          </cell>
          <cell r="F1071" t="str">
            <v>MPN (Part #)</v>
          </cell>
          <cell r="G1071">
            <v>168.25</v>
          </cell>
          <cell r="H1071">
            <v>152.95000000000002</v>
          </cell>
          <cell r="I1071">
            <v>0</v>
          </cell>
          <cell r="J1071">
            <v>0.5</v>
          </cell>
          <cell r="K1071">
            <v>13</v>
          </cell>
          <cell r="L1071">
            <v>8</v>
          </cell>
          <cell r="M1071">
            <v>5</v>
          </cell>
          <cell r="N1071" t="str">
            <v>6-Various</v>
          </cell>
        </row>
        <row r="1072">
          <cell r="A1072" t="str">
            <v>B1073</v>
          </cell>
          <cell r="B1072" t="str">
            <v>Electrical</v>
          </cell>
          <cell r="C1072" t="str">
            <v>Midnight Solar</v>
          </cell>
          <cell r="D1072" t="str">
            <v>Ground Fault Relay 80A/150V</v>
          </cell>
          <cell r="E1072" t="str">
            <v>MNDC-GFP80</v>
          </cell>
          <cell r="F1072" t="str">
            <v>MPN (Part #)</v>
          </cell>
          <cell r="G1072">
            <v>168.25</v>
          </cell>
          <cell r="H1072">
            <v>152.95000000000002</v>
          </cell>
          <cell r="I1072">
            <v>0</v>
          </cell>
          <cell r="J1072">
            <v>0.5</v>
          </cell>
          <cell r="K1072">
            <v>13</v>
          </cell>
          <cell r="L1072">
            <v>8</v>
          </cell>
          <cell r="M1072">
            <v>9</v>
          </cell>
          <cell r="N1072" t="str">
            <v>6-Various</v>
          </cell>
        </row>
        <row r="1073">
          <cell r="A1073" t="str">
            <v>B1074</v>
          </cell>
          <cell r="B1073" t="str">
            <v>Battery Accessories</v>
          </cell>
          <cell r="C1073" t="str">
            <v>Victron</v>
          </cell>
          <cell r="D1073" t="str">
            <v>VE.Bus BMS V2</v>
          </cell>
          <cell r="E1073" t="str">
            <v>BMS300200200</v>
          </cell>
          <cell r="F1073" t="str">
            <v>VE.Bus BMS</v>
          </cell>
          <cell r="G1073">
            <v>264.35000000000002</v>
          </cell>
          <cell r="H1073">
            <v>240.3</v>
          </cell>
          <cell r="I1073">
            <v>0</v>
          </cell>
          <cell r="N1073" t="str">
            <v>1-Victron</v>
          </cell>
        </row>
        <row r="1074">
          <cell r="A1074" t="str">
            <v>B1075</v>
          </cell>
          <cell r="B1074" t="str">
            <v>Control</v>
          </cell>
          <cell r="C1074" t="str">
            <v>Victron</v>
          </cell>
          <cell r="D1074" t="str">
            <v xml:space="preserve">Ekrano GX </v>
          </cell>
          <cell r="E1074" t="str">
            <v>BPP900480100</v>
          </cell>
          <cell r="F1074" t="str">
            <v>Ekrano</v>
          </cell>
          <cell r="G1074">
            <v>1060.3</v>
          </cell>
          <cell r="H1074">
            <v>963.90000000000009</v>
          </cell>
          <cell r="I1074">
            <v>0</v>
          </cell>
          <cell r="N1074" t="str">
            <v>1-Victron</v>
          </cell>
        </row>
        <row r="1075">
          <cell r="A1075" t="str">
            <v>B1076</v>
          </cell>
          <cell r="B1075" t="str">
            <v>EV Charging</v>
          </cell>
          <cell r="C1075" t="str">
            <v>Victron</v>
          </cell>
          <cell r="D1075" t="str">
            <v>EV Charging Station</v>
          </cell>
          <cell r="E1075" t="str">
            <v>EVC300400300</v>
          </cell>
          <cell r="F1075" t="str">
            <v>MPN (Part #)</v>
          </cell>
          <cell r="G1075">
            <v>1063.25</v>
          </cell>
          <cell r="H1075">
            <v>966.6</v>
          </cell>
          <cell r="I1075">
            <v>0</v>
          </cell>
          <cell r="N1075" t="str">
            <v>1-Victron</v>
          </cell>
        </row>
        <row r="1076">
          <cell r="A1076" t="str">
            <v>B1077</v>
          </cell>
          <cell r="B1076" t="str">
            <v>EV Charging</v>
          </cell>
          <cell r="C1076" t="str">
            <v>Victron</v>
          </cell>
          <cell r="D1076" t="str">
            <v>EV Charging Station NS</v>
          </cell>
          <cell r="E1076" t="str">
            <v>EVC200300200</v>
          </cell>
          <cell r="F1076" t="str">
            <v>MPN (Part #)</v>
          </cell>
          <cell r="G1076">
            <v>1063.25</v>
          </cell>
          <cell r="H1076">
            <v>966.6</v>
          </cell>
          <cell r="I1076">
            <v>0</v>
          </cell>
          <cell r="N1076" t="str">
            <v>1-Victron</v>
          </cell>
        </row>
        <row r="1077">
          <cell r="A1077" t="str">
            <v>B1078</v>
          </cell>
          <cell r="B1077" t="str">
            <v>Control</v>
          </cell>
          <cell r="C1077" t="str">
            <v>Victron</v>
          </cell>
          <cell r="D1077" t="str">
            <v>GX Touch 70</v>
          </cell>
          <cell r="E1077" t="str">
            <v>BPP900455070</v>
          </cell>
          <cell r="F1077" t="str">
            <v>MPN (Part #)</v>
          </cell>
          <cell r="G1077">
            <v>549.45000000000005</v>
          </cell>
          <cell r="H1077">
            <v>499.5</v>
          </cell>
          <cell r="I1077">
            <v>0</v>
          </cell>
          <cell r="J1077">
            <v>0.8</v>
          </cell>
          <cell r="K1077">
            <v>15</v>
          </cell>
          <cell r="L1077">
            <v>8</v>
          </cell>
          <cell r="M1077">
            <v>4</v>
          </cell>
          <cell r="N1077" t="str">
            <v>1-Victron</v>
          </cell>
        </row>
        <row r="1078">
          <cell r="A1078" t="str">
            <v>B1079</v>
          </cell>
          <cell r="B1078" t="str">
            <v>Inverter-Chargers</v>
          </cell>
          <cell r="C1078" t="str">
            <v>Victron</v>
          </cell>
          <cell r="D1078" t="str">
            <v>EasySolarII 48/5000/70-50 GX</v>
          </cell>
          <cell r="E1078" t="str">
            <v>PMP482507010</v>
          </cell>
          <cell r="F1078" t="str">
            <v>MPN (Part #)</v>
          </cell>
          <cell r="G1078">
            <v>3715.4500000000003</v>
          </cell>
          <cell r="H1078">
            <v>3377.7000000000003</v>
          </cell>
          <cell r="I1078">
            <v>0</v>
          </cell>
          <cell r="J1078">
            <v>38.6</v>
          </cell>
          <cell r="K1078">
            <v>60.4</v>
          </cell>
          <cell r="L1078">
            <v>33</v>
          </cell>
          <cell r="M1078">
            <v>260</v>
          </cell>
          <cell r="N1078" t="str">
            <v>1-Victron</v>
          </cell>
        </row>
        <row r="1079">
          <cell r="A1079" t="str">
            <v>B1080</v>
          </cell>
          <cell r="B1079" t="str">
            <v>Control</v>
          </cell>
          <cell r="C1079" t="str">
            <v>Victron</v>
          </cell>
          <cell r="D1079" t="str">
            <v>Cerbo-S GX</v>
          </cell>
          <cell r="E1079" t="str">
            <v>BPP900450120</v>
          </cell>
          <cell r="F1079" t="str">
            <v>MPN (Part #)</v>
          </cell>
          <cell r="G1079">
            <v>369.25</v>
          </cell>
          <cell r="H1079">
            <v>335.70000000000005</v>
          </cell>
          <cell r="I1079">
            <v>0</v>
          </cell>
          <cell r="J1079">
            <v>0.5</v>
          </cell>
          <cell r="K1079">
            <v>7.8</v>
          </cell>
          <cell r="L1079">
            <v>15.4</v>
          </cell>
          <cell r="M1079">
            <v>4.8</v>
          </cell>
          <cell r="N1079" t="str">
            <v>1-Victron</v>
          </cell>
        </row>
        <row r="1080">
          <cell r="A1080" t="str">
            <v>B1081</v>
          </cell>
          <cell r="B1080" t="str">
            <v>Batteries</v>
          </cell>
          <cell r="C1080" t="str">
            <v>Hresys</v>
          </cell>
          <cell r="D1080" t="str">
            <v>5KWh Lithium Battery Module</v>
          </cell>
          <cell r="E1080" t="str">
            <v>VHR-TL-48100</v>
          </cell>
          <cell r="F1080" t="str">
            <v>MPN (Part #)</v>
          </cell>
          <cell r="G1080">
            <v>2610.9500000000003</v>
          </cell>
          <cell r="H1080">
            <v>2373.5500000000002</v>
          </cell>
          <cell r="I1080">
            <v>0</v>
          </cell>
          <cell r="N1080" t="str">
            <v>6-Various</v>
          </cell>
        </row>
        <row r="1081">
          <cell r="A1081" t="str">
            <v>B1082</v>
          </cell>
          <cell r="B1081" t="str">
            <v>EV Charging</v>
          </cell>
          <cell r="C1081" t="str">
            <v>Victron</v>
          </cell>
          <cell r="D1081" t="str">
            <v>Type 2 EV Charging cable 3m, 22kW</v>
          </cell>
          <cell r="E1081" t="str">
            <v>EVC703220300</v>
          </cell>
          <cell r="F1081" t="str">
            <v>MPN (Part #)</v>
          </cell>
          <cell r="G1081">
            <v>254.45000000000002</v>
          </cell>
          <cell r="H1081">
            <v>231.3</v>
          </cell>
          <cell r="I1081">
            <v>0</v>
          </cell>
          <cell r="N1081" t="str">
            <v>1-Victron</v>
          </cell>
        </row>
        <row r="1082">
          <cell r="A1082" t="str">
            <v>B1083</v>
          </cell>
          <cell r="B1082" t="str">
            <v>EV Charging</v>
          </cell>
          <cell r="C1082" t="str">
            <v>Victron</v>
          </cell>
          <cell r="D1082" t="str">
            <v>Type 2 EV Charging cable 5m, 22kW</v>
          </cell>
          <cell r="E1082" t="str">
            <v>EVC703220500</v>
          </cell>
          <cell r="F1082" t="str">
            <v>MPN (Part #)</v>
          </cell>
          <cell r="G1082">
            <v>285.10000000000002</v>
          </cell>
          <cell r="H1082">
            <v>259.2</v>
          </cell>
          <cell r="I1082">
            <v>0</v>
          </cell>
          <cell r="N1082" t="str">
            <v>1-Victron</v>
          </cell>
        </row>
        <row r="1083">
          <cell r="A1083" t="str">
            <v>B1084</v>
          </cell>
          <cell r="B1083" t="str">
            <v>Batteries</v>
          </cell>
          <cell r="C1083" t="str">
            <v>Powerhouse</v>
          </cell>
          <cell r="D1083" t="str">
            <v>PowerHouse AGM Cycling 12V 120Ah</v>
          </cell>
          <cell r="E1083" t="str">
            <v>PHC12/120</v>
          </cell>
          <cell r="F1083" t="str">
            <v>MPN (Part #)</v>
          </cell>
          <cell r="G1083">
            <v>291.2</v>
          </cell>
          <cell r="H1083">
            <v>264.7</v>
          </cell>
          <cell r="I1083">
            <v>0</v>
          </cell>
          <cell r="J1083">
            <v>34</v>
          </cell>
          <cell r="K1083">
            <v>33</v>
          </cell>
          <cell r="L1083">
            <v>17.2</v>
          </cell>
          <cell r="M1083">
            <v>22</v>
          </cell>
          <cell r="N1083" t="str">
            <v>14-MHPower</v>
          </cell>
        </row>
        <row r="1084">
          <cell r="A1084" t="str">
            <v>B1085</v>
          </cell>
          <cell r="B1084" t="str">
            <v>Electrical</v>
          </cell>
          <cell r="C1084" t="str">
            <v xml:space="preserve">Voltex </v>
          </cell>
          <cell r="D1084" t="str">
            <v>32A gen inlet, 3pin</v>
          </cell>
          <cell r="E1084" t="str">
            <v>C66AI332</v>
          </cell>
          <cell r="F1084" t="str">
            <v>MPN (Part #)</v>
          </cell>
          <cell r="G1084">
            <v>159.65</v>
          </cell>
          <cell r="H1084">
            <v>145.15</v>
          </cell>
          <cell r="I1084">
            <v>0</v>
          </cell>
          <cell r="J1084">
            <v>1</v>
          </cell>
          <cell r="N1084" t="str">
            <v>6-Various</v>
          </cell>
        </row>
        <row r="1085">
          <cell r="A1085" t="str">
            <v>B1086</v>
          </cell>
          <cell r="B1085" t="str">
            <v>Electrical</v>
          </cell>
          <cell r="C1085" t="str">
            <v>Voltex</v>
          </cell>
          <cell r="D1085" t="str">
            <v>10A outlet</v>
          </cell>
          <cell r="E1085" t="str">
            <v>C66SO310</v>
          </cell>
          <cell r="F1085" t="str">
            <v>MPN (Part #)</v>
          </cell>
          <cell r="G1085">
            <v>44</v>
          </cell>
          <cell r="H1085">
            <v>40</v>
          </cell>
          <cell r="I1085">
            <v>0</v>
          </cell>
          <cell r="J1085">
            <v>0.5</v>
          </cell>
          <cell r="K1085">
            <v>10</v>
          </cell>
          <cell r="L1085">
            <v>10</v>
          </cell>
          <cell r="M1085">
            <v>8.5</v>
          </cell>
          <cell r="N1085" t="str">
            <v>6-Various</v>
          </cell>
        </row>
        <row r="1086">
          <cell r="A1086" t="str">
            <v>B1087</v>
          </cell>
          <cell r="B1086" t="str">
            <v>Electrical</v>
          </cell>
          <cell r="C1086" t="str">
            <v>Voltex</v>
          </cell>
          <cell r="D1086" t="str">
            <v>15A outlet</v>
          </cell>
          <cell r="E1086" t="str">
            <v>C66SO315</v>
          </cell>
          <cell r="F1086" t="str">
            <v>MPN (Part #)</v>
          </cell>
          <cell r="G1086">
            <v>45.7</v>
          </cell>
          <cell r="H1086">
            <v>41.550000000000004</v>
          </cell>
          <cell r="I1086">
            <v>0</v>
          </cell>
          <cell r="J1086">
            <v>0.5</v>
          </cell>
          <cell r="K1086">
            <v>10</v>
          </cell>
          <cell r="L1086">
            <v>10</v>
          </cell>
          <cell r="M1086">
            <v>8.5</v>
          </cell>
          <cell r="N1086" t="str">
            <v>6-Various</v>
          </cell>
        </row>
        <row r="1087">
          <cell r="A1087" t="str">
            <v>B1088</v>
          </cell>
          <cell r="B1087" t="str">
            <v>Electrical</v>
          </cell>
          <cell r="C1087" t="str">
            <v>Voltex</v>
          </cell>
          <cell r="D1087" t="str">
            <v>15A outlet</v>
          </cell>
          <cell r="E1087" t="str">
            <v>C66SO332</v>
          </cell>
          <cell r="F1087" t="str">
            <v>MPN (Part #)</v>
          </cell>
          <cell r="G1087">
            <v>76.150000000000006</v>
          </cell>
          <cell r="H1087">
            <v>69.25</v>
          </cell>
          <cell r="I1087">
            <v>0</v>
          </cell>
          <cell r="J1087">
            <v>0.5</v>
          </cell>
          <cell r="K1087">
            <v>10</v>
          </cell>
          <cell r="L1087">
            <v>10</v>
          </cell>
          <cell r="M1087">
            <v>8.5</v>
          </cell>
          <cell r="N1087" t="str">
            <v>6-Various</v>
          </cell>
        </row>
        <row r="1088">
          <cell r="A1088" t="str">
            <v>B1089</v>
          </cell>
          <cell r="B1088" t="str">
            <v>Electrical</v>
          </cell>
          <cell r="C1088" t="str">
            <v>NHP</v>
          </cell>
          <cell r="D1088" t="str">
            <v>10A isolator 2 pole AC</v>
          </cell>
          <cell r="E1088" t="str">
            <v>ISOSW110PG</v>
          </cell>
          <cell r="F1088" t="str">
            <v>MPN (Part #)</v>
          </cell>
          <cell r="G1088">
            <v>66.2</v>
          </cell>
          <cell r="H1088">
            <v>60.2</v>
          </cell>
          <cell r="I1088">
            <v>0</v>
          </cell>
          <cell r="J1088">
            <v>0.5</v>
          </cell>
          <cell r="K1088">
            <v>10</v>
          </cell>
          <cell r="L1088">
            <v>10</v>
          </cell>
          <cell r="M1088">
            <v>8.5</v>
          </cell>
          <cell r="N1088" t="str">
            <v>3-Tradezone</v>
          </cell>
        </row>
        <row r="1089">
          <cell r="A1089" t="str">
            <v>B1090</v>
          </cell>
          <cell r="B1089" t="str">
            <v>Solar Controllers</v>
          </cell>
          <cell r="C1089" t="str">
            <v>AERL</v>
          </cell>
          <cell r="D1089" t="str">
            <v>CoolMax SRX MPPT 300/30</v>
          </cell>
          <cell r="E1089" t="str">
            <v>SRXHV 300/30</v>
          </cell>
          <cell r="F1089" t="str">
            <v>MPN (Part #)</v>
          </cell>
          <cell r="G1089">
            <v>1978.45</v>
          </cell>
          <cell r="H1089">
            <v>1798.5500000000002</v>
          </cell>
          <cell r="I1089">
            <v>0</v>
          </cell>
          <cell r="N1089" t="str">
            <v>6-Various</v>
          </cell>
        </row>
        <row r="1090">
          <cell r="A1090" t="str">
            <v>B1091</v>
          </cell>
          <cell r="B1090" t="str">
            <v>Solar Controllers</v>
          </cell>
          <cell r="C1090" t="str">
            <v>AERL</v>
          </cell>
          <cell r="D1090" t="str">
            <v>CoolMax SRX MPPT 300/40</v>
          </cell>
          <cell r="E1090" t="str">
            <v>SRXHV 300/40</v>
          </cell>
          <cell r="F1090" t="str">
            <v>MPN (Part #)</v>
          </cell>
          <cell r="G1090">
            <v>2198.4500000000003</v>
          </cell>
          <cell r="H1090">
            <v>1998.5500000000002</v>
          </cell>
          <cell r="I1090">
            <v>0</v>
          </cell>
          <cell r="N1090" t="str">
            <v>6-Various</v>
          </cell>
        </row>
        <row r="1091">
          <cell r="A1091" t="str">
            <v>B1092</v>
          </cell>
          <cell r="B1091" t="str">
            <v>Solar Controllers</v>
          </cell>
          <cell r="C1091" t="str">
            <v>AERL</v>
          </cell>
          <cell r="D1091" t="str">
            <v>CoolMax SRX MPPT 300/50</v>
          </cell>
          <cell r="E1091" t="str">
            <v>SRXMV 300/50</v>
          </cell>
          <cell r="F1091" t="str">
            <v>MPN (Part #)</v>
          </cell>
          <cell r="G1091">
            <v>1711.3000000000002</v>
          </cell>
          <cell r="H1091">
            <v>1555.7</v>
          </cell>
          <cell r="I1091">
            <v>0</v>
          </cell>
          <cell r="N1091" t="str">
            <v>6-Various</v>
          </cell>
        </row>
        <row r="1092">
          <cell r="A1092" t="str">
            <v>B1093</v>
          </cell>
          <cell r="B1092" t="str">
            <v>Solar Controllers</v>
          </cell>
          <cell r="C1092" t="str">
            <v>AERL</v>
          </cell>
          <cell r="D1092" t="str">
            <v>CoolMax SRX MPPT 300/60</v>
          </cell>
          <cell r="E1092" t="str">
            <v>SRXMV 300/60</v>
          </cell>
          <cell r="F1092" t="str">
            <v>MPN (Part #)</v>
          </cell>
          <cell r="G1092">
            <v>1805.5500000000002</v>
          </cell>
          <cell r="H1092">
            <v>1641.45</v>
          </cell>
          <cell r="I1092">
            <v>0</v>
          </cell>
          <cell r="N1092" t="str">
            <v>6-Various</v>
          </cell>
        </row>
        <row r="1093">
          <cell r="A1093" t="str">
            <v>B1094</v>
          </cell>
          <cell r="B1093" t="str">
            <v>Solar Controllers</v>
          </cell>
          <cell r="C1093" t="str">
            <v>Morningstar</v>
          </cell>
          <cell r="D1093" t="str">
            <v>TriStar MPPT  60A 600V y</v>
          </cell>
          <cell r="E1093" t="str">
            <v>TS-MPPT-60-60048</v>
          </cell>
          <cell r="F1093" t="str">
            <v>MPN (Part #)</v>
          </cell>
          <cell r="G1093">
            <v>2952.3500000000004</v>
          </cell>
          <cell r="H1093">
            <v>2683.9500000000003</v>
          </cell>
          <cell r="I1093">
            <v>0</v>
          </cell>
          <cell r="N1093" t="str">
            <v>10-RFI</v>
          </cell>
        </row>
        <row r="1094">
          <cell r="A1094" t="str">
            <v>B1095</v>
          </cell>
          <cell r="B1094" t="str">
            <v>Solar Controllers</v>
          </cell>
          <cell r="C1094" t="str">
            <v>Morningstar</v>
          </cell>
          <cell r="D1094" t="str">
            <v>TriStar MPPT 60A 600V w/ DC Disconnect Box</v>
          </cell>
          <cell r="E1094" t="str">
            <v>TS-MPPT-60-60048DB</v>
          </cell>
          <cell r="F1094" t="str">
            <v>MPN (Part #)</v>
          </cell>
          <cell r="G1094">
            <v>3470.2000000000003</v>
          </cell>
          <cell r="H1094">
            <v>3154.75</v>
          </cell>
          <cell r="I1094">
            <v>0</v>
          </cell>
          <cell r="N1094" t="str">
            <v>10-RFI</v>
          </cell>
        </row>
        <row r="1095">
          <cell r="A1095" t="str">
            <v>B1096</v>
          </cell>
          <cell r="B1095" t="str">
            <v>Solar Controllers</v>
          </cell>
          <cell r="C1095" t="str">
            <v>Morningstar</v>
          </cell>
          <cell r="D1095" t="str">
            <v>TriStar Digital Meter for TS-MPPT-600V only</v>
          </cell>
          <cell r="E1095" t="str">
            <v>TS-M-2-600V</v>
          </cell>
          <cell r="F1095" t="str">
            <v>MPN (Part #)</v>
          </cell>
          <cell r="G1095">
            <v>257.15000000000003</v>
          </cell>
          <cell r="H1095">
            <v>233.75</v>
          </cell>
          <cell r="I1095">
            <v>0</v>
          </cell>
          <cell r="N1095" t="str">
            <v>10-RFI</v>
          </cell>
        </row>
        <row r="1096">
          <cell r="A1096" t="str">
            <v>B1097</v>
          </cell>
          <cell r="B1096" t="str">
            <v>Solar Controllers</v>
          </cell>
          <cell r="C1096" t="str">
            <v>Morningstar</v>
          </cell>
          <cell r="D1096" t="str">
            <v>Ground fault protection device 600V</v>
          </cell>
          <cell r="E1096" t="str">
            <v>GFPD-600V</v>
          </cell>
          <cell r="F1096" t="str">
            <v>MPN (Part #)</v>
          </cell>
          <cell r="G1096">
            <v>837.05000000000007</v>
          </cell>
          <cell r="H1096">
            <v>760.95</v>
          </cell>
          <cell r="I1096">
            <v>0</v>
          </cell>
          <cell r="N1096" t="str">
            <v>10-RFI</v>
          </cell>
        </row>
        <row r="1097">
          <cell r="A1097" t="str">
            <v>B1098</v>
          </cell>
          <cell r="B1097" t="str">
            <v>Battery Accessories</v>
          </cell>
          <cell r="C1097" t="str">
            <v>Solar Edge</v>
          </cell>
          <cell r="D1097" t="str">
            <v>SolarEdge StorEdge Interface S2</v>
          </cell>
          <cell r="E1097" t="str">
            <v>SESTI-S2</v>
          </cell>
          <cell r="F1097" t="str">
            <v>MPN (Part #)</v>
          </cell>
          <cell r="G1097">
            <v>0</v>
          </cell>
          <cell r="H1097">
            <v>0</v>
          </cell>
          <cell r="I1097">
            <v>0</v>
          </cell>
          <cell r="N1097" t="str">
            <v>12-SolDistribution</v>
          </cell>
        </row>
        <row r="1098">
          <cell r="A1098" t="str">
            <v>B1099</v>
          </cell>
          <cell r="B1098" t="str">
            <v>Monitoring</v>
          </cell>
          <cell r="C1098" t="str">
            <v>Solar Edge</v>
          </cell>
          <cell r="D1098" t="str">
            <v>SolarEdge Modbus Meter</v>
          </cell>
          <cell r="E1098" t="str">
            <v xml:space="preserve">SE-WND-3Y400-MB-K2 </v>
          </cell>
          <cell r="F1098" t="str">
            <v>MPN (Part #)</v>
          </cell>
          <cell r="G1098">
            <v>0</v>
          </cell>
          <cell r="H1098">
            <v>0</v>
          </cell>
          <cell r="I1098">
            <v>0</v>
          </cell>
          <cell r="N1098" t="str">
            <v>12-SolDistribution</v>
          </cell>
        </row>
        <row r="1099">
          <cell r="A1099" t="str">
            <v>B1100</v>
          </cell>
          <cell r="B1099" t="str">
            <v>Monitoring</v>
          </cell>
          <cell r="C1099" t="str">
            <v>Solar Edge</v>
          </cell>
          <cell r="D1099" t="str">
            <v>SolarEdge 250A Split-Core Current Transformer</v>
          </cell>
          <cell r="E1099" t="str">
            <v xml:space="preserve">SE-ACT-0750-250-C6 </v>
          </cell>
          <cell r="F1099" t="str">
            <v>MPN (Part #)</v>
          </cell>
          <cell r="G1099">
            <v>0</v>
          </cell>
          <cell r="H1099">
            <v>0</v>
          </cell>
          <cell r="I1099">
            <v>0</v>
          </cell>
          <cell r="N1099" t="str">
            <v>12-SolDistribution</v>
          </cell>
        </row>
        <row r="1100">
          <cell r="A1100" t="str">
            <v>B1101</v>
          </cell>
          <cell r="B1100" t="str">
            <v>Batteries</v>
          </cell>
          <cell r="C1100" t="str">
            <v>BYD</v>
          </cell>
          <cell r="D1100" t="str">
            <v>Battery-Box L3.5</v>
          </cell>
          <cell r="E1100" t="str">
            <v>BBox-L3.5</v>
          </cell>
          <cell r="F1100" t="str">
            <v>MPN (Part #)</v>
          </cell>
          <cell r="G1100">
            <v>3455.55</v>
          </cell>
          <cell r="H1100">
            <v>3141.4500000000003</v>
          </cell>
          <cell r="I1100">
            <v>0</v>
          </cell>
          <cell r="N1100" t="str">
            <v>2-Krannich</v>
          </cell>
        </row>
        <row r="1101">
          <cell r="A1101" t="str">
            <v>B1102</v>
          </cell>
          <cell r="B1101" t="str">
            <v>Batteries</v>
          </cell>
          <cell r="C1101" t="str">
            <v>BYD</v>
          </cell>
          <cell r="D1101" t="str">
            <v>Battery-Box L7.0</v>
          </cell>
          <cell r="E1101" t="str">
            <v>BBox-L7.0</v>
          </cell>
          <cell r="F1101" t="str">
            <v>MPN (Part #)</v>
          </cell>
          <cell r="G1101">
            <v>6284.1500000000005</v>
          </cell>
          <cell r="H1101">
            <v>5712.85</v>
          </cell>
          <cell r="I1101">
            <v>0</v>
          </cell>
          <cell r="N1101" t="str">
            <v>2-Krannich</v>
          </cell>
        </row>
        <row r="1102">
          <cell r="A1102" t="str">
            <v>B1103</v>
          </cell>
          <cell r="B1102" t="str">
            <v>Batteries</v>
          </cell>
          <cell r="C1102" t="str">
            <v>BYD</v>
          </cell>
          <cell r="D1102" t="str">
            <v>Battery-Box L10.5</v>
          </cell>
          <cell r="E1102" t="str">
            <v>BBox-L10.5</v>
          </cell>
          <cell r="F1102" t="str">
            <v>MPN (Part #)</v>
          </cell>
          <cell r="G1102">
            <v>9269.85</v>
          </cell>
          <cell r="H1102">
            <v>8427.15</v>
          </cell>
          <cell r="I1102">
            <v>0</v>
          </cell>
          <cell r="N1102" t="str">
            <v>2-Krannich</v>
          </cell>
        </row>
        <row r="1103">
          <cell r="A1103" t="str">
            <v>B1104</v>
          </cell>
          <cell r="B1103" t="str">
            <v>Batteries</v>
          </cell>
          <cell r="C1103" t="str">
            <v>BYD</v>
          </cell>
          <cell r="D1103" t="str">
            <v>Battery-Box L14</v>
          </cell>
          <cell r="E1103" t="str">
            <v>BBox-L14</v>
          </cell>
          <cell r="F1103" t="str">
            <v>MPN (Part #)</v>
          </cell>
          <cell r="G1103">
            <v>11784.150000000001</v>
          </cell>
          <cell r="H1103">
            <v>10712.85</v>
          </cell>
          <cell r="I1103">
            <v>0</v>
          </cell>
          <cell r="N1103" t="str">
            <v>2-Krannich</v>
          </cell>
        </row>
        <row r="1104">
          <cell r="A1104" t="str">
            <v>B1105</v>
          </cell>
          <cell r="B1104" t="str">
            <v>Batteries</v>
          </cell>
          <cell r="C1104" t="str">
            <v>BYD</v>
          </cell>
          <cell r="D1104" t="str">
            <v>Battery-Box 2.5KWh LV Module</v>
          </cell>
          <cell r="E1104" t="str">
            <v>BBOX-LV-2.5</v>
          </cell>
          <cell r="F1104" t="str">
            <v>MPN (Part #)</v>
          </cell>
          <cell r="G1104">
            <v>0</v>
          </cell>
          <cell r="H1104">
            <v>0</v>
          </cell>
          <cell r="I1104">
            <v>0</v>
          </cell>
          <cell r="N1104" t="str">
            <v>12-SolDistribution</v>
          </cell>
        </row>
        <row r="1105">
          <cell r="A1105" t="str">
            <v>B1106</v>
          </cell>
          <cell r="B1105" t="str">
            <v>Batteries</v>
          </cell>
          <cell r="C1105" t="str">
            <v>BYD</v>
          </cell>
          <cell r="D1105" t="str">
            <v>Battery IP55 Cabinet</v>
          </cell>
          <cell r="E1105" t="str">
            <v>BYD-IP55-CAB</v>
          </cell>
          <cell r="F1105" t="str">
            <v>MPN (Part #)</v>
          </cell>
          <cell r="G1105">
            <v>0</v>
          </cell>
          <cell r="H1105">
            <v>0</v>
          </cell>
          <cell r="I1105">
            <v>0</v>
          </cell>
          <cell r="N1105" t="str">
            <v>12-SolDistribution</v>
          </cell>
        </row>
        <row r="1106">
          <cell r="A1106" t="str">
            <v>B1107</v>
          </cell>
          <cell r="B1106" t="str">
            <v>Batteries</v>
          </cell>
          <cell r="C1106" t="str">
            <v>BYD</v>
          </cell>
          <cell r="D1106" t="str">
            <v>LV Flex 5KWh 48V Module</v>
          </cell>
          <cell r="E1106" t="str">
            <v>B-BoxLVFlex</v>
          </cell>
          <cell r="F1106" t="str">
            <v>MPN (Part #)</v>
          </cell>
          <cell r="G1106">
            <v>3141.3</v>
          </cell>
          <cell r="H1106">
            <v>2855.7000000000003</v>
          </cell>
          <cell r="I1106">
            <v>0</v>
          </cell>
          <cell r="J1106">
            <v>47</v>
          </cell>
          <cell r="K1106">
            <v>525</v>
          </cell>
          <cell r="L1106">
            <v>482</v>
          </cell>
          <cell r="M1106">
            <v>132</v>
          </cell>
          <cell r="N1106" t="str">
            <v>2-Krannich</v>
          </cell>
        </row>
        <row r="1107">
          <cell r="A1107" t="str">
            <v>B1108</v>
          </cell>
          <cell r="B1107" t="str">
            <v>Inverter-Chargers</v>
          </cell>
          <cell r="C1107" t="str">
            <v>Victron</v>
          </cell>
          <cell r="D1107" t="str">
            <v>Multiplus-II GX 48/5000/70-50</v>
          </cell>
          <cell r="E1107" t="str">
            <v>PMP482506000</v>
          </cell>
          <cell r="F1107" t="str">
            <v>MPN (Part #)</v>
          </cell>
          <cell r="G1107">
            <v>1941.4</v>
          </cell>
          <cell r="H1107">
            <v>1764.9</v>
          </cell>
          <cell r="I1107">
            <v>0</v>
          </cell>
          <cell r="J1107">
            <v>26</v>
          </cell>
          <cell r="K1107">
            <v>50.6</v>
          </cell>
          <cell r="L1107">
            <v>27.5</v>
          </cell>
          <cell r="M1107">
            <v>14.7</v>
          </cell>
          <cell r="N1107" t="str">
            <v>1-Victron</v>
          </cell>
        </row>
        <row r="1108">
          <cell r="A1108" t="str">
            <v>B1109</v>
          </cell>
          <cell r="B1108" t="str">
            <v>Enclosures</v>
          </cell>
          <cell r="C1108" t="str">
            <v>IP Enclosures</v>
          </cell>
          <cell r="D1108" t="str">
            <v>Enclosure 600H x 600W x 200D Steel Powdercoated</v>
          </cell>
          <cell r="E1108" t="str">
            <v>IP606020</v>
          </cell>
          <cell r="F1108" t="str">
            <v>MPN (Part #)</v>
          </cell>
          <cell r="G1108">
            <v>312.25</v>
          </cell>
          <cell r="H1108">
            <v>283.90000000000003</v>
          </cell>
          <cell r="I1108">
            <v>0</v>
          </cell>
          <cell r="N1108" t="str">
            <v>3-Tradezone</v>
          </cell>
        </row>
        <row r="1109">
          <cell r="A1109" t="str">
            <v>B1110</v>
          </cell>
          <cell r="B1109" t="str">
            <v>Batteries</v>
          </cell>
          <cell r="C1109" t="str">
            <v>Fiamm</v>
          </cell>
          <cell r="D1109" t="str">
            <v>Sealed Gel OPzV 2V 860Ah (C120)</v>
          </cell>
          <cell r="E1109" t="str">
            <v>SMG860</v>
          </cell>
          <cell r="F1109" t="str">
            <v>MPN (Part #)</v>
          </cell>
          <cell r="G1109">
            <v>687.5</v>
          </cell>
          <cell r="H1109">
            <v>625</v>
          </cell>
          <cell r="I1109">
            <v>0</v>
          </cell>
          <cell r="N1109" t="str">
            <v>6-Various</v>
          </cell>
        </row>
        <row r="1110">
          <cell r="A1110" t="str">
            <v>B1111</v>
          </cell>
          <cell r="B1110" t="str">
            <v>Batteries</v>
          </cell>
          <cell r="C1110" t="str">
            <v>Fiamm</v>
          </cell>
          <cell r="D1110" t="str">
            <v>Sealed Gel OPzV 2V 1150Ah (C120)</v>
          </cell>
          <cell r="E1110" t="str">
            <v>SMG1150</v>
          </cell>
          <cell r="F1110" t="str">
            <v>MPN (Part #)</v>
          </cell>
          <cell r="G1110">
            <v>909.85</v>
          </cell>
          <cell r="H1110">
            <v>827.15000000000009</v>
          </cell>
          <cell r="I1110">
            <v>0</v>
          </cell>
          <cell r="N1110" t="str">
            <v>6-Various</v>
          </cell>
        </row>
        <row r="1111">
          <cell r="A1111" t="str">
            <v>B1112</v>
          </cell>
          <cell r="B1111" t="str">
            <v>Batteries</v>
          </cell>
          <cell r="C1111" t="str">
            <v>Fiamm</v>
          </cell>
          <cell r="D1111" t="str">
            <v>Sealed Gel OPzV 2V 1440Ah (C120)</v>
          </cell>
          <cell r="E1111" t="str">
            <v>SMG1440</v>
          </cell>
          <cell r="F1111" t="str">
            <v>MPN (Part #)</v>
          </cell>
          <cell r="G1111">
            <v>1178.55</v>
          </cell>
          <cell r="H1111">
            <v>1071.45</v>
          </cell>
          <cell r="I1111">
            <v>0</v>
          </cell>
          <cell r="N1111" t="str">
            <v>6-Various</v>
          </cell>
        </row>
        <row r="1112">
          <cell r="A1112" t="str">
            <v>B1113</v>
          </cell>
          <cell r="B1112" t="str">
            <v>Solar Accessories</v>
          </cell>
          <cell r="C1112" t="str">
            <v>DC Solutions</v>
          </cell>
          <cell r="D1112" t="str">
            <v>Fuse 200A NH1 500V DC HRC</v>
          </cell>
          <cell r="E1112" t="str">
            <v>FH01/200A</v>
          </cell>
          <cell r="F1112" t="str">
            <v>MPN (Part #)</v>
          </cell>
          <cell r="G1112">
            <v>15.700000000000001</v>
          </cell>
          <cell r="H1112">
            <v>14.25</v>
          </cell>
          <cell r="I1112">
            <v>0</v>
          </cell>
          <cell r="J1112">
            <v>0.17</v>
          </cell>
          <cell r="K1112">
            <v>8</v>
          </cell>
          <cell r="L1112">
            <v>4.5</v>
          </cell>
          <cell r="M1112">
            <v>2</v>
          </cell>
          <cell r="N1112" t="str">
            <v>3-Tradezone</v>
          </cell>
        </row>
        <row r="1113">
          <cell r="A1113" t="str">
            <v>B1114</v>
          </cell>
          <cell r="B1113" t="str">
            <v>Electrical</v>
          </cell>
          <cell r="C1113" t="str">
            <v>NHP</v>
          </cell>
          <cell r="D1113" t="str">
            <v>Isolator 40A 2 Pole IP65</v>
          </cell>
          <cell r="E1113" t="str">
            <v>NL140L</v>
          </cell>
          <cell r="F1113" t="str">
            <v>MPN (Part #)</v>
          </cell>
          <cell r="G1113">
            <v>27.75</v>
          </cell>
          <cell r="H1113">
            <v>25.25</v>
          </cell>
          <cell r="I1113">
            <v>0</v>
          </cell>
          <cell r="N1113" t="str">
            <v>3-Tradezone</v>
          </cell>
        </row>
        <row r="1114">
          <cell r="A1114" t="str">
            <v>B1115</v>
          </cell>
          <cell r="B1114" t="str">
            <v>Solar Controllers</v>
          </cell>
          <cell r="C1114" t="str">
            <v>Victron</v>
          </cell>
          <cell r="D1114" t="str">
            <v>SmarSolar MPPT 250/85 VE.Can Tr</v>
          </cell>
          <cell r="E1114" t="str">
            <v>SCC125085411</v>
          </cell>
          <cell r="F1114" t="str">
            <v>MPN (Part #)</v>
          </cell>
          <cell r="G1114">
            <v>931.6</v>
          </cell>
          <cell r="H1114">
            <v>846.90000000000009</v>
          </cell>
          <cell r="I1114">
            <v>0</v>
          </cell>
          <cell r="J1114">
            <v>5.5</v>
          </cell>
          <cell r="K1114">
            <v>33</v>
          </cell>
          <cell r="L1114">
            <v>16</v>
          </cell>
          <cell r="M1114">
            <v>29</v>
          </cell>
          <cell r="N1114" t="str">
            <v>1-Victron</v>
          </cell>
        </row>
        <row r="1115">
          <cell r="A1115" t="str">
            <v>B1116</v>
          </cell>
          <cell r="B1115" t="str">
            <v>Electrical</v>
          </cell>
          <cell r="C1115" t="str">
            <v>Voltex</v>
          </cell>
          <cell r="D1115" t="str">
            <v>Generator Inlet 15A IP66</v>
          </cell>
          <cell r="E1115" t="str">
            <v>C66AI315</v>
          </cell>
          <cell r="F1115" t="str">
            <v>MPN (Part #)</v>
          </cell>
          <cell r="G1115">
            <v>87.850000000000009</v>
          </cell>
          <cell r="H1115">
            <v>79.850000000000009</v>
          </cell>
          <cell r="I1115">
            <v>0</v>
          </cell>
          <cell r="J1115">
            <v>0.4</v>
          </cell>
          <cell r="K1115">
            <v>10</v>
          </cell>
          <cell r="L1115">
            <v>7</v>
          </cell>
          <cell r="M1115">
            <v>7</v>
          </cell>
          <cell r="N1115" t="str">
            <v>6-Various</v>
          </cell>
        </row>
        <row r="1116">
          <cell r="A1116" t="str">
            <v>B1117</v>
          </cell>
          <cell r="B1116" t="str">
            <v>Solar Controllers</v>
          </cell>
          <cell r="C1116" t="str">
            <v>Victron</v>
          </cell>
          <cell r="D1116" t="str">
            <v>SmarSolar MPPT 250/70 VE.Can MC4</v>
          </cell>
          <cell r="E1116" t="str">
            <v>SCC125070421</v>
          </cell>
          <cell r="F1116" t="str">
            <v>MPN (Part #)</v>
          </cell>
          <cell r="G1116">
            <v>866.25</v>
          </cell>
          <cell r="H1116">
            <v>787.5</v>
          </cell>
          <cell r="I1116">
            <v>0</v>
          </cell>
          <cell r="J1116">
            <v>5.5</v>
          </cell>
          <cell r="K1116">
            <v>33</v>
          </cell>
          <cell r="L1116">
            <v>16</v>
          </cell>
          <cell r="M1116">
            <v>29</v>
          </cell>
          <cell r="N1116" t="str">
            <v>1-Victron</v>
          </cell>
        </row>
        <row r="1117">
          <cell r="A1117" t="str">
            <v>B1118</v>
          </cell>
          <cell r="B1117" t="str">
            <v>Solar Controllers</v>
          </cell>
          <cell r="C1117" t="str">
            <v>Victron</v>
          </cell>
          <cell r="D1117" t="str">
            <v>SmarSolar MPPT 250/85 VE.Can MC4</v>
          </cell>
          <cell r="E1117" t="str">
            <v>SCC125085511</v>
          </cell>
          <cell r="F1117" t="str">
            <v>MPN (Part #)</v>
          </cell>
          <cell r="G1117">
            <v>948.40000000000009</v>
          </cell>
          <cell r="H1117">
            <v>862.2</v>
          </cell>
          <cell r="I1117">
            <v>0</v>
          </cell>
          <cell r="J1117">
            <v>5.5</v>
          </cell>
          <cell r="K1117">
            <v>33</v>
          </cell>
          <cell r="L1117">
            <v>16</v>
          </cell>
          <cell r="M1117">
            <v>29</v>
          </cell>
          <cell r="N1117" t="str">
            <v>1-Victron</v>
          </cell>
        </row>
        <row r="1118">
          <cell r="A1118" t="str">
            <v>B1119</v>
          </cell>
          <cell r="B1118" t="str">
            <v>Electrical</v>
          </cell>
          <cell r="C1118" t="str">
            <v>NHP</v>
          </cell>
          <cell r="D1118" t="str">
            <v>Relay 16A 240v AC coil</v>
          </cell>
          <cell r="E1118" t="str">
            <v>46610054240VAC</v>
          </cell>
          <cell r="F1118" t="str">
            <v>MPN (Part #)</v>
          </cell>
          <cell r="G1118">
            <v>21.55</v>
          </cell>
          <cell r="H1118">
            <v>19.600000000000001</v>
          </cell>
          <cell r="I1118">
            <v>0</v>
          </cell>
          <cell r="J1118">
            <v>0.02</v>
          </cell>
          <cell r="K1118">
            <v>1.24</v>
          </cell>
          <cell r="L1118">
            <v>2.9</v>
          </cell>
          <cell r="M1118">
            <v>3.28</v>
          </cell>
          <cell r="N1118" t="str">
            <v>3-Tradezone</v>
          </cell>
        </row>
        <row r="1119">
          <cell r="A1119" t="str">
            <v>B1120</v>
          </cell>
          <cell r="B1119" t="str">
            <v>Solar Controllers</v>
          </cell>
          <cell r="C1119" t="str">
            <v>Victron</v>
          </cell>
          <cell r="D1119" t="str">
            <v>Smart Solar MPPT 250/100-MC4 VE.Can</v>
          </cell>
          <cell r="E1119" t="str">
            <v>SCC125110412</v>
          </cell>
          <cell r="F1119" t="str">
            <v>MPN (Part #)</v>
          </cell>
          <cell r="G1119">
            <v>1039.5</v>
          </cell>
          <cell r="H1119">
            <v>945</v>
          </cell>
          <cell r="I1119">
            <v>0</v>
          </cell>
          <cell r="J1119">
            <v>4.5</v>
          </cell>
          <cell r="K1119">
            <v>29.5</v>
          </cell>
          <cell r="L1119">
            <v>2.16</v>
          </cell>
          <cell r="M1119">
            <v>11</v>
          </cell>
          <cell r="N1119" t="str">
            <v>1-Victron</v>
          </cell>
        </row>
        <row r="1120">
          <cell r="A1120" t="str">
            <v>B1121</v>
          </cell>
          <cell r="B1120" t="str">
            <v>Electrical</v>
          </cell>
          <cell r="C1120" t="str">
            <v>NHP</v>
          </cell>
          <cell r="D1120" t="str">
            <v>Relay 16A 12v DC coil</v>
          </cell>
          <cell r="E1120" t="str">
            <v>4661007412VDC</v>
          </cell>
          <cell r="F1120" t="str">
            <v>MPN (Part #)</v>
          </cell>
          <cell r="G1120">
            <v>17.7</v>
          </cell>
          <cell r="H1120">
            <v>16.100000000000001</v>
          </cell>
          <cell r="I1120">
            <v>0</v>
          </cell>
          <cell r="N1120" t="str">
            <v>3-Tradezone</v>
          </cell>
        </row>
        <row r="1121">
          <cell r="A1121" t="str">
            <v>B1122</v>
          </cell>
          <cell r="B1121" t="str">
            <v>Batteries</v>
          </cell>
          <cell r="C1121" t="str">
            <v>SolarWatt</v>
          </cell>
          <cell r="D1121" t="str">
            <v>Solarwatt MyReserve Command Accessory kit</v>
          </cell>
          <cell r="E1121" t="str">
            <v>MRC-Acc</v>
          </cell>
          <cell r="F1121" t="str">
            <v>MPN (Part #)</v>
          </cell>
          <cell r="G1121">
            <v>425.8</v>
          </cell>
          <cell r="H1121">
            <v>387.1</v>
          </cell>
          <cell r="I1121">
            <v>0</v>
          </cell>
          <cell r="J1121">
            <v>4.2</v>
          </cell>
          <cell r="K1121">
            <v>30</v>
          </cell>
          <cell r="L1121">
            <v>16</v>
          </cell>
          <cell r="M1121">
            <v>11</v>
          </cell>
          <cell r="N1121" t="str">
            <v>7-Baywa</v>
          </cell>
        </row>
        <row r="1122">
          <cell r="A1122" t="str">
            <v>B1123</v>
          </cell>
          <cell r="B1122" t="str">
            <v>Batteries</v>
          </cell>
          <cell r="C1122" t="str">
            <v>LBS</v>
          </cell>
          <cell r="D1122" t="str">
            <v>Lithium LiFePo Battery 3.6KWh 48V/75Ah</v>
          </cell>
          <cell r="E1122" t="str">
            <v xml:space="preserve">LBS-4875-HP-REG </v>
          </cell>
          <cell r="F1122" t="str">
            <v>MPN (Part #)</v>
          </cell>
          <cell r="G1122">
            <v>2907.15</v>
          </cell>
          <cell r="H1122">
            <v>2642.8500000000004</v>
          </cell>
          <cell r="I1122">
            <v>0</v>
          </cell>
          <cell r="J1122">
            <v>26</v>
          </cell>
          <cell r="K1122">
            <v>33</v>
          </cell>
          <cell r="L1122">
            <v>24</v>
          </cell>
          <cell r="M1122">
            <v>31</v>
          </cell>
          <cell r="N1122" t="str">
            <v>6-Various</v>
          </cell>
        </row>
        <row r="1123">
          <cell r="A1123" t="str">
            <v>B1124</v>
          </cell>
          <cell r="B1123" t="str">
            <v>Batteries</v>
          </cell>
          <cell r="C1123" t="str">
            <v>LBS</v>
          </cell>
          <cell r="D1123" t="str">
            <v>Lithium LiFePo Battery5KWh</v>
          </cell>
          <cell r="E1123" t="str">
            <v>LBS-48110-HP-REG</v>
          </cell>
          <cell r="F1123" t="str">
            <v>MPN (Part #)</v>
          </cell>
          <cell r="G1123">
            <v>4635.7</v>
          </cell>
          <cell r="H1123">
            <v>4214.3</v>
          </cell>
          <cell r="I1123">
            <v>0</v>
          </cell>
          <cell r="J1123">
            <v>43</v>
          </cell>
          <cell r="K1123">
            <v>34.299999999999997</v>
          </cell>
          <cell r="L1123">
            <v>30</v>
          </cell>
          <cell r="M1123">
            <v>55</v>
          </cell>
          <cell r="N1123" t="str">
            <v>6-Various</v>
          </cell>
        </row>
        <row r="1124">
          <cell r="A1124" t="str">
            <v>B1125</v>
          </cell>
          <cell r="B1124" t="str">
            <v>Batteries</v>
          </cell>
          <cell r="C1124" t="str">
            <v>LBS</v>
          </cell>
          <cell r="D1124" t="str">
            <v>Monitoring Screen for LBS Battery system</v>
          </cell>
          <cell r="E1124" t="str">
            <v>LBS-MON</v>
          </cell>
          <cell r="F1124" t="str">
            <v>MPN (Part #)</v>
          </cell>
          <cell r="G1124">
            <v>161.75</v>
          </cell>
          <cell r="H1124">
            <v>147.05000000000001</v>
          </cell>
          <cell r="I1124">
            <v>0</v>
          </cell>
          <cell r="J1124">
            <v>0.3</v>
          </cell>
          <cell r="K1124">
            <v>10</v>
          </cell>
          <cell r="L1124">
            <v>5</v>
          </cell>
          <cell r="M1124">
            <v>2.5</v>
          </cell>
          <cell r="N1124" t="str">
            <v>6-Various</v>
          </cell>
        </row>
        <row r="1125">
          <cell r="A1125" t="str">
            <v>B1126</v>
          </cell>
          <cell r="B1125" t="str">
            <v>Batteries</v>
          </cell>
          <cell r="C1125" t="str">
            <v>LBS</v>
          </cell>
          <cell r="D1125" t="str">
            <v>Cable &amp; 175A Anderson plug, LBS 2m dual cable</v>
          </cell>
          <cell r="E1125" t="str">
            <v>LBS-AND-175</v>
          </cell>
          <cell r="F1125" t="str">
            <v>MPN (Part #)</v>
          </cell>
          <cell r="G1125">
            <v>121.30000000000001</v>
          </cell>
          <cell r="H1125">
            <v>110.30000000000001</v>
          </cell>
          <cell r="I1125">
            <v>0</v>
          </cell>
          <cell r="J1125">
            <v>1.5</v>
          </cell>
          <cell r="K1125">
            <v>30</v>
          </cell>
          <cell r="L1125">
            <v>30</v>
          </cell>
          <cell r="M1125">
            <v>8</v>
          </cell>
          <cell r="N1125" t="str">
            <v>6-Various</v>
          </cell>
        </row>
        <row r="1126">
          <cell r="A1126" t="str">
            <v>B1127</v>
          </cell>
          <cell r="B1126" t="str">
            <v>Battery Accessories</v>
          </cell>
          <cell r="C1126" t="str">
            <v>Pylontech</v>
          </cell>
          <cell r="D1126" t="str">
            <v>Cable set Pylontech US2000B 2M</v>
          </cell>
          <cell r="E1126" t="str">
            <v>Cab-Pylon-2m</v>
          </cell>
          <cell r="F1126" t="str">
            <v>MPN (Part #)</v>
          </cell>
          <cell r="G1126">
            <v>0</v>
          </cell>
          <cell r="H1126">
            <v>0</v>
          </cell>
          <cell r="I1126">
            <v>0</v>
          </cell>
          <cell r="J1126">
            <v>1.2</v>
          </cell>
          <cell r="K1126">
            <v>25</v>
          </cell>
          <cell r="L1126">
            <v>12</v>
          </cell>
          <cell r="M1126">
            <v>7.5</v>
          </cell>
          <cell r="N1126" t="str">
            <v>3-Tradezone</v>
          </cell>
        </row>
        <row r="1127">
          <cell r="A1127" t="str">
            <v>B1128</v>
          </cell>
          <cell r="B1127" t="str">
            <v>Fuses</v>
          </cell>
          <cell r="C1127" t="str">
            <v>DC Solutions</v>
          </cell>
          <cell r="D1127" t="str">
            <v>Fuse 100A NH00 250V DC HRC</v>
          </cell>
          <cell r="E1127" t="str">
            <v>FH00/100A</v>
          </cell>
          <cell r="F1127" t="str">
            <v>MPN (Part #)</v>
          </cell>
          <cell r="G1127">
            <v>6.9</v>
          </cell>
          <cell r="H1127">
            <v>6.3000000000000007</v>
          </cell>
          <cell r="I1127">
            <v>0</v>
          </cell>
          <cell r="N1127" t="str">
            <v>3-Tradezone</v>
          </cell>
        </row>
        <row r="1128">
          <cell r="A1128" t="str">
            <v>B1129</v>
          </cell>
          <cell r="B1128" t="str">
            <v>Batteries</v>
          </cell>
          <cell r="C1128" t="str">
            <v>Pylontech</v>
          </cell>
          <cell r="D1128" t="str">
            <v xml:space="preserve">Lithium Battery Module US3000 </v>
          </cell>
          <cell r="E1128" t="str">
            <v>PYLON-US3000/P1</v>
          </cell>
          <cell r="F1128" t="str">
            <v>MPN (Part #)</v>
          </cell>
          <cell r="G1128">
            <v>0</v>
          </cell>
          <cell r="H1128">
            <v>0</v>
          </cell>
          <cell r="I1128">
            <v>0</v>
          </cell>
          <cell r="J1128">
            <v>32</v>
          </cell>
          <cell r="K1128">
            <v>25</v>
          </cell>
          <cell r="L1128">
            <v>12</v>
          </cell>
          <cell r="M1128">
            <v>7.5</v>
          </cell>
          <cell r="N1128" t="str">
            <v>1-Victron</v>
          </cell>
        </row>
        <row r="1129">
          <cell r="A1129" t="str">
            <v>B1130</v>
          </cell>
          <cell r="B1129" t="str">
            <v>Battery Accessories</v>
          </cell>
          <cell r="C1129" t="str">
            <v>B&amp;R</v>
          </cell>
          <cell r="D1129" t="str">
            <v xml:space="preserve">Rack Frame 19" Ausrack Onyx 9RU Wall Mounted </v>
          </cell>
          <cell r="E1129" t="str">
            <v>ARWX9U450</v>
          </cell>
          <cell r="F1129" t="str">
            <v>MPN (Part #)</v>
          </cell>
          <cell r="G1129">
            <v>440.40000000000003</v>
          </cell>
          <cell r="H1129">
            <v>400.35</v>
          </cell>
          <cell r="I1129">
            <v>0</v>
          </cell>
          <cell r="J1129">
            <v>27</v>
          </cell>
          <cell r="K1129">
            <v>60</v>
          </cell>
          <cell r="L1129">
            <v>55</v>
          </cell>
          <cell r="M1129">
            <v>50</v>
          </cell>
          <cell r="N1129" t="str">
            <v>3-Tradezone</v>
          </cell>
        </row>
        <row r="1130">
          <cell r="A1130" t="str">
            <v>B1131</v>
          </cell>
          <cell r="B1130" t="str">
            <v>Solar Panels</v>
          </cell>
          <cell r="C1130" t="str">
            <v>Trina</v>
          </cell>
          <cell r="D1130" t="str">
            <v xml:space="preserve">Solar Panel 330W Mono </v>
          </cell>
          <cell r="E1130" t="str">
            <v>TSM330</v>
          </cell>
          <cell r="F1130" t="str">
            <v>MPN (Part #)</v>
          </cell>
          <cell r="G1130">
            <v>187.65</v>
          </cell>
          <cell r="H1130">
            <v>170.60000000000002</v>
          </cell>
          <cell r="I1130">
            <v>0</v>
          </cell>
          <cell r="J1130">
            <v>20</v>
          </cell>
          <cell r="K1130">
            <v>170</v>
          </cell>
          <cell r="L1130">
            <v>100</v>
          </cell>
          <cell r="M1130">
            <v>4</v>
          </cell>
          <cell r="N1130" t="str">
            <v>3-Tradezone</v>
          </cell>
        </row>
        <row r="1131">
          <cell r="A1131" t="str">
            <v>B1132</v>
          </cell>
          <cell r="B1131" t="str">
            <v>Batteries</v>
          </cell>
          <cell r="C1131" t="str">
            <v>Fiamm</v>
          </cell>
          <cell r="D1131" t="str">
            <v>Sealed Gel OPzV 2V 660Ah (C120)</v>
          </cell>
          <cell r="E1131" t="str">
            <v>SMG660</v>
          </cell>
          <cell r="F1131" t="str">
            <v>MPN (Part #)</v>
          </cell>
          <cell r="G1131">
            <v>533.80000000000007</v>
          </cell>
          <cell r="H1131">
            <v>485.3</v>
          </cell>
          <cell r="I1131">
            <v>0</v>
          </cell>
          <cell r="N1131" t="str">
            <v>7-Baywa</v>
          </cell>
        </row>
        <row r="1132">
          <cell r="A1132" t="str">
            <v>B1133</v>
          </cell>
          <cell r="B1132" t="str">
            <v>Solar Controllers</v>
          </cell>
          <cell r="C1132" t="str">
            <v>Victron</v>
          </cell>
          <cell r="D1132" t="str">
            <v>SmartSolar MPPT 150/45</v>
          </cell>
          <cell r="E1132" t="str">
            <v>SCC115045222</v>
          </cell>
          <cell r="F1132" t="str">
            <v>150/45 MPPT</v>
          </cell>
          <cell r="G1132">
            <v>341.55</v>
          </cell>
          <cell r="H1132">
            <v>310.5</v>
          </cell>
          <cell r="I1132">
            <v>0</v>
          </cell>
          <cell r="J1132">
            <v>3</v>
          </cell>
          <cell r="K1132">
            <v>25</v>
          </cell>
          <cell r="L1132">
            <v>20</v>
          </cell>
          <cell r="M1132">
            <v>9.5</v>
          </cell>
          <cell r="N1132" t="str">
            <v>1-Victron</v>
          </cell>
        </row>
        <row r="1133">
          <cell r="A1133" t="str">
            <v>B1134</v>
          </cell>
          <cell r="B1133" t="str">
            <v>Electrical</v>
          </cell>
          <cell r="C1133" t="str">
            <v>Voltex</v>
          </cell>
          <cell r="D1133" t="str">
            <v>MCB Enclosure 4 Pole IP66</v>
          </cell>
          <cell r="E1133" t="str">
            <v>C66CB4N</v>
          </cell>
          <cell r="F1133" t="str">
            <v>MPN (Part #)</v>
          </cell>
          <cell r="G1133">
            <v>48.25</v>
          </cell>
          <cell r="H1133">
            <v>43.900000000000006</v>
          </cell>
          <cell r="I1133">
            <v>0</v>
          </cell>
          <cell r="N1133" t="str">
            <v>6-Various</v>
          </cell>
        </row>
        <row r="1134">
          <cell r="A1134" t="str">
            <v>B1135</v>
          </cell>
          <cell r="B1134" t="str">
            <v>Electrical</v>
          </cell>
          <cell r="C1134" t="str">
            <v>NHP</v>
          </cell>
          <cell r="D1134" t="str">
            <v>Finder Relay Base 16A</v>
          </cell>
          <cell r="E1134">
            <v>9701</v>
          </cell>
          <cell r="F1134" t="str">
            <v>MPN (Part #)</v>
          </cell>
          <cell r="G1134">
            <v>12.4</v>
          </cell>
          <cell r="H1134">
            <v>11.3</v>
          </cell>
          <cell r="I1134">
            <v>0</v>
          </cell>
          <cell r="J1134">
            <v>0.01</v>
          </cell>
          <cell r="K1134">
            <v>1.58</v>
          </cell>
          <cell r="L1134">
            <v>8.2899999999999991</v>
          </cell>
          <cell r="M1134">
            <v>6.49</v>
          </cell>
          <cell r="N1134" t="str">
            <v>3-Tradezone</v>
          </cell>
        </row>
        <row r="1135">
          <cell r="A1135" t="str">
            <v>B1136</v>
          </cell>
          <cell r="B1135" t="str">
            <v>Inverters</v>
          </cell>
          <cell r="C1135" t="str">
            <v>Goodwe</v>
          </cell>
          <cell r="D1135" t="str">
            <v>DNS Series 4.2KW</v>
          </cell>
          <cell r="E1135" t="str">
            <v>GW4200D-NS</v>
          </cell>
          <cell r="F1135" t="str">
            <v>MPN (Part #)</v>
          </cell>
          <cell r="G1135">
            <v>1076.45</v>
          </cell>
          <cell r="H1135">
            <v>978.55000000000007</v>
          </cell>
          <cell r="I1135">
            <v>0</v>
          </cell>
          <cell r="J1135">
            <v>13</v>
          </cell>
          <cell r="K1135">
            <v>35.4</v>
          </cell>
          <cell r="L1135">
            <v>43.3</v>
          </cell>
          <cell r="M1135">
            <v>14.7</v>
          </cell>
          <cell r="N1135" t="str">
            <v>2-Krannich</v>
          </cell>
        </row>
        <row r="1136">
          <cell r="A1136" t="str">
            <v>B1137</v>
          </cell>
          <cell r="B1136" t="str">
            <v>Inverters</v>
          </cell>
          <cell r="C1136" t="str">
            <v>Goodwe</v>
          </cell>
          <cell r="D1136" t="str">
            <v>DNS Series 5.0KW</v>
          </cell>
          <cell r="E1136" t="str">
            <v>GW5000D-NS</v>
          </cell>
          <cell r="F1136" t="str">
            <v>MPN (Part #)</v>
          </cell>
          <cell r="G1136">
            <v>1177</v>
          </cell>
          <cell r="H1136">
            <v>1070</v>
          </cell>
          <cell r="I1136">
            <v>0</v>
          </cell>
          <cell r="J1136">
            <v>13</v>
          </cell>
          <cell r="K1136">
            <v>35.4</v>
          </cell>
          <cell r="L1136">
            <v>43.3</v>
          </cell>
          <cell r="M1136">
            <v>14.7</v>
          </cell>
          <cell r="N1136" t="str">
            <v>2-Krannich</v>
          </cell>
        </row>
        <row r="1137">
          <cell r="A1137" t="str">
            <v>B1138</v>
          </cell>
          <cell r="B1137" t="str">
            <v>Inverters</v>
          </cell>
          <cell r="C1137" t="str">
            <v>Goodwe</v>
          </cell>
          <cell r="D1137" t="str">
            <v>EM Series 5.0KW Hybrid</v>
          </cell>
          <cell r="E1137" t="str">
            <v xml:space="preserve">GW5048-EM </v>
          </cell>
          <cell r="F1137" t="str">
            <v>MPN (Part #)</v>
          </cell>
          <cell r="G1137">
            <v>2669.8500000000004</v>
          </cell>
          <cell r="H1137">
            <v>2427.15</v>
          </cell>
          <cell r="I1137">
            <v>0</v>
          </cell>
          <cell r="J1137">
            <v>17</v>
          </cell>
          <cell r="K1137">
            <v>34.700000000000003</v>
          </cell>
          <cell r="L1137">
            <v>43.2</v>
          </cell>
          <cell r="M1137">
            <v>17.5</v>
          </cell>
          <cell r="N1137" t="str">
            <v>2-Krannich</v>
          </cell>
        </row>
        <row r="1138">
          <cell r="A1138" t="str">
            <v>B1139</v>
          </cell>
          <cell r="B1138" t="str">
            <v>Inverters</v>
          </cell>
          <cell r="C1138" t="str">
            <v>Goodwe</v>
          </cell>
          <cell r="D1138" t="str">
            <v>ES Series 5.0KW Hybrid</v>
          </cell>
          <cell r="E1138" t="str">
            <v xml:space="preserve">GW5048D-ES </v>
          </cell>
          <cell r="F1138" t="str">
            <v>MPN (Part #)</v>
          </cell>
          <cell r="G1138">
            <v>3298.4500000000003</v>
          </cell>
          <cell r="H1138">
            <v>2998.55</v>
          </cell>
          <cell r="I1138">
            <v>0</v>
          </cell>
          <cell r="J1138">
            <v>30</v>
          </cell>
          <cell r="K1138">
            <v>51.6</v>
          </cell>
          <cell r="L1138">
            <v>44</v>
          </cell>
          <cell r="M1138">
            <v>18.399999999999999</v>
          </cell>
          <cell r="N1138" t="str">
            <v>2-Krannich</v>
          </cell>
        </row>
        <row r="1139">
          <cell r="A1139" t="str">
            <v>B1140</v>
          </cell>
          <cell r="B1139" t="str">
            <v>Inverters</v>
          </cell>
          <cell r="C1139" t="str">
            <v>Goodwe</v>
          </cell>
          <cell r="D1139" t="str">
            <v>ET Series 5.0KW 3ph</v>
          </cell>
          <cell r="E1139" t="str">
            <v>GW5KL-ET</v>
          </cell>
          <cell r="F1139" t="str">
            <v>MPN (Part #)</v>
          </cell>
          <cell r="G1139">
            <v>3927</v>
          </cell>
          <cell r="H1139">
            <v>3570</v>
          </cell>
          <cell r="I1139">
            <v>0</v>
          </cell>
          <cell r="J1139">
            <v>24</v>
          </cell>
          <cell r="K1139">
            <v>41.5</v>
          </cell>
          <cell r="L1139">
            <v>51.6</v>
          </cell>
          <cell r="M1139">
            <v>18</v>
          </cell>
          <cell r="N1139" t="str">
            <v>2-Krannich</v>
          </cell>
        </row>
        <row r="1140">
          <cell r="A1140" t="str">
            <v>B1141</v>
          </cell>
          <cell r="B1140" t="str">
            <v>Inverters</v>
          </cell>
          <cell r="C1140" t="str">
            <v>Goodwe</v>
          </cell>
          <cell r="D1140" t="str">
            <v>ET Series 10KW 3ph</v>
          </cell>
          <cell r="E1140" t="str">
            <v xml:space="preserve">GW10KL-ET  </v>
          </cell>
          <cell r="F1140" t="str">
            <v>MPN (Part #)</v>
          </cell>
          <cell r="G1140">
            <v>5264.3</v>
          </cell>
          <cell r="H1140">
            <v>4785.7</v>
          </cell>
          <cell r="I1140">
            <v>0</v>
          </cell>
          <cell r="J1140">
            <v>24</v>
          </cell>
          <cell r="K1140">
            <v>41.5</v>
          </cell>
          <cell r="L1140">
            <v>51.6</v>
          </cell>
          <cell r="M1140">
            <v>18</v>
          </cell>
          <cell r="N1140" t="str">
            <v>2-Krannich</v>
          </cell>
        </row>
        <row r="1141">
          <cell r="A1141" t="str">
            <v>B1142</v>
          </cell>
          <cell r="B1141" t="str">
            <v>Inverters</v>
          </cell>
          <cell r="C1141" t="str">
            <v>Goodwe</v>
          </cell>
          <cell r="D1141" t="str">
            <v>MT Series 50KW 3ph</v>
          </cell>
          <cell r="E1141" t="str">
            <v>GW50KN-MT</v>
          </cell>
          <cell r="F1141" t="str">
            <v>MPN (Part #)</v>
          </cell>
          <cell r="G1141">
            <v>6441.3</v>
          </cell>
          <cell r="H1141">
            <v>5855.7000000000007</v>
          </cell>
          <cell r="I1141">
            <v>0</v>
          </cell>
          <cell r="J1141">
            <v>59</v>
          </cell>
          <cell r="K1141">
            <v>58.6</v>
          </cell>
          <cell r="L1141">
            <v>78.8</v>
          </cell>
          <cell r="M1141">
            <v>26.4</v>
          </cell>
          <cell r="N1141" t="str">
            <v>2-Krannich</v>
          </cell>
        </row>
        <row r="1142">
          <cell r="A1142" t="str">
            <v>B1143</v>
          </cell>
          <cell r="B1142" t="str">
            <v>Inverters</v>
          </cell>
          <cell r="C1142" t="str">
            <v>Goodwe</v>
          </cell>
          <cell r="D1142" t="str">
            <v>MT Series 60KW 3ph</v>
          </cell>
          <cell r="E1142" t="str">
            <v>GW60KN-MT</v>
          </cell>
          <cell r="F1142" t="str">
            <v>MPN (Part #)</v>
          </cell>
          <cell r="G1142">
            <v>6992.85</v>
          </cell>
          <cell r="H1142">
            <v>6357.1500000000005</v>
          </cell>
          <cell r="I1142">
            <v>0</v>
          </cell>
          <cell r="J1142">
            <v>64</v>
          </cell>
          <cell r="K1142">
            <v>58.6</v>
          </cell>
          <cell r="L1142">
            <v>78.8</v>
          </cell>
          <cell r="M1142">
            <v>26.4</v>
          </cell>
          <cell r="N1142" t="str">
            <v>2-Krannich</v>
          </cell>
        </row>
        <row r="1143">
          <cell r="A1143" t="str">
            <v>B1144</v>
          </cell>
          <cell r="B1143" t="str">
            <v>Electrical</v>
          </cell>
          <cell r="C1143" t="str">
            <v>Netec</v>
          </cell>
          <cell r="D1143" t="str">
            <v>Earth link 100A 5 Pole</v>
          </cell>
          <cell r="E1143" t="str">
            <v>AN100S-5-BAR</v>
          </cell>
          <cell r="F1143" t="str">
            <v>MPN (Part #)</v>
          </cell>
          <cell r="G1143">
            <v>17.5</v>
          </cell>
          <cell r="H1143">
            <v>15.9</v>
          </cell>
          <cell r="I1143">
            <v>0</v>
          </cell>
          <cell r="N1143" t="str">
            <v>6-Various</v>
          </cell>
        </row>
        <row r="1144">
          <cell r="A1144" t="str">
            <v>B1145</v>
          </cell>
          <cell r="B1144" t="str">
            <v>Electrical</v>
          </cell>
          <cell r="C1144" t="str">
            <v>NHP</v>
          </cell>
          <cell r="D1144" t="str">
            <v>MCB 16A 2 Pole 6KA</v>
          </cell>
          <cell r="E1144" t="str">
            <v>MOD6216</v>
          </cell>
          <cell r="F1144" t="str">
            <v>MPN (Part #)</v>
          </cell>
          <cell r="G1144">
            <v>25.150000000000002</v>
          </cell>
          <cell r="H1144">
            <v>22.900000000000002</v>
          </cell>
          <cell r="I1144">
            <v>0</v>
          </cell>
          <cell r="J1144">
            <v>0.24</v>
          </cell>
          <cell r="K1144">
            <v>8.6</v>
          </cell>
          <cell r="L1144">
            <v>3.6</v>
          </cell>
          <cell r="M1144">
            <v>7.6</v>
          </cell>
          <cell r="N1144" t="str">
            <v>3-Tradezone</v>
          </cell>
        </row>
        <row r="1145">
          <cell r="A1145" t="str">
            <v>B1146</v>
          </cell>
          <cell r="B1145" t="str">
            <v>Communications</v>
          </cell>
          <cell r="C1145" t="str">
            <v>Teltonika</v>
          </cell>
          <cell r="D1145" t="str">
            <v xml:space="preserve">Teltonika 4G modem 1 Port TRB140 </v>
          </cell>
          <cell r="E1145" t="str">
            <v>TRB140</v>
          </cell>
          <cell r="F1145" t="str">
            <v>MPN (Part #)</v>
          </cell>
          <cell r="G1145">
            <v>0</v>
          </cell>
          <cell r="H1145">
            <v>0</v>
          </cell>
          <cell r="I1145">
            <v>0</v>
          </cell>
          <cell r="J1145">
            <v>0.5</v>
          </cell>
          <cell r="K1145">
            <v>14</v>
          </cell>
          <cell r="L1145">
            <v>14</v>
          </cell>
          <cell r="M1145">
            <v>40</v>
          </cell>
          <cell r="N1145" t="str">
            <v>3-Tradezone</v>
          </cell>
        </row>
        <row r="1146">
          <cell r="A1146" t="str">
            <v>B1147</v>
          </cell>
          <cell r="B1146" t="str">
            <v>Communications</v>
          </cell>
          <cell r="C1146" t="str">
            <v>Teltonika</v>
          </cell>
          <cell r="D1146" t="str">
            <v xml:space="preserve">Teltonika 4G modem/router 2 Port RUT241 </v>
          </cell>
          <cell r="E1146" t="str">
            <v>RUT241</v>
          </cell>
          <cell r="F1146" t="str">
            <v>MPN (Part #)</v>
          </cell>
          <cell r="G1146">
            <v>0</v>
          </cell>
          <cell r="H1146">
            <v>0</v>
          </cell>
          <cell r="I1146">
            <v>0</v>
          </cell>
          <cell r="J1146">
            <v>0.5</v>
          </cell>
          <cell r="K1146">
            <v>17</v>
          </cell>
          <cell r="L1146">
            <v>14</v>
          </cell>
          <cell r="M1146">
            <v>40</v>
          </cell>
          <cell r="N1146" t="str">
            <v>3-Tradezone</v>
          </cell>
        </row>
        <row r="1147">
          <cell r="A1147" t="str">
            <v>B1148</v>
          </cell>
          <cell r="B1147" t="str">
            <v>Communications</v>
          </cell>
          <cell r="C1147" t="str">
            <v>Teltonika</v>
          </cell>
          <cell r="D1147" t="str">
            <v>Network switch 5 Port TSW110</v>
          </cell>
          <cell r="E1147" t="str">
            <v>TSW110</v>
          </cell>
          <cell r="F1147" t="str">
            <v>MPN (Part #)</v>
          </cell>
          <cell r="G1147">
            <v>0</v>
          </cell>
          <cell r="H1147">
            <v>0</v>
          </cell>
          <cell r="I1147">
            <v>0</v>
          </cell>
          <cell r="J1147">
            <v>0.5</v>
          </cell>
          <cell r="K1147">
            <v>14</v>
          </cell>
          <cell r="L1147">
            <v>14</v>
          </cell>
          <cell r="M1147">
            <v>40</v>
          </cell>
          <cell r="N1147" t="str">
            <v>3-Tradezone</v>
          </cell>
        </row>
        <row r="1148">
          <cell r="A1148" t="str">
            <v>B1149</v>
          </cell>
          <cell r="B1148" t="str">
            <v>Communications</v>
          </cell>
          <cell r="C1148" t="str">
            <v>Teltonika</v>
          </cell>
          <cell r="D1148" t="str">
            <v>Teltonika 4G modem/router 4port</v>
          </cell>
          <cell r="E1148" t="str">
            <v>RUT955</v>
          </cell>
          <cell r="F1148" t="str">
            <v>MPN (Part #)</v>
          </cell>
          <cell r="G1148">
            <v>0</v>
          </cell>
          <cell r="H1148">
            <v>0</v>
          </cell>
          <cell r="I1148">
            <v>0</v>
          </cell>
          <cell r="J1148">
            <v>0.5</v>
          </cell>
          <cell r="K1148">
            <v>14</v>
          </cell>
          <cell r="L1148">
            <v>14</v>
          </cell>
          <cell r="M1148">
            <v>40</v>
          </cell>
          <cell r="N1148" t="str">
            <v>3-Tradezone</v>
          </cell>
        </row>
        <row r="1149">
          <cell r="A1149" t="str">
            <v>B1150</v>
          </cell>
          <cell r="B1149" t="str">
            <v>Electrical</v>
          </cell>
          <cell r="C1149" t="str">
            <v>TE Connectivity</v>
          </cell>
          <cell r="D1149" t="str">
            <v>Push Button switch LED illuminated red blue</v>
          </cell>
          <cell r="E1149" t="str">
            <v>AV1911RB12Q04</v>
          </cell>
          <cell r="F1149" t="str">
            <v>MPN (Part #)</v>
          </cell>
          <cell r="G1149">
            <v>0</v>
          </cell>
          <cell r="H1149">
            <v>0</v>
          </cell>
          <cell r="I1149">
            <v>0</v>
          </cell>
          <cell r="N1149" t="str">
            <v>3-Tradezone</v>
          </cell>
        </row>
        <row r="1150">
          <cell r="A1150" t="str">
            <v>B1151</v>
          </cell>
          <cell r="B1150" t="str">
            <v>Electrical</v>
          </cell>
          <cell r="C1150" t="str">
            <v>Wattmaster</v>
          </cell>
          <cell r="D1150" t="str">
            <v xml:space="preserve">Cable Lug 16mm x 8mm hole </v>
          </cell>
          <cell r="E1150" t="str">
            <v>ALCLBM16M8/25</v>
          </cell>
          <cell r="F1150" t="str">
            <v>MPN (Part #)</v>
          </cell>
          <cell r="G1150">
            <v>0.85000000000000009</v>
          </cell>
          <cell r="H1150">
            <v>0.8</v>
          </cell>
          <cell r="I1150">
            <v>0</v>
          </cell>
          <cell r="J1150">
            <v>0.1</v>
          </cell>
          <cell r="K1150">
            <v>4</v>
          </cell>
          <cell r="L1150">
            <v>1</v>
          </cell>
          <cell r="M1150">
            <v>1</v>
          </cell>
          <cell r="N1150" t="str">
            <v>3-Tradezone</v>
          </cell>
        </row>
        <row r="1151">
          <cell r="A1151" t="str">
            <v>B1152</v>
          </cell>
          <cell r="B1151" t="str">
            <v>Electrical</v>
          </cell>
          <cell r="C1151" t="str">
            <v>NHP</v>
          </cell>
          <cell r="D1151" t="str">
            <v>Earth Terminal 10A</v>
          </cell>
          <cell r="E1151" t="str">
            <v>V7WG10S</v>
          </cell>
          <cell r="F1151" t="str">
            <v>MPN (Part #)</v>
          </cell>
          <cell r="G1151">
            <v>9.1</v>
          </cell>
          <cell r="H1151">
            <v>8.3000000000000007</v>
          </cell>
          <cell r="I1151">
            <v>0</v>
          </cell>
          <cell r="J1151">
            <v>0.02</v>
          </cell>
          <cell r="K1151">
            <v>4.0999999999999996</v>
          </cell>
          <cell r="L1151">
            <v>0.8</v>
          </cell>
          <cell r="M1151">
            <v>4.8</v>
          </cell>
          <cell r="N1151" t="str">
            <v>3-Tradezone</v>
          </cell>
        </row>
        <row r="1152">
          <cell r="A1152" t="str">
            <v>B1153</v>
          </cell>
          <cell r="B1152" t="str">
            <v>Electrical</v>
          </cell>
          <cell r="C1152" t="str">
            <v>NHP</v>
          </cell>
          <cell r="D1152" t="str">
            <v>Earth Terminal 6A</v>
          </cell>
          <cell r="E1152" t="str">
            <v>V7WG6</v>
          </cell>
          <cell r="F1152" t="str">
            <v>MPN (Part #)</v>
          </cell>
          <cell r="G1152">
            <v>8.7000000000000011</v>
          </cell>
          <cell r="H1152">
            <v>7.9</v>
          </cell>
          <cell r="I1152">
            <v>0</v>
          </cell>
          <cell r="J1152">
            <v>0.02</v>
          </cell>
          <cell r="K1152">
            <v>4.0999999999999996</v>
          </cell>
          <cell r="L1152">
            <v>0.8</v>
          </cell>
          <cell r="M1152">
            <v>4.8</v>
          </cell>
          <cell r="N1152" t="str">
            <v>3-Tradezone</v>
          </cell>
        </row>
        <row r="1153">
          <cell r="A1153" t="str">
            <v>B1154</v>
          </cell>
          <cell r="B1153" t="str">
            <v>Inverters</v>
          </cell>
          <cell r="C1153" t="str">
            <v>Growatt</v>
          </cell>
          <cell r="D1153" t="str">
            <v>Growatt 1.5kw Single Phase Solar Inverter With Single MPPT IP65 With WIFI Capability</v>
          </cell>
          <cell r="E1153" t="str">
            <v>1500S</v>
          </cell>
          <cell r="F1153" t="str">
            <v>MPN (Part #)</v>
          </cell>
          <cell r="G1153">
            <v>497.65000000000003</v>
          </cell>
          <cell r="H1153">
            <v>452.45000000000005</v>
          </cell>
          <cell r="I1153">
            <v>0</v>
          </cell>
          <cell r="N1153" t="str">
            <v>3-Tradezone</v>
          </cell>
        </row>
        <row r="1154">
          <cell r="A1154" t="str">
            <v>B1155</v>
          </cell>
          <cell r="B1154" t="str">
            <v>Inverters</v>
          </cell>
          <cell r="C1154" t="str">
            <v>Growatt</v>
          </cell>
          <cell r="D1154" t="str">
            <v>GroWatt 2kw Single Phase Solar Inverter With Single MPPT IP65 With WIFI Capability</v>
          </cell>
          <cell r="E1154" t="str">
            <v>2000S</v>
          </cell>
          <cell r="F1154" t="str">
            <v>MPN (Part #)</v>
          </cell>
          <cell r="G1154">
            <v>532.65</v>
          </cell>
          <cell r="H1154">
            <v>484.20000000000005</v>
          </cell>
          <cell r="I1154">
            <v>0</v>
          </cell>
          <cell r="N1154" t="str">
            <v>3-Tradezone</v>
          </cell>
        </row>
        <row r="1155">
          <cell r="A1155" t="str">
            <v>B1156</v>
          </cell>
          <cell r="B1155" t="str">
            <v>Inverters</v>
          </cell>
          <cell r="C1155" t="str">
            <v>Growatt</v>
          </cell>
          <cell r="D1155" t="str">
            <v>GroWatt 3kw Single Phase Solar Inverter With Single MPPT IP65 With WIFI Capability</v>
          </cell>
          <cell r="E1155" t="str">
            <v>3000S</v>
          </cell>
          <cell r="F1155" t="str">
            <v>MPN (Part #)</v>
          </cell>
          <cell r="G1155">
            <v>659.05000000000007</v>
          </cell>
          <cell r="H1155">
            <v>599.15</v>
          </cell>
          <cell r="I1155">
            <v>0</v>
          </cell>
          <cell r="N1155" t="str">
            <v>3-Tradezone</v>
          </cell>
        </row>
        <row r="1156">
          <cell r="A1156" t="str">
            <v>B1157</v>
          </cell>
          <cell r="B1156" t="str">
            <v>Inverters</v>
          </cell>
          <cell r="C1156" t="str">
            <v>Growatt</v>
          </cell>
          <cell r="D1156" t="str">
            <v>Growatt 2.5kw Single Phase Solar Inverter With Dual MPPT IP65 With WIFI Capability</v>
          </cell>
          <cell r="E1156" t="str">
            <v>2500TLX</v>
          </cell>
          <cell r="F1156" t="str">
            <v>MPN (Part #)</v>
          </cell>
          <cell r="G1156">
            <v>875.05000000000007</v>
          </cell>
          <cell r="H1156">
            <v>795.5</v>
          </cell>
          <cell r="I1156">
            <v>0</v>
          </cell>
          <cell r="N1156" t="str">
            <v>3-Tradezone</v>
          </cell>
        </row>
        <row r="1157">
          <cell r="A1157" t="str">
            <v>B1158</v>
          </cell>
          <cell r="B1157" t="str">
            <v>Inverters</v>
          </cell>
          <cell r="C1157" t="str">
            <v>Growatt</v>
          </cell>
          <cell r="D1157" t="str">
            <v>Growatt 3kw Single Phase Solar Inverter With Dual MPPT IP65 With WIFI Capability</v>
          </cell>
          <cell r="E1157" t="str">
            <v>3000TLX</v>
          </cell>
          <cell r="F1157" t="str">
            <v>MPN (Part #)</v>
          </cell>
          <cell r="G1157">
            <v>901.55000000000007</v>
          </cell>
          <cell r="H1157">
            <v>819.6</v>
          </cell>
          <cell r="I1157">
            <v>0</v>
          </cell>
          <cell r="N1157" t="str">
            <v>3-Tradezone</v>
          </cell>
        </row>
        <row r="1158">
          <cell r="A1158" t="str">
            <v>B1159</v>
          </cell>
          <cell r="B1158" t="str">
            <v>Inverters</v>
          </cell>
          <cell r="C1158" t="str">
            <v>Growatt</v>
          </cell>
          <cell r="D1158" t="str">
            <v>Growatt 4.2kw Single Phase Solar Inverter With Dual MPPT IP65 With WIFI Capability</v>
          </cell>
          <cell r="E1158" t="str">
            <v>4200TLX.</v>
          </cell>
          <cell r="F1158" t="str">
            <v>MPN (Part #)</v>
          </cell>
          <cell r="G1158">
            <v>914.75</v>
          </cell>
          <cell r="H1158">
            <v>831.6</v>
          </cell>
          <cell r="I1158">
            <v>0</v>
          </cell>
          <cell r="N1158" t="str">
            <v>3-Tradezone</v>
          </cell>
        </row>
        <row r="1159">
          <cell r="A1159" t="str">
            <v>B1160</v>
          </cell>
          <cell r="B1159" t="str">
            <v>Inverters</v>
          </cell>
          <cell r="C1159" t="str">
            <v>Growatt</v>
          </cell>
          <cell r="D1159" t="str">
            <v>Growatt 5kw Single Phase Solar Inverter With Dual MPPT IP65 With WIFI Capability</v>
          </cell>
          <cell r="E1159" t="str">
            <v>5000TLX</v>
          </cell>
          <cell r="F1159" t="str">
            <v>MPN (Part #)</v>
          </cell>
          <cell r="G1159">
            <v>935</v>
          </cell>
          <cell r="H1159">
            <v>850</v>
          </cell>
          <cell r="I1159">
            <v>0</v>
          </cell>
          <cell r="N1159" t="str">
            <v>3-Tradezone</v>
          </cell>
        </row>
        <row r="1160">
          <cell r="A1160" t="str">
            <v>B1161</v>
          </cell>
          <cell r="B1160" t="str">
            <v>Inverters</v>
          </cell>
          <cell r="C1160" t="str">
            <v>Growatt</v>
          </cell>
          <cell r="D1160" t="str">
            <v xml:space="preserve">Growatt 6kw Single Phase Solar Inverter With Dual MPPT IP65 With WIFI Capability  </v>
          </cell>
          <cell r="E1160" t="str">
            <v>6000TLX</v>
          </cell>
          <cell r="F1160" t="str">
            <v>MPN (Part #)</v>
          </cell>
          <cell r="G1160">
            <v>1014.8000000000001</v>
          </cell>
          <cell r="H1160">
            <v>922.55000000000007</v>
          </cell>
          <cell r="I1160">
            <v>0</v>
          </cell>
          <cell r="N1160" t="str">
            <v>3-Tradezone</v>
          </cell>
        </row>
        <row r="1161">
          <cell r="A1161" t="str">
            <v>B1162</v>
          </cell>
          <cell r="B1161" t="str">
            <v>Inverters</v>
          </cell>
          <cell r="C1161" t="str">
            <v>Growatt</v>
          </cell>
          <cell r="D1161" t="str">
            <v xml:space="preserve">Growatt 7kw Single Phase Solar Inverter With Dual MPPT IP65 With WIFI Capability </v>
          </cell>
          <cell r="E1161" t="str">
            <v>7000MTLS</v>
          </cell>
          <cell r="F1161" t="str">
            <v>MPN (Part #)</v>
          </cell>
          <cell r="G1161">
            <v>1428.5</v>
          </cell>
          <cell r="H1161">
            <v>1298.6500000000001</v>
          </cell>
          <cell r="I1161">
            <v>0</v>
          </cell>
          <cell r="N1161" t="str">
            <v>3-Tradezone</v>
          </cell>
        </row>
        <row r="1162">
          <cell r="A1162" t="str">
            <v>B1163</v>
          </cell>
          <cell r="B1162" t="str">
            <v>Inverters</v>
          </cell>
          <cell r="C1162" t="str">
            <v>Growatt</v>
          </cell>
          <cell r="D1162" t="str">
            <v xml:space="preserve">Growatt 8kw Single Phase Solar Inverter With Dual MPPT IP65 With WIFI Capability </v>
          </cell>
          <cell r="E1162" t="str">
            <v>8000MTLS</v>
          </cell>
          <cell r="F1162" t="str">
            <v>MPN (Part #)</v>
          </cell>
          <cell r="G1162">
            <v>1485.1000000000001</v>
          </cell>
          <cell r="H1162">
            <v>1350.1000000000001</v>
          </cell>
          <cell r="I1162">
            <v>0</v>
          </cell>
          <cell r="N1162" t="str">
            <v>3-Tradezone</v>
          </cell>
        </row>
        <row r="1163">
          <cell r="A1163" t="str">
            <v>B1164</v>
          </cell>
          <cell r="B1163" t="str">
            <v>Inverters</v>
          </cell>
          <cell r="C1163" t="str">
            <v>Growatt</v>
          </cell>
          <cell r="D1163" t="str">
            <v xml:space="preserve">Growatt 5kw Three Phase Solar Inverter With Dual MPPT IP65 With WIFI Capability </v>
          </cell>
          <cell r="E1163" t="str">
            <v>5000TL3S</v>
          </cell>
          <cell r="F1163" t="str">
            <v>MPN (Part #)</v>
          </cell>
          <cell r="G1163">
            <v>1523.9</v>
          </cell>
          <cell r="H1163">
            <v>1385.4</v>
          </cell>
          <cell r="I1163">
            <v>0</v>
          </cell>
          <cell r="N1163" t="str">
            <v>3-Tradezone</v>
          </cell>
        </row>
        <row r="1164">
          <cell r="A1164" t="str">
            <v>B1165</v>
          </cell>
          <cell r="B1164" t="str">
            <v>Inverters</v>
          </cell>
          <cell r="C1164" t="str">
            <v>Growatt</v>
          </cell>
          <cell r="D1164" t="str">
            <v>Growatt 8kw Three Phase Solar Inverter With Dual MPPT IP65 With WIFI Capability</v>
          </cell>
          <cell r="E1164" t="str">
            <v>8000TL3S</v>
          </cell>
          <cell r="F1164" t="str">
            <v>MPN (Part #)</v>
          </cell>
          <cell r="G1164">
            <v>2135.15</v>
          </cell>
          <cell r="H1164">
            <v>1941.0500000000002</v>
          </cell>
          <cell r="I1164">
            <v>0</v>
          </cell>
          <cell r="N1164" t="str">
            <v>3-Tradezone</v>
          </cell>
        </row>
        <row r="1165">
          <cell r="A1165" t="str">
            <v>B1166</v>
          </cell>
          <cell r="B1165" t="str">
            <v>Inverters</v>
          </cell>
          <cell r="C1165" t="str">
            <v>Growatt</v>
          </cell>
          <cell r="D1165" t="str">
            <v>Growatt 10kw Three Phase Solar Inverter With Dual MPPT IP65 With WfFi Capability</v>
          </cell>
          <cell r="E1165" t="str">
            <v>10000TL3SAU.</v>
          </cell>
          <cell r="F1165" t="str">
            <v>MPN (Part #)</v>
          </cell>
          <cell r="G1165">
            <v>2386.0500000000002</v>
          </cell>
          <cell r="H1165">
            <v>2169.15</v>
          </cell>
          <cell r="I1165">
            <v>0</v>
          </cell>
          <cell r="N1165" t="str">
            <v>3-Tradezone</v>
          </cell>
        </row>
        <row r="1166">
          <cell r="A1166" t="str">
            <v>B1167</v>
          </cell>
          <cell r="B1166" t="str">
            <v>Inverters</v>
          </cell>
          <cell r="C1166" t="str">
            <v>Growatt</v>
          </cell>
          <cell r="D1166" t="str">
            <v>Growatt 15kw Three Phase Solar Inverter With Dual MPPT IP65 With WIFI Capability</v>
          </cell>
          <cell r="E1166" t="str">
            <v>15000TL3S</v>
          </cell>
          <cell r="F1166" t="str">
            <v>MPN (Part #)</v>
          </cell>
          <cell r="G1166">
            <v>2817.25</v>
          </cell>
          <cell r="H1166">
            <v>2561.1000000000004</v>
          </cell>
          <cell r="I1166">
            <v>0</v>
          </cell>
          <cell r="N1166" t="str">
            <v>3-Tradezone</v>
          </cell>
        </row>
        <row r="1167">
          <cell r="A1167" t="str">
            <v>B1168</v>
          </cell>
          <cell r="B1167" t="str">
            <v>Inverters</v>
          </cell>
          <cell r="C1167" t="str">
            <v>Growatt</v>
          </cell>
          <cell r="D1167" t="str">
            <v>Growatt 30kw Three Phase Solar Inverter With Dual MPPT IP65 With WIFI Capability</v>
          </cell>
          <cell r="E1167" t="str">
            <v>30000TL3S</v>
          </cell>
          <cell r="F1167" t="str">
            <v>MPN (Part #)</v>
          </cell>
          <cell r="G1167">
            <v>4779.95</v>
          </cell>
          <cell r="H1167">
            <v>4345.4000000000005</v>
          </cell>
          <cell r="I1167">
            <v>0</v>
          </cell>
          <cell r="N1167" t="str">
            <v>3-Tradezone</v>
          </cell>
        </row>
        <row r="1168">
          <cell r="A1168" t="str">
            <v>B1169</v>
          </cell>
          <cell r="B1168" t="str">
            <v>Inverters</v>
          </cell>
          <cell r="C1168" t="str">
            <v>Growatt</v>
          </cell>
          <cell r="D1168" t="str">
            <v>Growatt 5kW Single Phase Solar Inverter Dual MPPT IP65 AC Battery Ready Hybrid With EPS &amp; WIFI Capability</v>
          </cell>
          <cell r="E1168" t="str">
            <v>SPH5000</v>
          </cell>
          <cell r="F1168" t="str">
            <v>MPN (Part #)</v>
          </cell>
          <cell r="G1168">
            <v>2017.7</v>
          </cell>
          <cell r="H1168">
            <v>1834.3000000000002</v>
          </cell>
          <cell r="I1168">
            <v>0</v>
          </cell>
          <cell r="N1168" t="str">
            <v>3-Tradezone</v>
          </cell>
        </row>
        <row r="1169">
          <cell r="A1169" t="str">
            <v>B1170</v>
          </cell>
          <cell r="B1169" t="str">
            <v>Inverters</v>
          </cell>
          <cell r="C1169" t="str">
            <v>Growatt</v>
          </cell>
          <cell r="D1169" t="str">
            <v>Growatt 6kW Single Phase Solar Inverter Dual MPPT IP65 AC Battery Ready Hybrid With EPS &amp; WIFI Capability</v>
          </cell>
          <cell r="E1169" t="str">
            <v>SPH6000</v>
          </cell>
          <cell r="F1169" t="str">
            <v>MPN (Part #)</v>
          </cell>
          <cell r="G1169">
            <v>1727</v>
          </cell>
          <cell r="H1169">
            <v>1570</v>
          </cell>
          <cell r="I1169">
            <v>0</v>
          </cell>
          <cell r="N1169" t="str">
            <v>3-Tradezone</v>
          </cell>
        </row>
        <row r="1170">
          <cell r="A1170" t="str">
            <v>B1171</v>
          </cell>
          <cell r="B1170" t="str">
            <v>Inverters</v>
          </cell>
          <cell r="C1170" t="str">
            <v>Growatt</v>
          </cell>
          <cell r="D1170" t="str">
            <v>Growatt Single Phase Energy Meter</v>
          </cell>
          <cell r="E1170" t="str">
            <v>SPM</v>
          </cell>
          <cell r="F1170" t="str">
            <v>MPN (Part #)</v>
          </cell>
          <cell r="G1170">
            <v>126.7</v>
          </cell>
          <cell r="H1170">
            <v>115.2</v>
          </cell>
          <cell r="I1170">
            <v>0</v>
          </cell>
          <cell r="N1170" t="str">
            <v>3-Tradezone</v>
          </cell>
        </row>
        <row r="1171">
          <cell r="A1171" t="str">
            <v>B1172</v>
          </cell>
          <cell r="B1171" t="str">
            <v>Inverters</v>
          </cell>
          <cell r="C1171" t="str">
            <v>Growatt</v>
          </cell>
          <cell r="D1171" t="str">
            <v>Growatt Three Phase Energy Meter</v>
          </cell>
          <cell r="E1171" t="str">
            <v>TPM</v>
          </cell>
          <cell r="F1171" t="str">
            <v>MPN (Part #)</v>
          </cell>
          <cell r="G1171">
            <v>173.45000000000002</v>
          </cell>
          <cell r="H1171">
            <v>157.65</v>
          </cell>
          <cell r="I1171">
            <v>0</v>
          </cell>
          <cell r="N1171" t="str">
            <v>3-Tradezone</v>
          </cell>
        </row>
        <row r="1172">
          <cell r="A1172" t="str">
            <v>B1173</v>
          </cell>
          <cell r="B1172" t="str">
            <v>Inverters</v>
          </cell>
          <cell r="C1172" t="str">
            <v>Goodwe</v>
          </cell>
          <cell r="D1172" t="str">
            <v>MT Series 80KW 3ph</v>
          </cell>
          <cell r="E1172" t="str">
            <v>GW80K-MT</v>
          </cell>
          <cell r="F1172" t="str">
            <v>MPN (Part #)</v>
          </cell>
          <cell r="G1172">
            <v>8327</v>
          </cell>
          <cell r="H1172">
            <v>7570</v>
          </cell>
          <cell r="I1172">
            <v>0</v>
          </cell>
          <cell r="J1172">
            <v>70</v>
          </cell>
          <cell r="K1172">
            <v>58.6</v>
          </cell>
          <cell r="L1172">
            <v>78.8</v>
          </cell>
          <cell r="M1172">
            <v>26.7</v>
          </cell>
          <cell r="N1172" t="str">
            <v>2-Krannich</v>
          </cell>
        </row>
        <row r="1173">
          <cell r="A1173" t="str">
            <v>B1174</v>
          </cell>
          <cell r="B1173" t="str">
            <v>Batteries</v>
          </cell>
          <cell r="C1173" t="str">
            <v>Vaulta</v>
          </cell>
          <cell r="D1173" t="str">
            <v>Lithium Battery Module 5KWh, Vertical</v>
          </cell>
          <cell r="E1173" t="str">
            <v>EC.Vaulta-5KWh</v>
          </cell>
          <cell r="F1173" t="str">
            <v>MPN (Part #)</v>
          </cell>
          <cell r="G1173">
            <v>3300</v>
          </cell>
          <cell r="H1173">
            <v>3000</v>
          </cell>
          <cell r="I1173">
            <v>0</v>
          </cell>
          <cell r="N1173" t="str">
            <v>6-Various</v>
          </cell>
        </row>
        <row r="1174">
          <cell r="A1174" t="str">
            <v>B1175</v>
          </cell>
          <cell r="B1174" t="str">
            <v>Inverter-Chargers</v>
          </cell>
          <cell r="C1174" t="str">
            <v>Selectronic</v>
          </cell>
          <cell r="D1174" t="str">
            <v>SP Pro 24V/3.0KW Series II</v>
          </cell>
          <cell r="E1174" t="str">
            <v>EC.Vaulta-5KWh</v>
          </cell>
          <cell r="F1174" t="str">
            <v>MPN (Part #)</v>
          </cell>
          <cell r="G1174">
            <v>0</v>
          </cell>
          <cell r="H1174">
            <v>0</v>
          </cell>
          <cell r="I1174">
            <v>0</v>
          </cell>
          <cell r="J1174">
            <v>47</v>
          </cell>
          <cell r="K1174">
            <v>13.5</v>
          </cell>
          <cell r="L1174">
            <v>35</v>
          </cell>
          <cell r="M1174">
            <v>44</v>
          </cell>
          <cell r="N1174" t="str">
            <v>2-Krannich</v>
          </cell>
        </row>
        <row r="1175">
          <cell r="A1175" t="str">
            <v>B1176</v>
          </cell>
          <cell r="B1175" t="str">
            <v>Inverter-Chargers</v>
          </cell>
          <cell r="C1175" t="str">
            <v>Selectronic</v>
          </cell>
          <cell r="D1175" t="str">
            <v>SP Pro 24V/4.5KW Series II</v>
          </cell>
          <cell r="E1175" t="str">
            <v>SPMC241-AU</v>
          </cell>
          <cell r="F1175" t="str">
            <v>MPN (Part #)</v>
          </cell>
          <cell r="G1175">
            <v>7778.55</v>
          </cell>
          <cell r="H1175">
            <v>7071.4500000000007</v>
          </cell>
          <cell r="I1175">
            <v>0</v>
          </cell>
          <cell r="J1175">
            <v>39</v>
          </cell>
          <cell r="K1175">
            <v>69</v>
          </cell>
          <cell r="L1175">
            <v>37.5</v>
          </cell>
          <cell r="M1175">
            <v>22</v>
          </cell>
          <cell r="N1175" t="str">
            <v>2-Krannich</v>
          </cell>
        </row>
        <row r="1176">
          <cell r="A1176" t="str">
            <v>B1177</v>
          </cell>
          <cell r="B1176" t="str">
            <v>Inverter-Chargers</v>
          </cell>
          <cell r="C1176" t="str">
            <v>Selectronic</v>
          </cell>
          <cell r="D1176" t="str">
            <v>SP Pro 48V/3.5KW Series II</v>
          </cell>
          <cell r="E1176" t="str">
            <v>SPMC480-AU</v>
          </cell>
          <cell r="F1176" t="str">
            <v>MPN (Part #)</v>
          </cell>
          <cell r="G1176">
            <v>6505.7000000000007</v>
          </cell>
          <cell r="H1176">
            <v>5914.3</v>
          </cell>
          <cell r="I1176">
            <v>0</v>
          </cell>
          <cell r="J1176">
            <v>33</v>
          </cell>
          <cell r="K1176">
            <v>69</v>
          </cell>
          <cell r="L1176">
            <v>37.5</v>
          </cell>
          <cell r="M1176">
            <v>22</v>
          </cell>
          <cell r="N1176" t="str">
            <v>2-Krannich</v>
          </cell>
        </row>
        <row r="1177">
          <cell r="A1177" t="str">
            <v>B1178</v>
          </cell>
          <cell r="B1177" t="str">
            <v>Inverter-Chargers</v>
          </cell>
          <cell r="C1177" t="str">
            <v>Selectronic</v>
          </cell>
          <cell r="D1177" t="str">
            <v>SP Pro 120V/7.5KW Series II</v>
          </cell>
          <cell r="E1177" t="str">
            <v>SPMC1201-AU</v>
          </cell>
          <cell r="F1177" t="str">
            <v>MPN (Part #)</v>
          </cell>
          <cell r="G1177">
            <v>10998.45</v>
          </cell>
          <cell r="H1177">
            <v>9998.5500000000011</v>
          </cell>
          <cell r="I1177">
            <v>0</v>
          </cell>
          <cell r="J1177">
            <v>43</v>
          </cell>
          <cell r="K1177">
            <v>69</v>
          </cell>
          <cell r="L1177">
            <v>37.5</v>
          </cell>
          <cell r="M1177">
            <v>22</v>
          </cell>
          <cell r="N1177" t="str">
            <v>2-Krannich</v>
          </cell>
        </row>
        <row r="1178">
          <cell r="A1178" t="str">
            <v>B1179</v>
          </cell>
          <cell r="B1178" t="str">
            <v>Inverter-Chargers</v>
          </cell>
          <cell r="C1178" t="str">
            <v>Selectronic</v>
          </cell>
          <cell r="D1178" t="str">
            <v>SP Pro 120V/15KW Series II</v>
          </cell>
          <cell r="E1178" t="str">
            <v>SPLC1200-AU</v>
          </cell>
          <cell r="F1178" t="str">
            <v>MPN (Part #)</v>
          </cell>
          <cell r="G1178">
            <v>17992.850000000002</v>
          </cell>
          <cell r="H1178">
            <v>16357.150000000001</v>
          </cell>
          <cell r="I1178">
            <v>0</v>
          </cell>
          <cell r="J1178">
            <v>113</v>
          </cell>
          <cell r="K1178">
            <v>87</v>
          </cell>
          <cell r="L1178">
            <v>54</v>
          </cell>
          <cell r="M1178">
            <v>29</v>
          </cell>
          <cell r="N1178" t="str">
            <v>2-Krannich</v>
          </cell>
        </row>
        <row r="1179">
          <cell r="A1179" t="str">
            <v>B1180</v>
          </cell>
          <cell r="B1179" t="str">
            <v>Inverter-Chargers</v>
          </cell>
          <cell r="C1179" t="str">
            <v>Selectronic</v>
          </cell>
          <cell r="D1179" t="str">
            <v>SP Pro 120V/20KW Series II</v>
          </cell>
          <cell r="E1179" t="str">
            <v>SPLC1202-AU</v>
          </cell>
          <cell r="F1179" t="str">
            <v>MPN (Part #)</v>
          </cell>
          <cell r="G1179">
            <v>21607.15</v>
          </cell>
          <cell r="H1179">
            <v>19642.850000000002</v>
          </cell>
          <cell r="I1179">
            <v>0</v>
          </cell>
          <cell r="J1179">
            <v>115</v>
          </cell>
          <cell r="K1179">
            <v>87</v>
          </cell>
          <cell r="L1179">
            <v>54</v>
          </cell>
          <cell r="M1179">
            <v>29</v>
          </cell>
          <cell r="N1179" t="str">
            <v>2-Krannich</v>
          </cell>
        </row>
        <row r="1180">
          <cell r="A1180" t="str">
            <v>B1181</v>
          </cell>
          <cell r="B1180" t="str">
            <v>Batteries</v>
          </cell>
          <cell r="C1180" t="str">
            <v>GenZ</v>
          </cell>
          <cell r="D1180" t="str">
            <v>Rack Mount Shelf for GenZ 3KWh Battery 2RU</v>
          </cell>
          <cell r="E1180" t="str">
            <v>MNTSHELF-GNZ</v>
          </cell>
          <cell r="F1180" t="str">
            <v>MPN (Part #)</v>
          </cell>
          <cell r="G1180">
            <v>88.95</v>
          </cell>
          <cell r="H1180">
            <v>80.900000000000006</v>
          </cell>
          <cell r="I1180">
            <v>0</v>
          </cell>
          <cell r="J1180">
            <v>0.25</v>
          </cell>
          <cell r="K1180">
            <v>16.27</v>
          </cell>
          <cell r="L1180">
            <v>7.94</v>
          </cell>
          <cell r="M1180">
            <v>4.66</v>
          </cell>
          <cell r="N1180" t="str">
            <v>14-MHPower</v>
          </cell>
        </row>
        <row r="1181">
          <cell r="A1181" t="str">
            <v>B1182</v>
          </cell>
          <cell r="B1181" t="str">
            <v>Electrical</v>
          </cell>
          <cell r="C1181" t="str">
            <v>Klein</v>
          </cell>
          <cell r="D1181" t="str">
            <v xml:space="preserve">Digital Multimeter, A-MM325 600V </v>
          </cell>
          <cell r="E1181" t="str">
            <v>MM325</v>
          </cell>
          <cell r="F1181" t="str">
            <v>MPN (Part #)</v>
          </cell>
          <cell r="G1181">
            <v>75.400000000000006</v>
          </cell>
          <cell r="H1181">
            <v>68.55</v>
          </cell>
          <cell r="I1181">
            <v>0</v>
          </cell>
          <cell r="N1181" t="str">
            <v>6-Various</v>
          </cell>
        </row>
        <row r="1182">
          <cell r="A1182" t="str">
            <v>B1183</v>
          </cell>
          <cell r="B1182" t="str">
            <v>Electrical</v>
          </cell>
          <cell r="C1182" t="str">
            <v>DKSH</v>
          </cell>
          <cell r="D1182" t="str">
            <v>Fuse 38mm PV type 20A</v>
          </cell>
          <cell r="E1182" t="str">
            <v>30F20PV</v>
          </cell>
          <cell r="F1182" t="str">
            <v>MPN (Part #)</v>
          </cell>
          <cell r="G1182">
            <v>15.65</v>
          </cell>
          <cell r="H1182">
            <v>14.25</v>
          </cell>
          <cell r="I1182">
            <v>0</v>
          </cell>
          <cell r="N1182" t="str">
            <v>3-Tradezone</v>
          </cell>
        </row>
        <row r="1183">
          <cell r="A1183" t="str">
            <v>B1184</v>
          </cell>
          <cell r="B1183" t="str">
            <v>Electrical</v>
          </cell>
          <cell r="C1183" t="str">
            <v>Clipsal</v>
          </cell>
          <cell r="D1183" t="str">
            <v>25mm Conduit Entry adaptor</v>
          </cell>
          <cell r="E1183" t="str">
            <v>263/25GY</v>
          </cell>
          <cell r="F1183" t="str">
            <v>MPN (Part #)</v>
          </cell>
          <cell r="G1183">
            <v>0.95000000000000007</v>
          </cell>
          <cell r="H1183">
            <v>0.85000000000000009</v>
          </cell>
          <cell r="I1183">
            <v>0</v>
          </cell>
          <cell r="N1183" t="str">
            <v>3-Tradezone</v>
          </cell>
        </row>
        <row r="1184">
          <cell r="A1184" t="str">
            <v>B1185</v>
          </cell>
          <cell r="B1184" t="str">
            <v>Electrical</v>
          </cell>
          <cell r="C1184" t="str">
            <v>Clipsal</v>
          </cell>
          <cell r="D1184" t="str">
            <v xml:space="preserve">25mm Conduit Entry lockring </v>
          </cell>
          <cell r="E1184" t="str">
            <v>260/25GY</v>
          </cell>
          <cell r="F1184" t="str">
            <v>MPN (Part #)</v>
          </cell>
          <cell r="G1184">
            <v>0.30000000000000004</v>
          </cell>
          <cell r="H1184">
            <v>0.30000000000000004</v>
          </cell>
          <cell r="I1184">
            <v>0</v>
          </cell>
          <cell r="N1184" t="str">
            <v>3-Tradezone</v>
          </cell>
        </row>
        <row r="1185">
          <cell r="A1185" t="str">
            <v>B1186</v>
          </cell>
          <cell r="B1185" t="str">
            <v>Electrical</v>
          </cell>
          <cell r="C1185" t="str">
            <v>Clipsal</v>
          </cell>
          <cell r="D1185" t="str">
            <v>Conduit saddles 25mm Galv</v>
          </cell>
          <cell r="E1185" t="str">
            <v>180HD25</v>
          </cell>
          <cell r="F1185" t="str">
            <v>MPN (Part #)</v>
          </cell>
          <cell r="G1185">
            <v>0.55000000000000004</v>
          </cell>
          <cell r="H1185">
            <v>0.5</v>
          </cell>
          <cell r="I1185">
            <v>0</v>
          </cell>
          <cell r="N1185" t="str">
            <v>3-Tradezone</v>
          </cell>
        </row>
        <row r="1186">
          <cell r="A1186" t="str">
            <v>B1187</v>
          </cell>
          <cell r="B1186" t="str">
            <v>Electrical</v>
          </cell>
          <cell r="C1186" t="str">
            <v>Victron</v>
          </cell>
          <cell r="D1186" t="str">
            <v>EM540 Meter 3 phase</v>
          </cell>
          <cell r="E1186" t="str">
            <v>REL200100100</v>
          </cell>
          <cell r="F1186" t="str">
            <v>MPN (Part #)</v>
          </cell>
          <cell r="G1186">
            <v>277.2</v>
          </cell>
          <cell r="H1186">
            <v>252</v>
          </cell>
          <cell r="I1186">
            <v>0</v>
          </cell>
          <cell r="N1186" t="str">
            <v>1-Victron</v>
          </cell>
        </row>
        <row r="1187">
          <cell r="A1187" t="str">
            <v>B1188</v>
          </cell>
          <cell r="B1187" t="str">
            <v>Electrical</v>
          </cell>
          <cell r="C1187" t="str">
            <v>Victron</v>
          </cell>
          <cell r="D1187" t="str">
            <v>VM-3P75CT Meter 3 phase</v>
          </cell>
          <cell r="E1187" t="str">
            <v>REL200300100</v>
          </cell>
          <cell r="F1187" t="str">
            <v>MPN (Part #)</v>
          </cell>
          <cell r="G1187">
            <v>462.35</v>
          </cell>
          <cell r="H1187">
            <v>420.3</v>
          </cell>
          <cell r="I1187">
            <v>0</v>
          </cell>
          <cell r="N1187" t="str">
            <v>1-Victron</v>
          </cell>
        </row>
        <row r="1188">
          <cell r="A1188" t="str">
            <v>B1189</v>
          </cell>
          <cell r="B1188" t="str">
            <v>Control</v>
          </cell>
          <cell r="C1188" t="str">
            <v>Victron</v>
          </cell>
          <cell r="D1188" t="str">
            <v>GX Touch 50 Wall Mount</v>
          </cell>
          <cell r="E1188" t="str">
            <v>BPP900465050</v>
          </cell>
          <cell r="F1188" t="str">
            <v>MPN (Part #)</v>
          </cell>
          <cell r="G1188">
            <v>25.75</v>
          </cell>
          <cell r="H1188">
            <v>23.400000000000002</v>
          </cell>
          <cell r="I1188">
            <v>0</v>
          </cell>
          <cell r="N1188" t="str">
            <v>1-Victron</v>
          </cell>
        </row>
        <row r="1189">
          <cell r="A1189" t="str">
            <v>B1190</v>
          </cell>
          <cell r="B1189" t="str">
            <v>Control</v>
          </cell>
          <cell r="C1189" t="str">
            <v>Victron</v>
          </cell>
          <cell r="D1189" t="str">
            <v>GX Touch 70 Wall Mount</v>
          </cell>
          <cell r="E1189" t="str">
            <v>BPP900465070</v>
          </cell>
          <cell r="F1189" t="str">
            <v>MPN (Part #)</v>
          </cell>
          <cell r="G1189">
            <v>35.65</v>
          </cell>
          <cell r="H1189">
            <v>32.4</v>
          </cell>
          <cell r="I1189">
            <v>0</v>
          </cell>
          <cell r="N1189" t="str">
            <v>1-Victron</v>
          </cell>
        </row>
        <row r="1190">
          <cell r="A1190" t="str">
            <v>B1191</v>
          </cell>
          <cell r="B1190" t="str">
            <v>Inverters</v>
          </cell>
          <cell r="C1190" t="str">
            <v>Fronius</v>
          </cell>
          <cell r="D1190" t="str">
            <v>Gen24 Primo 10.0KW</v>
          </cell>
          <cell r="E1190" t="str">
            <v>Primo-Gen24-10.0</v>
          </cell>
          <cell r="F1190" t="str">
            <v>MPN (Part #)</v>
          </cell>
          <cell r="G1190">
            <v>4498.5</v>
          </cell>
          <cell r="H1190">
            <v>4089.55</v>
          </cell>
          <cell r="I1190">
            <v>0</v>
          </cell>
          <cell r="J1190">
            <v>19</v>
          </cell>
          <cell r="K1190">
            <v>47.4</v>
          </cell>
          <cell r="L1190">
            <v>53</v>
          </cell>
          <cell r="M1190">
            <v>16.5</v>
          </cell>
          <cell r="N1190" t="str">
            <v>2-Krannich</v>
          </cell>
        </row>
        <row r="1191">
          <cell r="A1191" t="str">
            <v>B1192</v>
          </cell>
          <cell r="B1191" t="str">
            <v>Fuses</v>
          </cell>
          <cell r="C1191" t="str">
            <v>Noark</v>
          </cell>
          <cell r="D1191" t="str">
            <v>MCB 360V DC 16A 2 Pole</v>
          </cell>
          <cell r="E1191" t="str">
            <v>N84450</v>
          </cell>
          <cell r="F1191" t="str">
            <v>MPN (Part #)</v>
          </cell>
          <cell r="G1191">
            <v>0</v>
          </cell>
          <cell r="H1191">
            <v>0</v>
          </cell>
          <cell r="I1191">
            <v>0</v>
          </cell>
          <cell r="J1191">
            <v>0.8</v>
          </cell>
          <cell r="K1191">
            <v>6</v>
          </cell>
          <cell r="L1191">
            <v>4</v>
          </cell>
          <cell r="M1191">
            <v>8</v>
          </cell>
          <cell r="N1191" t="str">
            <v/>
          </cell>
        </row>
        <row r="1192">
          <cell r="A1192" t="str">
            <v>B1193</v>
          </cell>
          <cell r="B1192" t="str">
            <v>Fuses</v>
          </cell>
          <cell r="C1192" t="str">
            <v>Hager</v>
          </cell>
          <cell r="D1192" t="str">
            <v>MCB C25 3pole 6ka</v>
          </cell>
          <cell r="E1192" t="str">
            <v>MSN325</v>
          </cell>
          <cell r="F1192" t="str">
            <v>MPN (Part #)</v>
          </cell>
          <cell r="G1192">
            <v>0</v>
          </cell>
          <cell r="H1192">
            <v>0</v>
          </cell>
          <cell r="I1192">
            <v>0</v>
          </cell>
          <cell r="J1192">
            <v>1</v>
          </cell>
          <cell r="K1192">
            <v>6</v>
          </cell>
          <cell r="L1192">
            <v>6</v>
          </cell>
          <cell r="M1192">
            <v>8</v>
          </cell>
          <cell r="N1192" t="str">
            <v/>
          </cell>
        </row>
        <row r="1193">
          <cell r="A1193" t="str">
            <v>B1194</v>
          </cell>
          <cell r="B1193" t="str">
            <v>Fuses</v>
          </cell>
          <cell r="C1193" t="str">
            <v>Hager</v>
          </cell>
          <cell r="D1193" t="str">
            <v>MCB C32 3pole 6ka</v>
          </cell>
          <cell r="E1193" t="str">
            <v>MSN332</v>
          </cell>
          <cell r="F1193" t="str">
            <v>MPN (Part #)</v>
          </cell>
          <cell r="G1193">
            <v>0</v>
          </cell>
          <cell r="H1193">
            <v>0</v>
          </cell>
          <cell r="I1193">
            <v>0</v>
          </cell>
          <cell r="J1193">
            <v>1</v>
          </cell>
          <cell r="K1193">
            <v>6</v>
          </cell>
          <cell r="L1193">
            <v>6</v>
          </cell>
          <cell r="M1193">
            <v>8</v>
          </cell>
          <cell r="N1193" t="str">
            <v/>
          </cell>
        </row>
        <row r="1194">
          <cell r="A1194" t="str">
            <v>B1195</v>
          </cell>
          <cell r="B1194" t="str">
            <v>Fuses</v>
          </cell>
          <cell r="C1194" t="str">
            <v>Hager</v>
          </cell>
          <cell r="D1194" t="str">
            <v>MCB C50 3pole 6ka</v>
          </cell>
          <cell r="E1194" t="str">
            <v>MSN350</v>
          </cell>
          <cell r="F1194" t="str">
            <v>MPN (Part #)</v>
          </cell>
          <cell r="G1194">
            <v>0</v>
          </cell>
          <cell r="H1194">
            <v>0</v>
          </cell>
          <cell r="I1194">
            <v>0</v>
          </cell>
          <cell r="J1194">
            <v>1</v>
          </cell>
          <cell r="K1194">
            <v>6</v>
          </cell>
          <cell r="L1194">
            <v>6</v>
          </cell>
          <cell r="M1194">
            <v>8</v>
          </cell>
          <cell r="N1194" t="str">
            <v/>
          </cell>
        </row>
        <row r="1195">
          <cell r="A1195" t="str">
            <v>B1196</v>
          </cell>
          <cell r="B1195" t="str">
            <v>Fuses</v>
          </cell>
          <cell r="C1195" t="str">
            <v>Hager</v>
          </cell>
          <cell r="D1195" t="str">
            <v>MCB C25 3pole 10ka</v>
          </cell>
          <cell r="E1195" t="str">
            <v>NT325C</v>
          </cell>
          <cell r="F1195" t="str">
            <v>MPN (Part #)</v>
          </cell>
          <cell r="G1195">
            <v>0</v>
          </cell>
          <cell r="H1195">
            <v>0</v>
          </cell>
          <cell r="I1195">
            <v>0</v>
          </cell>
          <cell r="J1195">
            <v>1</v>
          </cell>
          <cell r="K1195">
            <v>6</v>
          </cell>
          <cell r="L1195">
            <v>6</v>
          </cell>
          <cell r="M1195">
            <v>8</v>
          </cell>
          <cell r="N1195" t="str">
            <v/>
          </cell>
        </row>
        <row r="1196">
          <cell r="A1196" t="str">
            <v>B1197</v>
          </cell>
          <cell r="B1196" t="str">
            <v>Fuses</v>
          </cell>
          <cell r="C1196" t="str">
            <v>Hager</v>
          </cell>
          <cell r="D1196" t="str">
            <v>MCB C50 3pole 10ka</v>
          </cell>
          <cell r="E1196" t="str">
            <v>NT350C</v>
          </cell>
          <cell r="F1196" t="str">
            <v>MPN (Part #)</v>
          </cell>
          <cell r="G1196">
            <v>0</v>
          </cell>
          <cell r="H1196">
            <v>0</v>
          </cell>
          <cell r="I1196">
            <v>0</v>
          </cell>
          <cell r="J1196">
            <v>1</v>
          </cell>
          <cell r="K1196">
            <v>6</v>
          </cell>
          <cell r="L1196">
            <v>6</v>
          </cell>
          <cell r="M1196">
            <v>8</v>
          </cell>
          <cell r="N1196" t="str">
            <v/>
          </cell>
        </row>
        <row r="1197">
          <cell r="A1197" t="str">
            <v>B1198</v>
          </cell>
          <cell r="B1197" t="str">
            <v>Fuses</v>
          </cell>
          <cell r="C1197" t="str">
            <v>Hager</v>
          </cell>
          <cell r="D1197" t="str">
            <v>MCB C50 3pole 10ka</v>
          </cell>
          <cell r="E1197" t="str">
            <v>NT363C</v>
          </cell>
          <cell r="F1197" t="str">
            <v>MPN (Part #)</v>
          </cell>
          <cell r="G1197">
            <v>0</v>
          </cell>
          <cell r="H1197">
            <v>0</v>
          </cell>
          <cell r="I1197">
            <v>0</v>
          </cell>
          <cell r="J1197">
            <v>1</v>
          </cell>
          <cell r="K1197">
            <v>6</v>
          </cell>
          <cell r="L1197">
            <v>6</v>
          </cell>
          <cell r="M1197">
            <v>8</v>
          </cell>
          <cell r="N1197" t="str">
            <v/>
          </cell>
        </row>
        <row r="1198">
          <cell r="A1198" t="str">
            <v>B1199</v>
          </cell>
          <cell r="B1198" t="str">
            <v>Control</v>
          </cell>
          <cell r="C1198" t="str">
            <v>Victron</v>
          </cell>
          <cell r="D1198" t="str">
            <v>CT Current Transformer 100A MultiPlusII (5m)</v>
          </cell>
          <cell r="E1198" t="str">
            <v>CTR110000550</v>
          </cell>
          <cell r="F1198" t="str">
            <v>MPN (Part #)</v>
          </cell>
          <cell r="G1198">
            <v>70.3</v>
          </cell>
          <cell r="H1198">
            <v>63.900000000000006</v>
          </cell>
          <cell r="I1198">
            <v>0</v>
          </cell>
          <cell r="J1198">
            <v>0.1</v>
          </cell>
          <cell r="K1198">
            <v>8</v>
          </cell>
          <cell r="L1198">
            <v>4</v>
          </cell>
          <cell r="M1198">
            <v>3</v>
          </cell>
          <cell r="N1198" t="str">
            <v>1-Victron</v>
          </cell>
        </row>
        <row r="1199">
          <cell r="A1199" t="str">
            <v>B1200</v>
          </cell>
          <cell r="B1199" t="str">
            <v>Control</v>
          </cell>
          <cell r="C1199" t="str">
            <v>Victron</v>
          </cell>
          <cell r="D1199" t="str">
            <v>CT Current Transformer 100A MultiPlusII (20m)</v>
          </cell>
          <cell r="E1199" t="str">
            <v xml:space="preserve">CTR110002050 </v>
          </cell>
          <cell r="F1199" t="str">
            <v>MPN (Part #)</v>
          </cell>
          <cell r="G1199">
            <v>124.75</v>
          </cell>
          <cell r="H1199">
            <v>113.4</v>
          </cell>
          <cell r="I1199">
            <v>0</v>
          </cell>
          <cell r="J1199">
            <v>0.1</v>
          </cell>
          <cell r="K1199">
            <v>8</v>
          </cell>
          <cell r="L1199">
            <v>4</v>
          </cell>
          <cell r="M1199">
            <v>3</v>
          </cell>
          <cell r="N1199" t="str">
            <v>1-Victron</v>
          </cell>
        </row>
        <row r="1200">
          <cell r="A1200" t="str">
            <v>B1201</v>
          </cell>
          <cell r="B1200" t="str">
            <v>Electrical</v>
          </cell>
          <cell r="C1200" t="str">
            <v>Voltex</v>
          </cell>
          <cell r="D1200" t="str">
            <v>Generator Inlet 10A IP66</v>
          </cell>
          <cell r="E1200" t="str">
            <v>C66AI310</v>
          </cell>
          <cell r="F1200" t="str">
            <v>MPN (Part #)</v>
          </cell>
          <cell r="G1200">
            <v>0</v>
          </cell>
          <cell r="H1200">
            <v>0</v>
          </cell>
          <cell r="I1200">
            <v>0</v>
          </cell>
          <cell r="J1200">
            <v>0.4</v>
          </cell>
          <cell r="K1200">
            <v>10</v>
          </cell>
          <cell r="L1200">
            <v>7</v>
          </cell>
          <cell r="M1200">
            <v>7</v>
          </cell>
          <cell r="N1200" t="str">
            <v/>
          </cell>
        </row>
        <row r="1201">
          <cell r="A1201" t="str">
            <v>B1202</v>
          </cell>
          <cell r="B1201" t="str">
            <v>Cables</v>
          </cell>
          <cell r="C1201" t="str">
            <v>Apec</v>
          </cell>
          <cell r="F1201" t="str">
            <v>MPN (Part #)</v>
          </cell>
          <cell r="G1201">
            <v>0</v>
          </cell>
          <cell r="H1201">
            <v>0</v>
          </cell>
          <cell r="I1201">
            <v>0</v>
          </cell>
          <cell r="N1201" t="str">
            <v/>
          </cell>
        </row>
        <row r="1202">
          <cell r="A1202" t="str">
            <v>B1203</v>
          </cell>
          <cell r="B1202" t="str">
            <v>Cables</v>
          </cell>
          <cell r="C1202" t="str">
            <v>Apec</v>
          </cell>
          <cell r="F1202" t="str">
            <v>MPN (Part #)</v>
          </cell>
          <cell r="G1202">
            <v>0</v>
          </cell>
          <cell r="H1202">
            <v>0</v>
          </cell>
          <cell r="I1202">
            <v>0</v>
          </cell>
          <cell r="N1202" t="str">
            <v/>
          </cell>
        </row>
        <row r="1203">
          <cell r="A1203" t="str">
            <v>B1204</v>
          </cell>
          <cell r="B1203" t="str">
            <v>Cables</v>
          </cell>
          <cell r="C1203" t="str">
            <v>Apec</v>
          </cell>
          <cell r="F1203" t="str">
            <v>MPN (Part #)</v>
          </cell>
          <cell r="G1203">
            <v>0</v>
          </cell>
          <cell r="H1203">
            <v>0</v>
          </cell>
          <cell r="I1203">
            <v>0</v>
          </cell>
          <cell r="N1203" t="str">
            <v/>
          </cell>
        </row>
        <row r="1204">
          <cell r="A1204" t="str">
            <v>B1205</v>
          </cell>
          <cell r="F1204" t="str">
            <v>MPN (Part #)</v>
          </cell>
          <cell r="G1204">
            <v>0</v>
          </cell>
          <cell r="H1204">
            <v>0</v>
          </cell>
          <cell r="I1204">
            <v>0</v>
          </cell>
          <cell r="N1204" t="str">
            <v/>
          </cell>
        </row>
        <row r="1205">
          <cell r="A1205" t="str">
            <v>B1206</v>
          </cell>
          <cell r="C1205" t="str">
            <v>PKG</v>
          </cell>
          <cell r="D1205" t="str">
            <v>MC4 crimper</v>
          </cell>
          <cell r="E1205" t="str">
            <v>SE110</v>
          </cell>
          <cell r="F1205" t="str">
            <v>MPN (Part #)</v>
          </cell>
          <cell r="G1205">
            <v>0</v>
          </cell>
          <cell r="H1205">
            <v>0</v>
          </cell>
          <cell r="I1205">
            <v>0</v>
          </cell>
          <cell r="N1205" t="str">
            <v/>
          </cell>
        </row>
        <row r="1206">
          <cell r="A1206" t="str">
            <v>B1207</v>
          </cell>
          <cell r="B1206" t="str">
            <v>Electrical</v>
          </cell>
          <cell r="C1206" t="str">
            <v>Noark</v>
          </cell>
          <cell r="D1206" t="str">
            <v>Fuse holder 1 Pole 38mm PV type</v>
          </cell>
          <cell r="E1206">
            <v>101766</v>
          </cell>
          <cell r="F1206" t="str">
            <v>MPN (Part #)</v>
          </cell>
          <cell r="G1206">
            <v>0</v>
          </cell>
          <cell r="H1206">
            <v>0</v>
          </cell>
          <cell r="I1206">
            <v>0</v>
          </cell>
          <cell r="N1206" t="str">
            <v>3-Tradezone</v>
          </cell>
        </row>
        <row r="1207">
          <cell r="A1207" t="str">
            <v>B1208</v>
          </cell>
          <cell r="B1207" t="str">
            <v>Electrical</v>
          </cell>
          <cell r="C1207" t="str">
            <v>Noark</v>
          </cell>
          <cell r="D1207" t="str">
            <v>Fuse holder 2 Pole 38mm PV type</v>
          </cell>
          <cell r="E1207" t="str">
            <v>N85515</v>
          </cell>
          <cell r="F1207" t="str">
            <v>MPN (Part #)</v>
          </cell>
          <cell r="G1207">
            <v>0</v>
          </cell>
          <cell r="H1207">
            <v>0</v>
          </cell>
          <cell r="I1207">
            <v>0</v>
          </cell>
          <cell r="N1207" t="str">
            <v>3-Tradezone</v>
          </cell>
        </row>
        <row r="1208">
          <cell r="A1208" t="str">
            <v>B1209</v>
          </cell>
          <cell r="B1208" t="str">
            <v>Electrical</v>
          </cell>
          <cell r="C1208" t="str">
            <v>Victron</v>
          </cell>
          <cell r="D1208" t="str">
            <v>CT Sensor 100A</v>
          </cell>
          <cell r="F1208" t="str">
            <v>MPN (Part #)</v>
          </cell>
          <cell r="G1208">
            <v>0</v>
          </cell>
          <cell r="H1208">
            <v>0</v>
          </cell>
          <cell r="I1208">
            <v>0</v>
          </cell>
          <cell r="N1208" t="str">
            <v/>
          </cell>
        </row>
        <row r="1209">
          <cell r="A1209" t="str">
            <v>B1210</v>
          </cell>
          <cell r="C1209" t="str">
            <v>Clenergy</v>
          </cell>
          <cell r="D1209" t="str">
            <v>4 panel rack kit, Tin</v>
          </cell>
          <cell r="E1209" t="str">
            <v>K-ER-30KITWRTINB4.6</v>
          </cell>
          <cell r="F1209" t="str">
            <v>MPN (Part #)</v>
          </cell>
          <cell r="G1209">
            <v>0</v>
          </cell>
          <cell r="H1209">
            <v>0</v>
          </cell>
          <cell r="I1209">
            <v>0</v>
          </cell>
          <cell r="N1209" t="str">
            <v>3-Tradezone</v>
          </cell>
        </row>
        <row r="1210">
          <cell r="A1210" t="str">
            <v>B1211</v>
          </cell>
          <cell r="B1210" t="str">
            <v>Solar accessories</v>
          </cell>
          <cell r="C1210" t="str">
            <v>Clenergy</v>
          </cell>
          <cell r="D1210" t="str">
            <v>4 panel rack kit, Tile</v>
          </cell>
          <cell r="E1210" t="str">
            <v>K-ER-30KITWRTILEB4.6</v>
          </cell>
          <cell r="F1210" t="str">
            <v>MPN (Part #)</v>
          </cell>
          <cell r="G1210">
            <v>0</v>
          </cell>
          <cell r="H1210">
            <v>0</v>
          </cell>
          <cell r="I1210">
            <v>0</v>
          </cell>
          <cell r="N1210" t="str">
            <v>3-Tradezone</v>
          </cell>
        </row>
        <row r="1211">
          <cell r="A1211" t="str">
            <v>B1212</v>
          </cell>
          <cell r="B1211" t="str">
            <v>Solar Panels</v>
          </cell>
          <cell r="C1211" t="str">
            <v>Trina</v>
          </cell>
          <cell r="D1211" t="str">
            <v>500W</v>
          </cell>
          <cell r="E1211">
            <v>23000338</v>
          </cell>
          <cell r="F1211" t="str">
            <v>MPN (Part #)</v>
          </cell>
          <cell r="G1211">
            <v>0</v>
          </cell>
          <cell r="H1211">
            <v>0</v>
          </cell>
          <cell r="I1211">
            <v>0</v>
          </cell>
          <cell r="J1211">
            <v>26.3</v>
          </cell>
          <cell r="K1211">
            <v>217.6</v>
          </cell>
          <cell r="L1211">
            <v>109.8</v>
          </cell>
          <cell r="M1211">
            <v>3.5</v>
          </cell>
          <cell r="N1211" t="str">
            <v>2-Krannich</v>
          </cell>
        </row>
        <row r="1212">
          <cell r="A1212" t="str">
            <v>B1213</v>
          </cell>
          <cell r="B1212" t="str">
            <v>Solar Panels</v>
          </cell>
          <cell r="C1212" t="str">
            <v>Trina</v>
          </cell>
          <cell r="D1212" t="str">
            <v>550W</v>
          </cell>
          <cell r="E1212">
            <v>23001579</v>
          </cell>
          <cell r="F1212" t="str">
            <v>MPN (Part #)</v>
          </cell>
          <cell r="G1212">
            <v>0</v>
          </cell>
          <cell r="H1212">
            <v>0</v>
          </cell>
          <cell r="I1212">
            <v>0</v>
          </cell>
          <cell r="J1212">
            <v>28.6</v>
          </cell>
          <cell r="K1212">
            <v>238.4</v>
          </cell>
          <cell r="L1212">
            <v>109.6</v>
          </cell>
          <cell r="M1212">
            <v>3.5</v>
          </cell>
          <cell r="N1212" t="str">
            <v>2-Krannich</v>
          </cell>
        </row>
        <row r="1213">
          <cell r="A1213" t="str">
            <v>B1214</v>
          </cell>
          <cell r="F1213" t="str">
            <v>MPN (Part #)</v>
          </cell>
          <cell r="G1213">
            <v>0</v>
          </cell>
          <cell r="H1213">
            <v>0</v>
          </cell>
          <cell r="I1213">
            <v>0</v>
          </cell>
          <cell r="N1213" t="str">
            <v/>
          </cell>
        </row>
        <row r="1214">
          <cell r="A1214" t="str">
            <v>B1215</v>
          </cell>
          <cell r="B1214" t="str">
            <v>Solar Panels</v>
          </cell>
          <cell r="C1214" t="str">
            <v>Jinko</v>
          </cell>
          <cell r="D1214" t="str">
            <v>440W</v>
          </cell>
          <cell r="E1214">
            <v>23001580</v>
          </cell>
          <cell r="F1214" t="str">
            <v>MPN (Part #)</v>
          </cell>
          <cell r="G1214">
            <v>0</v>
          </cell>
          <cell r="H1214">
            <v>0</v>
          </cell>
          <cell r="I1214">
            <v>0</v>
          </cell>
          <cell r="J1214">
            <v>22</v>
          </cell>
          <cell r="K1214">
            <v>176.2</v>
          </cell>
          <cell r="L1214">
            <v>113.4</v>
          </cell>
          <cell r="M1214">
            <v>3</v>
          </cell>
          <cell r="N1214" t="str">
            <v>2-Krannich</v>
          </cell>
        </row>
        <row r="1215">
          <cell r="A1215" t="str">
            <v>B1216</v>
          </cell>
          <cell r="B1215" t="str">
            <v>Solar Panels</v>
          </cell>
          <cell r="C1215" t="str">
            <v>Jinko</v>
          </cell>
          <cell r="D1215" t="str">
            <v>475W</v>
          </cell>
          <cell r="E1215">
            <v>4607</v>
          </cell>
          <cell r="F1215" t="str">
            <v>MPN (Part #)</v>
          </cell>
          <cell r="G1215">
            <v>0</v>
          </cell>
          <cell r="H1215">
            <v>0</v>
          </cell>
          <cell r="I1215">
            <v>0</v>
          </cell>
          <cell r="J1215">
            <v>24.2</v>
          </cell>
          <cell r="K1215">
            <v>190.3</v>
          </cell>
          <cell r="L1215">
            <v>113.4</v>
          </cell>
          <cell r="M1215">
            <v>3</v>
          </cell>
          <cell r="N1215" t="str">
            <v>2-Krannich</v>
          </cell>
        </row>
        <row r="1216">
          <cell r="A1216" t="str">
            <v>B1217</v>
          </cell>
          <cell r="B1216" t="str">
            <v>Solar Panels</v>
          </cell>
          <cell r="C1216" t="str">
            <v>Longi</v>
          </cell>
          <cell r="D1216" t="str">
            <v>440W</v>
          </cell>
          <cell r="E1216">
            <v>4837</v>
          </cell>
          <cell r="F1216" t="str">
            <v>MPN (Part #)</v>
          </cell>
          <cell r="G1216">
            <v>0</v>
          </cell>
          <cell r="H1216">
            <v>0</v>
          </cell>
          <cell r="I1216">
            <v>0</v>
          </cell>
          <cell r="J1216">
            <v>20.8</v>
          </cell>
          <cell r="K1216">
            <v>172.2</v>
          </cell>
          <cell r="L1216">
            <v>113.4</v>
          </cell>
          <cell r="M1216">
            <v>3</v>
          </cell>
          <cell r="N1216" t="str">
            <v>2-Krannich</v>
          </cell>
        </row>
        <row r="1217">
          <cell r="A1217" t="str">
            <v>B1218</v>
          </cell>
          <cell r="B1217" t="str">
            <v>Solar Panels</v>
          </cell>
          <cell r="C1217" t="str">
            <v>Longi</v>
          </cell>
          <cell r="D1217" t="str">
            <v>555W</v>
          </cell>
          <cell r="E1217">
            <v>23001575</v>
          </cell>
          <cell r="F1217" t="str">
            <v>MPN (Part #)</v>
          </cell>
          <cell r="G1217">
            <v>0</v>
          </cell>
          <cell r="H1217">
            <v>0</v>
          </cell>
          <cell r="I1217">
            <v>0</v>
          </cell>
          <cell r="J1217">
            <v>27.2</v>
          </cell>
          <cell r="K1217">
            <v>227.8</v>
          </cell>
          <cell r="L1217">
            <v>113.4</v>
          </cell>
          <cell r="M1217">
            <v>3.5</v>
          </cell>
          <cell r="N1217" t="str">
            <v>2-Krannich</v>
          </cell>
        </row>
        <row r="1218">
          <cell r="A1218" t="str">
            <v>B1219</v>
          </cell>
          <cell r="B1218" t="str">
            <v>Solar Panels</v>
          </cell>
          <cell r="C1218" t="str">
            <v>Tindo</v>
          </cell>
          <cell r="D1218" t="str">
            <v>410W</v>
          </cell>
          <cell r="F1218" t="str">
            <v>MPN (Part #)</v>
          </cell>
          <cell r="G1218">
            <v>0</v>
          </cell>
          <cell r="H1218">
            <v>0</v>
          </cell>
          <cell r="I1218">
            <v>0</v>
          </cell>
          <cell r="N1218" t="str">
            <v/>
          </cell>
        </row>
        <row r="1219">
          <cell r="A1219" t="str">
            <v>B1220</v>
          </cell>
          <cell r="B1219" t="str">
            <v>Solar accessories</v>
          </cell>
          <cell r="D1219" t="str">
            <v>roof flashing</v>
          </cell>
          <cell r="E1219" t="str">
            <v>CSE-PRF-M25-TIN</v>
          </cell>
          <cell r="F1219" t="str">
            <v>MPN (Part #)</v>
          </cell>
          <cell r="G1219">
            <v>0</v>
          </cell>
          <cell r="H1219">
            <v>0</v>
          </cell>
          <cell r="I1219">
            <v>0</v>
          </cell>
          <cell r="N1219" t="str">
            <v/>
          </cell>
        </row>
        <row r="1220">
          <cell r="A1220" t="str">
            <v>B1221</v>
          </cell>
          <cell r="B1220" t="str">
            <v>Solar accessories</v>
          </cell>
          <cell r="D1220" t="str">
            <v>Metal cable ties</v>
          </cell>
          <cell r="F1220" t="str">
            <v>MPN (Part #)</v>
          </cell>
          <cell r="G1220">
            <v>0</v>
          </cell>
          <cell r="H1220">
            <v>0</v>
          </cell>
          <cell r="I1220">
            <v>0</v>
          </cell>
          <cell r="N1220" t="str">
            <v/>
          </cell>
        </row>
        <row r="1221">
          <cell r="A1221" t="str">
            <v>B1222</v>
          </cell>
          <cell r="B1221" t="str">
            <v>Batteries</v>
          </cell>
          <cell r="D1221" t="str">
            <v>BYD flex 5KWh</v>
          </cell>
          <cell r="F1221" t="str">
            <v>MPN (Part #)</v>
          </cell>
          <cell r="G1221">
            <v>0</v>
          </cell>
          <cell r="H1221">
            <v>0</v>
          </cell>
          <cell r="I1221">
            <v>0</v>
          </cell>
          <cell r="N1221" t="str">
            <v/>
          </cell>
        </row>
        <row r="1222">
          <cell r="A1222" t="str">
            <v>B1223</v>
          </cell>
          <cell r="B1222" t="str">
            <v>Batteries</v>
          </cell>
          <cell r="D1222" t="str">
            <v>Vaulta ec 5KWh, pack controller</v>
          </cell>
          <cell r="F1222" t="str">
            <v>MPN (Part #)</v>
          </cell>
          <cell r="G1222">
            <v>0</v>
          </cell>
          <cell r="H1222">
            <v>0</v>
          </cell>
          <cell r="I1222">
            <v>0</v>
          </cell>
          <cell r="N1222" t="str">
            <v/>
          </cell>
        </row>
        <row r="1223">
          <cell r="A1223" t="str">
            <v>B1224</v>
          </cell>
          <cell r="B1223" t="str">
            <v>Batteries</v>
          </cell>
          <cell r="D1223" t="str">
            <v>Vaulta range 3-4 batts</v>
          </cell>
          <cell r="F1223" t="str">
            <v>MPN (Part #)</v>
          </cell>
          <cell r="G1223">
            <v>0</v>
          </cell>
          <cell r="H1223">
            <v>0</v>
          </cell>
          <cell r="I1223">
            <v>0</v>
          </cell>
          <cell r="N1223" t="str">
            <v/>
          </cell>
        </row>
        <row r="1224">
          <cell r="A1224" t="str">
            <v>B1225</v>
          </cell>
          <cell r="B1224" t="str">
            <v>Batteries</v>
          </cell>
          <cell r="D1224" t="str">
            <v>Vaulta range 3-4 batts</v>
          </cell>
          <cell r="F1224" t="str">
            <v>MPN (Part #)</v>
          </cell>
          <cell r="G1224">
            <v>0</v>
          </cell>
          <cell r="H1224">
            <v>0</v>
          </cell>
          <cell r="I1224">
            <v>0</v>
          </cell>
          <cell r="N1224" t="str">
            <v/>
          </cell>
        </row>
        <row r="1225">
          <cell r="A1225" t="str">
            <v>B1226</v>
          </cell>
          <cell r="B1225" t="str">
            <v>Batteries</v>
          </cell>
          <cell r="D1225" t="str">
            <v>Vaulta range 3-4 batts</v>
          </cell>
          <cell r="F1225" t="str">
            <v>MPN (Part #)</v>
          </cell>
          <cell r="G1225">
            <v>0</v>
          </cell>
          <cell r="H1225">
            <v>0</v>
          </cell>
          <cell r="I1225">
            <v>0</v>
          </cell>
          <cell r="N1225" t="str">
            <v/>
          </cell>
        </row>
        <row r="1226">
          <cell r="A1226" t="str">
            <v>B1227</v>
          </cell>
          <cell r="B1226" t="str">
            <v>Batteries</v>
          </cell>
          <cell r="C1226" t="str">
            <v>GenZ</v>
          </cell>
          <cell r="D1226" t="str">
            <v>Lithium Battery Module 3KWh 24V 2RU</v>
          </cell>
          <cell r="E1226" t="str">
            <v>Genz-3KW-Lith-24</v>
          </cell>
          <cell r="F1226" t="str">
            <v>MPN (Part #)</v>
          </cell>
          <cell r="G1226">
            <v>3535.7000000000003</v>
          </cell>
          <cell r="H1226">
            <v>3214.3</v>
          </cell>
          <cell r="I1226">
            <v>0</v>
          </cell>
          <cell r="J1226">
            <v>35</v>
          </cell>
          <cell r="K1226">
            <v>57</v>
          </cell>
          <cell r="L1226">
            <v>42</v>
          </cell>
          <cell r="M1226">
            <v>9</v>
          </cell>
          <cell r="N1226" t="str">
            <v>6-Various</v>
          </cell>
        </row>
        <row r="1227">
          <cell r="A1227" t="str">
            <v>B1228</v>
          </cell>
          <cell r="B1227" t="str">
            <v>Electrical</v>
          </cell>
          <cell r="C1227" t="str">
            <v>DKSH</v>
          </cell>
          <cell r="D1227" t="str">
            <v>Solar Fuse Disconnector 1 pole, 1000V</v>
          </cell>
          <cell r="E1227">
            <v>85500</v>
          </cell>
          <cell r="F1227" t="str">
            <v>MPN (Part #)</v>
          </cell>
          <cell r="G1227">
            <v>9.2000000000000011</v>
          </cell>
          <cell r="H1227">
            <v>8.35</v>
          </cell>
          <cell r="I1227">
            <v>0</v>
          </cell>
          <cell r="N1227" t="str">
            <v>3-Tradezone</v>
          </cell>
        </row>
        <row r="1228">
          <cell r="A1228" t="str">
            <v>B1229</v>
          </cell>
          <cell r="B1228" t="str">
            <v>Electrical</v>
          </cell>
          <cell r="C1228" t="str">
            <v>NHP</v>
          </cell>
          <cell r="D1228" t="str">
            <v>MCB Enclosure Plastic 6Pole</v>
          </cell>
          <cell r="E1228" t="str">
            <v>DTPC6</v>
          </cell>
          <cell r="F1228" t="str">
            <v>MPN (Part #)</v>
          </cell>
          <cell r="G1228">
            <v>41.050000000000004</v>
          </cell>
          <cell r="H1228">
            <v>37.35</v>
          </cell>
          <cell r="I1228">
            <v>0</v>
          </cell>
          <cell r="N1228" t="str">
            <v>3-Tradezone</v>
          </cell>
        </row>
        <row r="1229">
          <cell r="A1229" t="str">
            <v>B1230</v>
          </cell>
          <cell r="B1229" t="str">
            <v>Fuses</v>
          </cell>
          <cell r="C1229" t="str">
            <v>DKSH</v>
          </cell>
          <cell r="D1229" t="str">
            <v>Solar Fuse 8 Amp GPV 10mm x 38mm</v>
          </cell>
          <cell r="E1229" t="str">
            <v>30F8PV</v>
          </cell>
          <cell r="F1229" t="str">
            <v>MPN (Part #)</v>
          </cell>
          <cell r="G1229">
            <v>15.65</v>
          </cell>
          <cell r="H1229">
            <v>14.25</v>
          </cell>
          <cell r="I1229">
            <v>0</v>
          </cell>
          <cell r="K1229">
            <v>3.8</v>
          </cell>
          <cell r="L1229">
            <v>1</v>
          </cell>
          <cell r="M1229">
            <v>1</v>
          </cell>
          <cell r="N1229" t="str">
            <v>3-Tradezone</v>
          </cell>
        </row>
        <row r="1230">
          <cell r="A1230" t="str">
            <v>B1231</v>
          </cell>
          <cell r="B1230" t="str">
            <v>Electrical</v>
          </cell>
          <cell r="C1230" t="str">
            <v>NHP</v>
          </cell>
          <cell r="D1230" t="str">
            <v>MCB Enclosure Plastic 4Pole</v>
          </cell>
          <cell r="E1230" t="str">
            <v>DTPC4</v>
          </cell>
          <cell r="F1230" t="str">
            <v>MPN (Part #)</v>
          </cell>
          <cell r="G1230">
            <v>20.650000000000002</v>
          </cell>
          <cell r="H1230">
            <v>18.75</v>
          </cell>
          <cell r="I1230">
            <v>0</v>
          </cell>
          <cell r="N1230" t="str">
            <v>3-Tradezone</v>
          </cell>
        </row>
        <row r="1231">
          <cell r="A1231" t="str">
            <v>B1232</v>
          </cell>
          <cell r="B1231" t="str">
            <v>Electrical</v>
          </cell>
          <cell r="C1231" t="str">
            <v>ABB</v>
          </cell>
          <cell r="D1231" t="str">
            <v>MCB 6A 1 Pole</v>
          </cell>
          <cell r="E1231" t="str">
            <v>SH201C6</v>
          </cell>
          <cell r="F1231" t="str">
            <v>MPN (Part #)</v>
          </cell>
          <cell r="G1231">
            <v>6.9</v>
          </cell>
          <cell r="H1231">
            <v>6.3000000000000007</v>
          </cell>
          <cell r="I1231">
            <v>0</v>
          </cell>
          <cell r="N1231" t="str">
            <v>3-Tradezone</v>
          </cell>
        </row>
        <row r="1232">
          <cell r="A1232" t="str">
            <v>B1233</v>
          </cell>
          <cell r="B1232" t="str">
            <v>Switches</v>
          </cell>
          <cell r="C1232" t="str">
            <v>Arcolectric</v>
          </cell>
          <cell r="D1232" t="str">
            <v>Rocker Switch 10A 250V  SPST, 20mm I/O</v>
          </cell>
          <cell r="E1232" t="str">
            <v>R13112AAAA</v>
          </cell>
          <cell r="F1232" t="str">
            <v>MPN (Part #)</v>
          </cell>
          <cell r="G1232">
            <v>6.5</v>
          </cell>
          <cell r="H1232">
            <v>5.9</v>
          </cell>
          <cell r="I1232">
            <v>0</v>
          </cell>
          <cell r="N1232" t="str">
            <v>6-Various</v>
          </cell>
        </row>
        <row r="1233">
          <cell r="A1233" t="str">
            <v>B1234</v>
          </cell>
          <cell r="B1233" t="str">
            <v>Monitoring</v>
          </cell>
          <cell r="C1233" t="str">
            <v>RSPro</v>
          </cell>
          <cell r="D1233" t="str">
            <v>Yellow Indicator, 48Vdc, 14mm Hole Size</v>
          </cell>
          <cell r="E1233" t="str">
            <v>208-172</v>
          </cell>
          <cell r="F1233" t="str">
            <v>MPN (Part #)</v>
          </cell>
          <cell r="G1233">
            <v>48.550000000000004</v>
          </cell>
          <cell r="H1233">
            <v>44.1</v>
          </cell>
          <cell r="I1233">
            <v>0</v>
          </cell>
          <cell r="N1233" t="str">
            <v>6-Various</v>
          </cell>
        </row>
        <row r="1234">
          <cell r="A1234" t="str">
            <v>B1235</v>
          </cell>
          <cell r="B1234" t="str">
            <v>Fuses</v>
          </cell>
          <cell r="C1234" t="str">
            <v>DC Solutions</v>
          </cell>
          <cell r="D1234" t="str">
            <v>NH1 100A fuse 440 Volts</v>
          </cell>
          <cell r="E1234" t="str">
            <v>FH01/100A</v>
          </cell>
          <cell r="F1234" t="str">
            <v>MPN (Part #)</v>
          </cell>
          <cell r="G1234">
            <v>15.200000000000001</v>
          </cell>
          <cell r="H1234">
            <v>13.8</v>
          </cell>
          <cell r="I1234">
            <v>0</v>
          </cell>
          <cell r="N1234" t="str">
            <v>3-Tradezone</v>
          </cell>
        </row>
        <row r="1235">
          <cell r="A1235" t="str">
            <v>B1236</v>
          </cell>
          <cell r="B1235" t="str">
            <v>Electrical</v>
          </cell>
          <cell r="C1235" t="str">
            <v>NETEC</v>
          </cell>
          <cell r="D1235" t="str">
            <v>Neutral Bar 250A 6 Pole, 225mm</v>
          </cell>
          <cell r="E1235" t="str">
            <v>NST250-06A-F</v>
          </cell>
          <cell r="F1235" t="str">
            <v>MPN (Part #)</v>
          </cell>
          <cell r="G1235">
            <v>69.100000000000009</v>
          </cell>
          <cell r="H1235">
            <v>62.800000000000004</v>
          </cell>
          <cell r="I1235">
            <v>0</v>
          </cell>
          <cell r="J1235">
            <v>0.8</v>
          </cell>
          <cell r="K1235">
            <v>22.5</v>
          </cell>
          <cell r="L1235">
            <v>2</v>
          </cell>
          <cell r="M1235">
            <v>2</v>
          </cell>
          <cell r="N1235" t="str">
            <v>6-Various</v>
          </cell>
        </row>
        <row r="1236">
          <cell r="A1236" t="str">
            <v>B1237</v>
          </cell>
          <cell r="B1236" t="str">
            <v>Electrical</v>
          </cell>
          <cell r="C1236" t="str">
            <v>Projecta</v>
          </cell>
          <cell r="D1236" t="str">
            <v>Battery Terminal BT59H-10 Type-A, 50-70mm2</v>
          </cell>
          <cell r="E1236" t="str">
            <v>BT59H-10</v>
          </cell>
          <cell r="F1236" t="str">
            <v>MPN (Part #)</v>
          </cell>
          <cell r="G1236">
            <v>10.9</v>
          </cell>
          <cell r="H1236">
            <v>9.9</v>
          </cell>
          <cell r="I1236">
            <v>0</v>
          </cell>
          <cell r="J1236">
            <v>0.35</v>
          </cell>
          <cell r="K1236">
            <v>8</v>
          </cell>
          <cell r="L1236">
            <v>3</v>
          </cell>
          <cell r="M1236">
            <v>1.5</v>
          </cell>
          <cell r="N1236" t="str">
            <v>6-Various</v>
          </cell>
        </row>
        <row r="1237">
          <cell r="A1237" t="str">
            <v>B1238</v>
          </cell>
          <cell r="B1237" t="str">
            <v>Solar Panels</v>
          </cell>
          <cell r="C1237" t="str">
            <v>Powerwave</v>
          </cell>
          <cell r="D1237" t="str">
            <v>Solar Mounting Rail 4.2m Std</v>
          </cell>
          <cell r="E1237" t="str">
            <v>4.2MRAIL</v>
          </cell>
          <cell r="F1237" t="str">
            <v>MPN (Part #)</v>
          </cell>
          <cell r="G1237">
            <v>34.200000000000003</v>
          </cell>
          <cell r="H1237">
            <v>31.1</v>
          </cell>
          <cell r="I1237">
            <v>0</v>
          </cell>
          <cell r="N1237" t="str">
            <v>3-Tradezone</v>
          </cell>
        </row>
        <row r="1238">
          <cell r="A1238" t="str">
            <v>B1239</v>
          </cell>
          <cell r="B1238" t="str">
            <v>Solar Panels</v>
          </cell>
          <cell r="C1238" t="str">
            <v>Powerwave</v>
          </cell>
          <cell r="D1238" t="str">
            <v xml:space="preserve">Solar Mounting Kit 6 Panel 35mm Tin </v>
          </cell>
          <cell r="E1238" t="str">
            <v>PW6P35&amp;40MMTIN</v>
          </cell>
          <cell r="F1238" t="str">
            <v>MPN (Part #)</v>
          </cell>
          <cell r="G1238">
            <v>50.400000000000006</v>
          </cell>
          <cell r="H1238">
            <v>45.800000000000004</v>
          </cell>
          <cell r="I1238">
            <v>0</v>
          </cell>
          <cell r="N1238" t="str">
            <v>3-Tradezone</v>
          </cell>
        </row>
        <row r="1239">
          <cell r="A1239" t="str">
            <v>B1240</v>
          </cell>
          <cell r="B1239" t="str">
            <v>Inverters</v>
          </cell>
          <cell r="C1239" t="str">
            <v>Fronius</v>
          </cell>
          <cell r="D1239" t="str">
            <v>Primo 5.0-1 SCERT - Selectronics Certified</v>
          </cell>
          <cell r="E1239" t="str">
            <v>SCERT-Primo-5.0-1</v>
          </cell>
          <cell r="F1239" t="str">
            <v>MPN (Part #)</v>
          </cell>
          <cell r="G1239">
            <v>3268.55</v>
          </cell>
          <cell r="H1239">
            <v>2971.4500000000003</v>
          </cell>
          <cell r="I1239">
            <v>0</v>
          </cell>
          <cell r="J1239">
            <v>21.5</v>
          </cell>
          <cell r="K1239">
            <v>64.5</v>
          </cell>
          <cell r="L1239">
            <v>43.1</v>
          </cell>
          <cell r="M1239">
            <v>20.399999999999999</v>
          </cell>
          <cell r="N1239" t="str">
            <v>2-Krannich</v>
          </cell>
        </row>
        <row r="1240">
          <cell r="A1240" t="str">
            <v>B1241</v>
          </cell>
          <cell r="B1240" t="str">
            <v>Inverters</v>
          </cell>
          <cell r="C1240" t="str">
            <v>Fronius</v>
          </cell>
          <cell r="D1240" t="str">
            <v>Primo 6.0-1 SCERT - Selectronics Certified</v>
          </cell>
          <cell r="E1240" t="str">
            <v>SCERT-Primo-6.0-1</v>
          </cell>
          <cell r="F1240" t="str">
            <v>MPN (Part #)</v>
          </cell>
          <cell r="G1240">
            <v>3732.15</v>
          </cell>
          <cell r="H1240">
            <v>3392.8500000000004</v>
          </cell>
          <cell r="I1240">
            <v>0</v>
          </cell>
          <cell r="J1240">
            <v>21.5</v>
          </cell>
          <cell r="K1240">
            <v>64.5</v>
          </cell>
          <cell r="L1240">
            <v>43.1</v>
          </cell>
          <cell r="M1240">
            <v>20.399999999999999</v>
          </cell>
          <cell r="N1240" t="str">
            <v>2-Krannich</v>
          </cell>
        </row>
        <row r="1241">
          <cell r="A1241" t="str">
            <v>B1242</v>
          </cell>
          <cell r="B1241" t="str">
            <v>Inverters</v>
          </cell>
          <cell r="C1241" t="str">
            <v>Fronius</v>
          </cell>
          <cell r="D1241" t="str">
            <v>Primo 8.0-1 SCERT - Selectronics Certified</v>
          </cell>
          <cell r="E1241" t="str">
            <v>SCERT-Primo-8.0-1</v>
          </cell>
          <cell r="F1241" t="str">
            <v>MPN (Part #)</v>
          </cell>
          <cell r="G1241">
            <v>4360.7</v>
          </cell>
          <cell r="H1241">
            <v>3964.3</v>
          </cell>
          <cell r="I1241">
            <v>0</v>
          </cell>
          <cell r="J1241">
            <v>21.5</v>
          </cell>
          <cell r="K1241">
            <v>64.5</v>
          </cell>
          <cell r="L1241">
            <v>43.1</v>
          </cell>
          <cell r="M1241">
            <v>20.399999999999999</v>
          </cell>
          <cell r="N1241" t="str">
            <v>2-Krannich</v>
          </cell>
        </row>
        <row r="1242">
          <cell r="A1242" t="str">
            <v>B1243</v>
          </cell>
          <cell r="B1242" t="str">
            <v>Control</v>
          </cell>
          <cell r="C1242" t="str">
            <v>Selectronic</v>
          </cell>
          <cell r="D1242" t="str">
            <v>Lead CAN RJ45-DB9 LM CS1022 stock code 005289</v>
          </cell>
          <cell r="E1242" t="str">
            <v>LM-CS1022</v>
          </cell>
          <cell r="F1242" t="str">
            <v>MPN (Part #)</v>
          </cell>
          <cell r="G1242">
            <v>50.75</v>
          </cell>
          <cell r="H1242">
            <v>46.150000000000006</v>
          </cell>
          <cell r="I1242">
            <v>0</v>
          </cell>
          <cell r="J1242">
            <v>0.3</v>
          </cell>
          <cell r="K1242">
            <v>10</v>
          </cell>
          <cell r="L1242">
            <v>10</v>
          </cell>
          <cell r="M1242">
            <v>2</v>
          </cell>
          <cell r="N1242" t="str">
            <v>2-Krannich</v>
          </cell>
        </row>
        <row r="1243">
          <cell r="A1243" t="str">
            <v>B1244</v>
          </cell>
          <cell r="B1243" t="str">
            <v>Fuses</v>
          </cell>
          <cell r="C1243" t="str">
            <v>DC Solutions</v>
          </cell>
          <cell r="D1243" t="str">
            <v>Fuse 125A NH00 250V DC HRC</v>
          </cell>
          <cell r="E1243" t="str">
            <v>FH00/125A</v>
          </cell>
          <cell r="F1243" t="str">
            <v>MPN (Part #)</v>
          </cell>
          <cell r="G1243">
            <v>6.9</v>
          </cell>
          <cell r="H1243">
            <v>6.3000000000000007</v>
          </cell>
          <cell r="I1243">
            <v>0</v>
          </cell>
          <cell r="N1243" t="str">
            <v>3-Tradezone</v>
          </cell>
        </row>
        <row r="1244">
          <cell r="A1244" t="str">
            <v>B1245</v>
          </cell>
          <cell r="B1244" t="str">
            <v>Batteries</v>
          </cell>
          <cell r="C1244" t="str">
            <v>Powerhouse</v>
          </cell>
          <cell r="D1244" t="str">
            <v>PowerHouse Lead-Carbon 12V 100Ah</v>
          </cell>
          <cell r="E1244" t="str">
            <v>BAT-PH+C12/100-AGM</v>
          </cell>
          <cell r="F1244" t="str">
            <v>MPN (Part #)</v>
          </cell>
          <cell r="G1244">
            <v>420.6</v>
          </cell>
          <cell r="H1244">
            <v>382.35</v>
          </cell>
          <cell r="I1244">
            <v>0</v>
          </cell>
          <cell r="J1244">
            <v>28</v>
          </cell>
          <cell r="K1244">
            <v>30.6</v>
          </cell>
          <cell r="L1244">
            <v>17</v>
          </cell>
          <cell r="M1244">
            <v>21.1</v>
          </cell>
          <cell r="N1244" t="str">
            <v>14-MHPower</v>
          </cell>
        </row>
        <row r="1245">
          <cell r="A1245" t="str">
            <v>B1246</v>
          </cell>
          <cell r="B1245" t="str">
            <v>Batteries</v>
          </cell>
          <cell r="C1245" t="str">
            <v>Powerhouse</v>
          </cell>
          <cell r="D1245" t="str">
            <v>PowerHouse Lead-Carbon 12V 120Ah</v>
          </cell>
          <cell r="E1245" t="str">
            <v>BAT-PH+C12/120-AGM</v>
          </cell>
          <cell r="F1245" t="str">
            <v>MPN (Part #)</v>
          </cell>
          <cell r="G1245">
            <v>469.1</v>
          </cell>
          <cell r="H1245">
            <v>426.45000000000005</v>
          </cell>
          <cell r="I1245">
            <v>0</v>
          </cell>
          <cell r="J1245">
            <v>32</v>
          </cell>
          <cell r="K1245">
            <v>33</v>
          </cell>
          <cell r="L1245">
            <v>17.100000000000001</v>
          </cell>
          <cell r="M1245">
            <v>21.6</v>
          </cell>
          <cell r="N1245" t="str">
            <v>14-MHPower</v>
          </cell>
        </row>
        <row r="1246">
          <cell r="A1246" t="str">
            <v>B1247</v>
          </cell>
          <cell r="B1246" t="str">
            <v>Batteries</v>
          </cell>
          <cell r="C1246" t="str">
            <v>Powerhouse</v>
          </cell>
          <cell r="D1246" t="str">
            <v>PowerHouse Lead-Carbon 12V 200Ah</v>
          </cell>
          <cell r="E1246" t="str">
            <v>BAT-PH+C12/200-AGM</v>
          </cell>
          <cell r="F1246" t="str">
            <v>MPN (Part #)</v>
          </cell>
          <cell r="G1246">
            <v>809.25</v>
          </cell>
          <cell r="H1246">
            <v>735.65000000000009</v>
          </cell>
          <cell r="I1246">
            <v>0</v>
          </cell>
          <cell r="J1246">
            <v>61</v>
          </cell>
          <cell r="K1246">
            <v>52.2</v>
          </cell>
          <cell r="L1246">
            <v>24</v>
          </cell>
          <cell r="M1246">
            <v>22</v>
          </cell>
          <cell r="N1246" t="str">
            <v>14-MHPower</v>
          </cell>
        </row>
        <row r="1247">
          <cell r="A1247" t="str">
            <v>B1248</v>
          </cell>
          <cell r="B1247" t="str">
            <v>Electrical</v>
          </cell>
          <cell r="C1247" t="str">
            <v>Cabacc</v>
          </cell>
          <cell r="D1247" t="str">
            <v>Lug link sleeve 25mm2</v>
          </cell>
          <cell r="E1247" t="str">
            <v>ALCLK25/25</v>
          </cell>
          <cell r="F1247" t="str">
            <v>MPN (Part #)</v>
          </cell>
          <cell r="G1247">
            <v>76.100000000000009</v>
          </cell>
          <cell r="H1247">
            <v>69.2</v>
          </cell>
          <cell r="I1247">
            <v>0</v>
          </cell>
          <cell r="N1247" t="str">
            <v>3-Tradezone</v>
          </cell>
        </row>
        <row r="1248">
          <cell r="A1248" t="str">
            <v>B1249</v>
          </cell>
          <cell r="B1248" t="str">
            <v>Electrical</v>
          </cell>
          <cell r="C1248" t="str">
            <v>Wattmaster</v>
          </cell>
          <cell r="D1248" t="str">
            <v>Lug link sleeve 50mm2</v>
          </cell>
          <cell r="E1248" t="str">
            <v>ALCLK50/25</v>
          </cell>
          <cell r="F1248" t="str">
            <v>MPN (Part #)</v>
          </cell>
          <cell r="G1248">
            <v>53.85</v>
          </cell>
          <cell r="H1248">
            <v>48.95</v>
          </cell>
          <cell r="I1248">
            <v>0</v>
          </cell>
          <cell r="N1248" t="str">
            <v>3-Tradezone</v>
          </cell>
        </row>
        <row r="1249">
          <cell r="A1249" t="str">
            <v>B1250</v>
          </cell>
          <cell r="B1249" t="str">
            <v>Hardware</v>
          </cell>
          <cell r="C1249" t="str">
            <v>Konnect</v>
          </cell>
          <cell r="D1249" t="str">
            <v>Battery Cap M6 Black plastic domed</v>
          </cell>
          <cell r="E1249" t="str">
            <v>Cap-M6</v>
          </cell>
          <cell r="F1249" t="str">
            <v>MPN (Part #)</v>
          </cell>
          <cell r="G1249">
            <v>0.25</v>
          </cell>
          <cell r="H1249">
            <v>0.2</v>
          </cell>
          <cell r="I1249">
            <v>0</v>
          </cell>
          <cell r="N1249" t="str">
            <v>6-Various</v>
          </cell>
        </row>
        <row r="1250">
          <cell r="A1250" t="str">
            <v>B1251</v>
          </cell>
          <cell r="B1250" t="str">
            <v>Hardware</v>
          </cell>
          <cell r="C1250" t="str">
            <v>Konnect</v>
          </cell>
          <cell r="D1250" t="str">
            <v>Battery Cap M8 Black plastic domed</v>
          </cell>
          <cell r="E1250" t="str">
            <v>Cap-M8</v>
          </cell>
          <cell r="F1250" t="str">
            <v>MPN (Part #)</v>
          </cell>
          <cell r="G1250">
            <v>0.25</v>
          </cell>
          <cell r="H1250">
            <v>0.25</v>
          </cell>
          <cell r="I1250">
            <v>0</v>
          </cell>
          <cell r="N1250" t="str">
            <v>6-Various</v>
          </cell>
        </row>
        <row r="1251">
          <cell r="A1251" t="str">
            <v>B1252</v>
          </cell>
          <cell r="B1251" t="str">
            <v>Enclosures</v>
          </cell>
          <cell r="C1251" t="str">
            <v>IP Enclosures</v>
          </cell>
          <cell r="D1251" t="str">
            <v>Enclosure 1000H x 800W x 400D Steel Powdercoated</v>
          </cell>
          <cell r="E1251" t="str">
            <v>IP-1008040</v>
          </cell>
          <cell r="F1251" t="str">
            <v>MPN (Part #)</v>
          </cell>
          <cell r="G1251">
            <v>929.80000000000007</v>
          </cell>
          <cell r="H1251">
            <v>845.30000000000007</v>
          </cell>
          <cell r="I1251">
            <v>0</v>
          </cell>
          <cell r="J1251">
            <v>46</v>
          </cell>
          <cell r="K1251">
            <v>80</v>
          </cell>
          <cell r="L1251">
            <v>40</v>
          </cell>
          <cell r="M1251">
            <v>100</v>
          </cell>
          <cell r="N1251" t="str">
            <v>6-Various</v>
          </cell>
        </row>
        <row r="1252">
          <cell r="A1252" t="str">
            <v>B1253</v>
          </cell>
          <cell r="B1252" t="str">
            <v>Batteries</v>
          </cell>
          <cell r="C1252" t="str">
            <v>GenZ</v>
          </cell>
          <cell r="D1252" t="str">
            <v>Lithium Battery Module 3KWh 48V 2RU</v>
          </cell>
          <cell r="E1252" t="str">
            <v>Genz-3KW-Lith-48</v>
          </cell>
          <cell r="F1252" t="str">
            <v>MPN (Part #)</v>
          </cell>
          <cell r="G1252">
            <v>3064.3</v>
          </cell>
          <cell r="H1252">
            <v>2785.7000000000003</v>
          </cell>
          <cell r="I1252">
            <v>0</v>
          </cell>
          <cell r="J1252">
            <v>35</v>
          </cell>
          <cell r="K1252">
            <v>57</v>
          </cell>
          <cell r="L1252">
            <v>42</v>
          </cell>
          <cell r="M1252">
            <v>9</v>
          </cell>
          <cell r="N1252" t="str">
            <v>6-Various</v>
          </cell>
        </row>
        <row r="1253">
          <cell r="A1253" t="str">
            <v>B1254</v>
          </cell>
          <cell r="B1253" t="str">
            <v>Signage-Labels-Documents</v>
          </cell>
          <cell r="C1253" t="str">
            <v>AJ Burrows</v>
          </cell>
          <cell r="D1253" t="str">
            <v>Ring Binder A5 25mm Black</v>
          </cell>
          <cell r="E1253" t="str">
            <v>Binder-4-25-Bl</v>
          </cell>
          <cell r="F1253" t="str">
            <v>MPN (Part #)</v>
          </cell>
          <cell r="G1253">
            <v>9.2000000000000011</v>
          </cell>
          <cell r="H1253">
            <v>8.4</v>
          </cell>
          <cell r="I1253">
            <v>0</v>
          </cell>
          <cell r="N1253" t="str">
            <v>6-Various</v>
          </cell>
        </row>
        <row r="1254">
          <cell r="A1254" t="str">
            <v>B1255</v>
          </cell>
          <cell r="B1254" t="str">
            <v>Signage-Labels-Documents</v>
          </cell>
          <cell r="C1254" t="str">
            <v>Margin</v>
          </cell>
          <cell r="D1254" t="str">
            <v>Sheet protector A4 Medium Weight</v>
          </cell>
          <cell r="E1254" t="str">
            <v>Sleeve-A4-M</v>
          </cell>
          <cell r="F1254" t="str">
            <v>MPN (Part #)</v>
          </cell>
          <cell r="G1254">
            <v>0.15000000000000002</v>
          </cell>
          <cell r="H1254">
            <v>0.15000000000000002</v>
          </cell>
          <cell r="I1254">
            <v>0</v>
          </cell>
          <cell r="N1254" t="str">
            <v>6-Various</v>
          </cell>
        </row>
        <row r="1255">
          <cell r="A1255" t="str">
            <v>B1256</v>
          </cell>
          <cell r="B1255" t="str">
            <v>Signage-Labels-Documents</v>
          </cell>
          <cell r="C1255" t="str">
            <v>Margin</v>
          </cell>
          <cell r="D1255" t="str">
            <v>Sheet protector A5 Medium Weight</v>
          </cell>
          <cell r="E1255" t="str">
            <v>Sleeve-A5-M</v>
          </cell>
          <cell r="F1255" t="str">
            <v>MPN (Part #)</v>
          </cell>
          <cell r="G1255">
            <v>0.15000000000000002</v>
          </cell>
          <cell r="H1255">
            <v>0.15000000000000002</v>
          </cell>
          <cell r="I1255">
            <v>0</v>
          </cell>
          <cell r="N1255" t="str">
            <v>6-Various</v>
          </cell>
        </row>
        <row r="1256">
          <cell r="A1256" t="str">
            <v>B1257</v>
          </cell>
          <cell r="B1256" t="str">
            <v>Electrical</v>
          </cell>
          <cell r="C1256" t="str">
            <v>NETEC</v>
          </cell>
          <cell r="D1256" t="str">
            <v>Neutral Bar 250A 2 Pole, 35mm2 Tunnels, 140mm</v>
          </cell>
          <cell r="E1256" t="str">
            <v>NE250A-M006X</v>
          </cell>
          <cell r="F1256" t="str">
            <v>MPN (Part #)</v>
          </cell>
          <cell r="G1256">
            <v>31.400000000000002</v>
          </cell>
          <cell r="H1256">
            <v>28.55</v>
          </cell>
          <cell r="I1256">
            <v>0</v>
          </cell>
          <cell r="J1256">
            <v>0.6</v>
          </cell>
          <cell r="K1256">
            <v>13.2</v>
          </cell>
          <cell r="L1256">
            <v>2</v>
          </cell>
          <cell r="M1256">
            <v>2</v>
          </cell>
          <cell r="N1256" t="str">
            <v>6-Various</v>
          </cell>
        </row>
        <row r="1257">
          <cell r="A1257" t="str">
            <v>B1258</v>
          </cell>
          <cell r="B1257" t="str">
            <v>Solar Panels</v>
          </cell>
          <cell r="C1257" t="str">
            <v>Trina</v>
          </cell>
          <cell r="D1257" t="str">
            <v xml:space="preserve">Solar Panel 370W Mono </v>
          </cell>
          <cell r="E1257" t="str">
            <v>TSM-370DD08M</v>
          </cell>
          <cell r="F1257" t="str">
            <v>MPN (Part #)</v>
          </cell>
          <cell r="G1257">
            <v>269.35000000000002</v>
          </cell>
          <cell r="H1257">
            <v>244.85000000000002</v>
          </cell>
          <cell r="I1257">
            <v>0</v>
          </cell>
          <cell r="J1257">
            <v>20</v>
          </cell>
          <cell r="K1257">
            <v>170</v>
          </cell>
          <cell r="L1257">
            <v>100</v>
          </cell>
          <cell r="M1257">
            <v>4</v>
          </cell>
          <cell r="N1257" t="str">
            <v>3-Tradezone</v>
          </cell>
        </row>
        <row r="1258">
          <cell r="A1258" t="str">
            <v>B1259</v>
          </cell>
          <cell r="B1258" t="str">
            <v>Enclosures</v>
          </cell>
          <cell r="C1258" t="str">
            <v>IP Enclosures</v>
          </cell>
          <cell r="D1258" t="str">
            <v>Enclosure 800H x 800W x 400D Steel Powdercoated</v>
          </cell>
          <cell r="E1258" t="str">
            <v>IP808040</v>
          </cell>
          <cell r="F1258" t="str">
            <v>MPN (Part #)</v>
          </cell>
          <cell r="G1258">
            <v>869</v>
          </cell>
          <cell r="H1258">
            <v>790</v>
          </cell>
          <cell r="I1258">
            <v>0</v>
          </cell>
          <cell r="J1258">
            <v>38.5</v>
          </cell>
          <cell r="K1258">
            <v>80</v>
          </cell>
          <cell r="L1258">
            <v>40</v>
          </cell>
          <cell r="M1258">
            <v>80</v>
          </cell>
          <cell r="N1258" t="str">
            <v>6-Various</v>
          </cell>
        </row>
        <row r="1259">
          <cell r="A1259" t="str">
            <v>B1260</v>
          </cell>
          <cell r="B1259" t="str">
            <v>Enclosures</v>
          </cell>
          <cell r="C1259" t="str">
            <v>IP Enclosures</v>
          </cell>
          <cell r="D1259" t="str">
            <v>Enclosure 1000H x 800W x 300D Steel Powdercoated</v>
          </cell>
          <cell r="E1259" t="str">
            <v>IP1008030</v>
          </cell>
          <cell r="F1259" t="str">
            <v>MPN (Part #)</v>
          </cell>
          <cell r="G1259">
            <v>781.45</v>
          </cell>
          <cell r="H1259">
            <v>710.40000000000009</v>
          </cell>
          <cell r="I1259">
            <v>0</v>
          </cell>
          <cell r="J1259">
            <v>43</v>
          </cell>
          <cell r="K1259">
            <v>80</v>
          </cell>
          <cell r="L1259">
            <v>30</v>
          </cell>
          <cell r="M1259">
            <v>100</v>
          </cell>
          <cell r="N1259" t="str">
            <v>3-Tradezone</v>
          </cell>
        </row>
        <row r="1260">
          <cell r="A1260" t="str">
            <v>B1261</v>
          </cell>
          <cell r="B1260" t="str">
            <v>Inverters</v>
          </cell>
          <cell r="C1260" t="str">
            <v>Fronius</v>
          </cell>
          <cell r="D1260" t="str">
            <v>Primo 3.0-1 SCERT - Selectronics Certified</v>
          </cell>
          <cell r="E1260" t="str">
            <v>SCERT-Primo-3.0-1</v>
          </cell>
          <cell r="F1260" t="str">
            <v>MPN (Part #)</v>
          </cell>
          <cell r="G1260">
            <v>2632.15</v>
          </cell>
          <cell r="H1260">
            <v>2392.85</v>
          </cell>
          <cell r="I1260">
            <v>0</v>
          </cell>
          <cell r="N1260" t="str">
            <v>2-Krannich</v>
          </cell>
        </row>
        <row r="1261">
          <cell r="A1261" t="str">
            <v>B1262</v>
          </cell>
          <cell r="B1261" t="str">
            <v>Inverters</v>
          </cell>
          <cell r="C1261" t="str">
            <v>Fronius</v>
          </cell>
          <cell r="D1261" t="str">
            <v>Primo 4.0-1 SCERT - Selectronics Certified</v>
          </cell>
          <cell r="E1261" t="str">
            <v>SCERT-Primo-4.0-1</v>
          </cell>
          <cell r="F1261" t="str">
            <v>MPN (Part #)</v>
          </cell>
          <cell r="G1261">
            <v>2984.15</v>
          </cell>
          <cell r="H1261">
            <v>2712.8500000000004</v>
          </cell>
          <cell r="I1261">
            <v>0</v>
          </cell>
          <cell r="N1261" t="str">
            <v>2-Krannich</v>
          </cell>
        </row>
        <row r="1262">
          <cell r="A1262" t="str">
            <v>B1263</v>
          </cell>
          <cell r="B1262" t="str">
            <v>Electrical</v>
          </cell>
          <cell r="C1262" t="str">
            <v>Victron</v>
          </cell>
          <cell r="D1262" t="str">
            <v>Shunt 500A/50mV (spare part)</v>
          </cell>
          <cell r="E1262" t="str">
            <v>SHU500050100</v>
          </cell>
          <cell r="F1262" t="str">
            <v>MPN (Part #)</v>
          </cell>
          <cell r="G1262">
            <v>0</v>
          </cell>
          <cell r="H1262">
            <v>0</v>
          </cell>
          <cell r="I1262">
            <v>0</v>
          </cell>
          <cell r="N1262" t="str">
            <v>1-Victron</v>
          </cell>
        </row>
        <row r="1263">
          <cell r="A1263" t="str">
            <v>B1264</v>
          </cell>
          <cell r="B1263" t="str">
            <v>Electrical</v>
          </cell>
          <cell r="C1263" t="str">
            <v>Victron</v>
          </cell>
          <cell r="D1263" t="str">
            <v>Shunt 1000A/50mV</v>
          </cell>
          <cell r="E1263" t="str">
            <v>SHU102050200</v>
          </cell>
          <cell r="F1263" t="str">
            <v>MPN (Part #)</v>
          </cell>
          <cell r="G1263">
            <v>0</v>
          </cell>
          <cell r="H1263">
            <v>0</v>
          </cell>
          <cell r="I1263">
            <v>0</v>
          </cell>
          <cell r="N1263" t="str">
            <v>1-Victron</v>
          </cell>
        </row>
        <row r="1264">
          <cell r="A1264" t="str">
            <v>B1265</v>
          </cell>
          <cell r="B1264" t="str">
            <v>Electrical</v>
          </cell>
          <cell r="C1264" t="str">
            <v>Victron</v>
          </cell>
          <cell r="D1264" t="str">
            <v>Shunt 2000A/50mV</v>
          </cell>
          <cell r="E1264" t="str">
            <v>SHU202050200</v>
          </cell>
          <cell r="F1264" t="str">
            <v>MPN (Part #)</v>
          </cell>
          <cell r="G1264">
            <v>0</v>
          </cell>
          <cell r="H1264">
            <v>0</v>
          </cell>
          <cell r="I1264">
            <v>0</v>
          </cell>
          <cell r="N1264" t="str">
            <v>1-Victron</v>
          </cell>
        </row>
        <row r="1265">
          <cell r="A1265" t="str">
            <v>B1266</v>
          </cell>
          <cell r="B1265" t="str">
            <v>Electrical</v>
          </cell>
          <cell r="C1265" t="str">
            <v>Victron</v>
          </cell>
          <cell r="D1265" t="str">
            <v>Shunt 6000A/50mV</v>
          </cell>
          <cell r="E1265" t="str">
            <v>SHU602050200</v>
          </cell>
          <cell r="F1265" t="str">
            <v>MPN (Part #)</v>
          </cell>
          <cell r="G1265">
            <v>0</v>
          </cell>
          <cell r="H1265">
            <v>0</v>
          </cell>
          <cell r="I1265">
            <v>0</v>
          </cell>
          <cell r="N1265" t="str">
            <v>1-Victron</v>
          </cell>
        </row>
        <row r="1266">
          <cell r="A1266" t="str">
            <v>B1267</v>
          </cell>
          <cell r="B1266" t="str">
            <v>Electrical</v>
          </cell>
          <cell r="C1266" t="str">
            <v>B&amp;R</v>
          </cell>
          <cell r="D1266" t="str">
            <v>Link Bar 35mm2 max, 10 pole 100A, Covered (black)</v>
          </cell>
          <cell r="E1266" t="str">
            <v>LK10B35</v>
          </cell>
          <cell r="F1266" t="str">
            <v>MPN (Part #)</v>
          </cell>
          <cell r="G1266">
            <v>21.05</v>
          </cell>
          <cell r="H1266">
            <v>19.150000000000002</v>
          </cell>
          <cell r="I1266">
            <v>0</v>
          </cell>
          <cell r="N1266" t="str">
            <v>3-Tradezone</v>
          </cell>
        </row>
        <row r="1267">
          <cell r="A1267" t="str">
            <v>B1268</v>
          </cell>
          <cell r="B1267" t="str">
            <v>Electrical</v>
          </cell>
          <cell r="C1267" t="str">
            <v>B&amp;R</v>
          </cell>
          <cell r="D1267" t="str">
            <v>Link Bar 35mm2 max, 10 pole 100A, Covered (red)</v>
          </cell>
          <cell r="E1267" t="str">
            <v>LK10R35</v>
          </cell>
          <cell r="F1267" t="str">
            <v>MPN (Part #)</v>
          </cell>
          <cell r="G1267">
            <v>21.05</v>
          </cell>
          <cell r="H1267">
            <v>19.150000000000002</v>
          </cell>
          <cell r="I1267">
            <v>0</v>
          </cell>
          <cell r="N1267" t="str">
            <v>3-Tradezone</v>
          </cell>
        </row>
        <row r="1268">
          <cell r="A1268" t="str">
            <v>B1269</v>
          </cell>
          <cell r="B1268" t="str">
            <v>Signage-Labels-Documents</v>
          </cell>
          <cell r="C1268" t="str">
            <v>Aussie-Solar-Labels</v>
          </cell>
          <cell r="D1268" t="str">
            <v>Sign "ES" 100mm Dia, "UN2800" Green Reflective</v>
          </cell>
          <cell r="E1268" t="str">
            <v>Sign-ES-100-2800</v>
          </cell>
          <cell r="F1268" t="str">
            <v>MPN (Part #)</v>
          </cell>
          <cell r="G1268">
            <v>4.45</v>
          </cell>
          <cell r="H1268">
            <v>4.05</v>
          </cell>
          <cell r="I1268">
            <v>0</v>
          </cell>
          <cell r="N1268" t="str">
            <v>6-Various</v>
          </cell>
        </row>
        <row r="1269">
          <cell r="A1269" t="str">
            <v>B1270</v>
          </cell>
          <cell r="B1269" t="str">
            <v>Enclosures</v>
          </cell>
          <cell r="C1269" t="str">
            <v>IP Enclosures</v>
          </cell>
          <cell r="D1269" t="str">
            <v>Enclosure 800H x 600W x 400D Steel Powdercoated</v>
          </cell>
          <cell r="E1269" t="str">
            <v>IP-806040</v>
          </cell>
          <cell r="F1269" t="str">
            <v>MPN (Part #)</v>
          </cell>
          <cell r="G1269">
            <v>580.45000000000005</v>
          </cell>
          <cell r="H1269">
            <v>527.65</v>
          </cell>
          <cell r="I1269">
            <v>0</v>
          </cell>
          <cell r="N1269" t="str">
            <v>6-Various</v>
          </cell>
        </row>
        <row r="1270">
          <cell r="A1270" t="str">
            <v>B1271</v>
          </cell>
          <cell r="B1270" t="str">
            <v>Cables</v>
          </cell>
          <cell r="C1270" t="str">
            <v>Madison</v>
          </cell>
          <cell r="D1270" t="str">
            <v>RJ45 UTP Cable 1.5 m</v>
          </cell>
          <cell r="E1270" t="str">
            <v>MT6L45451.5BEA</v>
          </cell>
          <cell r="F1270" t="str">
            <v>MPN (Part #)</v>
          </cell>
          <cell r="G1270">
            <v>4.3500000000000005</v>
          </cell>
          <cell r="H1270">
            <v>3.95</v>
          </cell>
          <cell r="I1270">
            <v>0</v>
          </cell>
          <cell r="N1270" t="str">
            <v>3-Tradezone</v>
          </cell>
        </row>
        <row r="1271">
          <cell r="A1271" t="str">
            <v>B1272</v>
          </cell>
          <cell r="B1271" t="str">
            <v>Inverters</v>
          </cell>
          <cell r="C1271" t="str">
            <v>Fronius</v>
          </cell>
          <cell r="D1271" t="str">
            <v>Symo 12.5kW Grid 3Ph Inverter</v>
          </cell>
          <cell r="E1271" t="str">
            <v>Symo-12.5-3-M</v>
          </cell>
          <cell r="F1271" t="str">
            <v>MPN (Part #)</v>
          </cell>
          <cell r="G1271">
            <v>4712.7</v>
          </cell>
          <cell r="H1271">
            <v>4284.3</v>
          </cell>
          <cell r="I1271">
            <v>0</v>
          </cell>
          <cell r="J1271">
            <v>34.799999999999997</v>
          </cell>
          <cell r="K1271">
            <v>72.5</v>
          </cell>
          <cell r="L1271">
            <v>5.0999999999999996</v>
          </cell>
          <cell r="M1271">
            <v>22.5</v>
          </cell>
          <cell r="N1271" t="str">
            <v>2-Krannich</v>
          </cell>
        </row>
        <row r="1272">
          <cell r="A1272" t="str">
            <v>B1273</v>
          </cell>
          <cell r="B1272" t="str">
            <v>Fuses</v>
          </cell>
          <cell r="C1272" t="str">
            <v>OEZ</v>
          </cell>
          <cell r="D1272" t="str">
            <v>Fuse disconnector NH2 3 pole</v>
          </cell>
          <cell r="E1272" t="str">
            <v>FH2-3A/F-SWE</v>
          </cell>
          <cell r="F1272" t="str">
            <v>MPN (Part #)</v>
          </cell>
          <cell r="G1272">
            <v>0</v>
          </cell>
          <cell r="H1272">
            <v>0</v>
          </cell>
          <cell r="I1272">
            <v>0</v>
          </cell>
          <cell r="N1272" t="str">
            <v>1-Victron</v>
          </cell>
        </row>
        <row r="1273">
          <cell r="A1273" t="str">
            <v>B1274</v>
          </cell>
          <cell r="B1273" t="str">
            <v>Batteries</v>
          </cell>
          <cell r="C1273" t="str">
            <v>Fusion</v>
          </cell>
          <cell r="D1273" t="str">
            <v xml:space="preserve">AGM 700Ah Solar Battery 2V Module </v>
          </cell>
          <cell r="E1273" t="str">
            <v>CBS2V230AH</v>
          </cell>
          <cell r="F1273" t="str">
            <v>MPN (Part #)</v>
          </cell>
          <cell r="G1273">
            <v>440.8</v>
          </cell>
          <cell r="H1273">
            <v>400.70000000000005</v>
          </cell>
          <cell r="I1273">
            <v>0</v>
          </cell>
          <cell r="N1273" t="str">
            <v>8-Batteries</v>
          </cell>
        </row>
        <row r="1274">
          <cell r="A1274" t="str">
            <v>B1275</v>
          </cell>
          <cell r="B1274" t="str">
            <v>Batteries</v>
          </cell>
          <cell r="C1274" t="str">
            <v>Fusion</v>
          </cell>
          <cell r="D1274" t="str">
            <v xml:space="preserve">AGM 900Ah Solar Battery 2V Module </v>
          </cell>
          <cell r="E1274" t="str">
            <v>CBS2V285AH</v>
          </cell>
          <cell r="F1274" t="str">
            <v>MPN (Part #)</v>
          </cell>
          <cell r="G1274">
            <v>442.40000000000003</v>
          </cell>
          <cell r="H1274">
            <v>402.20000000000005</v>
          </cell>
          <cell r="I1274">
            <v>0</v>
          </cell>
          <cell r="N1274" t="str">
            <v>8-Batteries</v>
          </cell>
        </row>
        <row r="1275">
          <cell r="A1275" t="str">
            <v>B1276</v>
          </cell>
          <cell r="B1275" t="str">
            <v>Batteries</v>
          </cell>
          <cell r="C1275" t="str">
            <v>Fusion</v>
          </cell>
          <cell r="D1275" t="str">
            <v xml:space="preserve">AGM 700Ah Solar Battery 2V Module </v>
          </cell>
          <cell r="E1275" t="str">
            <v>CBS2V350AH</v>
          </cell>
          <cell r="F1275" t="str">
            <v>MPN (Part #)</v>
          </cell>
          <cell r="G1275">
            <v>444</v>
          </cell>
          <cell r="H1275">
            <v>403.65000000000003</v>
          </cell>
          <cell r="I1275">
            <v>0</v>
          </cell>
          <cell r="N1275" t="str">
            <v>8-Batteries</v>
          </cell>
        </row>
        <row r="1276">
          <cell r="A1276" t="str">
            <v>B1277</v>
          </cell>
          <cell r="B1276" t="str">
            <v>Batteries</v>
          </cell>
          <cell r="C1276" t="str">
            <v>Fusion</v>
          </cell>
          <cell r="D1276" t="str">
            <v xml:space="preserve">AGM 900Ah Solar Battery 2V Module </v>
          </cell>
          <cell r="E1276" t="str">
            <v>CBS2V450AH</v>
          </cell>
          <cell r="F1276" t="str">
            <v>MPN (Part #)</v>
          </cell>
          <cell r="G1276">
            <v>445.65000000000003</v>
          </cell>
          <cell r="H1276">
            <v>405.1</v>
          </cell>
          <cell r="I1276">
            <v>0</v>
          </cell>
          <cell r="N1276" t="str">
            <v>8-Batteries</v>
          </cell>
        </row>
        <row r="1277">
          <cell r="A1277" t="str">
            <v>B1278</v>
          </cell>
          <cell r="B1277" t="str">
            <v>Batteries</v>
          </cell>
          <cell r="C1277" t="str">
            <v>Fusion</v>
          </cell>
          <cell r="D1277" t="str">
            <v xml:space="preserve">AGM 700Ah Solar Battery 2V Module </v>
          </cell>
          <cell r="E1277" t="str">
            <v>CBS2V500AH</v>
          </cell>
          <cell r="F1277" t="str">
            <v>MPN (Part #)</v>
          </cell>
          <cell r="G1277">
            <v>447.25</v>
          </cell>
          <cell r="H1277">
            <v>406.6</v>
          </cell>
          <cell r="I1277">
            <v>0</v>
          </cell>
          <cell r="N1277" t="str">
            <v>8-Batteries</v>
          </cell>
        </row>
        <row r="1278">
          <cell r="A1278" t="str">
            <v>B1279</v>
          </cell>
          <cell r="B1278" t="str">
            <v>Batteries</v>
          </cell>
          <cell r="C1278" t="str">
            <v>Fusion</v>
          </cell>
          <cell r="D1278" t="str">
            <v xml:space="preserve">AGM 550Ah Solar Battery 2V Module </v>
          </cell>
          <cell r="E1278" t="str">
            <v>CBS2V550AH</v>
          </cell>
          <cell r="F1278" t="str">
            <v>MPN (Part #)</v>
          </cell>
          <cell r="G1278">
            <v>448.85</v>
          </cell>
          <cell r="H1278">
            <v>408.05</v>
          </cell>
          <cell r="I1278">
            <v>0</v>
          </cell>
          <cell r="N1278" t="str">
            <v>8-Batteries</v>
          </cell>
        </row>
        <row r="1279">
          <cell r="A1279" t="str">
            <v>B1280</v>
          </cell>
          <cell r="B1279" t="str">
            <v>Batteries</v>
          </cell>
          <cell r="C1279" t="str">
            <v>Fusion</v>
          </cell>
          <cell r="D1279" t="str">
            <v xml:space="preserve">AGM 700Ah Solar Battery 2V Module </v>
          </cell>
          <cell r="E1279" t="str">
            <v>CBS2V700AH</v>
          </cell>
          <cell r="F1279" t="str">
            <v>MPN (Part #)</v>
          </cell>
          <cell r="G1279">
            <v>450.5</v>
          </cell>
          <cell r="H1279">
            <v>409.55</v>
          </cell>
          <cell r="I1279">
            <v>0</v>
          </cell>
          <cell r="N1279" t="str">
            <v>8-Batteries</v>
          </cell>
        </row>
        <row r="1280">
          <cell r="A1280" t="str">
            <v>B1281</v>
          </cell>
          <cell r="B1280" t="str">
            <v>Batteries</v>
          </cell>
          <cell r="C1280" t="str">
            <v>Fusion</v>
          </cell>
          <cell r="D1280" t="str">
            <v xml:space="preserve">AGM 900Ah Solar Battery 2V Module </v>
          </cell>
          <cell r="E1280" t="str">
            <v>CBS2V900AH</v>
          </cell>
          <cell r="F1280" t="str">
            <v>MPN (Part #)</v>
          </cell>
          <cell r="G1280">
            <v>615.55000000000007</v>
          </cell>
          <cell r="H1280">
            <v>559.55000000000007</v>
          </cell>
          <cell r="I1280">
            <v>0</v>
          </cell>
          <cell r="N1280" t="str">
            <v>8-Batteries</v>
          </cell>
        </row>
        <row r="1281">
          <cell r="A1281" t="str">
            <v>B1282</v>
          </cell>
          <cell r="B1281" t="str">
            <v>Batteries</v>
          </cell>
          <cell r="C1281" t="str">
            <v>Fusion</v>
          </cell>
          <cell r="D1281" t="str">
            <v xml:space="preserve">AGM 1100Ah Solar Battery 2V Module </v>
          </cell>
          <cell r="E1281" t="str">
            <v>CBS2V1100AH</v>
          </cell>
          <cell r="F1281" t="str">
            <v>MPN (Part #)</v>
          </cell>
          <cell r="G1281">
            <v>740.30000000000007</v>
          </cell>
          <cell r="H1281">
            <v>673</v>
          </cell>
          <cell r="I1281">
            <v>0</v>
          </cell>
          <cell r="N1281" t="str">
            <v>8-Batteries</v>
          </cell>
        </row>
        <row r="1282">
          <cell r="A1282" t="str">
            <v>B1283</v>
          </cell>
          <cell r="B1282" t="str">
            <v>Batteries</v>
          </cell>
          <cell r="C1282" t="str">
            <v>Fusion</v>
          </cell>
          <cell r="D1282" t="str">
            <v xml:space="preserve">AGM1350Ah Solar Battery 2V Module </v>
          </cell>
          <cell r="E1282" t="str">
            <v>CBS2V1350AH</v>
          </cell>
          <cell r="F1282" t="str">
            <v>MPN (Part #)</v>
          </cell>
          <cell r="G1282">
            <v>809.90000000000009</v>
          </cell>
          <cell r="H1282">
            <v>736.30000000000007</v>
          </cell>
          <cell r="I1282">
            <v>0</v>
          </cell>
          <cell r="N1282" t="str">
            <v>8-Batteries</v>
          </cell>
        </row>
        <row r="1283">
          <cell r="A1283" t="str">
            <v>B1284</v>
          </cell>
          <cell r="B1283" t="str">
            <v>Batteries</v>
          </cell>
          <cell r="C1283" t="str">
            <v>Fusion</v>
          </cell>
          <cell r="D1283" t="str">
            <v xml:space="preserve">AGM 1700Ah Solar Battery 2V Module </v>
          </cell>
          <cell r="E1283" t="str">
            <v>CBS2V1700AH</v>
          </cell>
          <cell r="F1283" t="str">
            <v>MPN (Part #)</v>
          </cell>
          <cell r="G1283">
            <v>1166.4000000000001</v>
          </cell>
          <cell r="H1283">
            <v>1060.3500000000001</v>
          </cell>
          <cell r="I1283">
            <v>0</v>
          </cell>
          <cell r="N1283" t="str">
            <v>8-Batteries</v>
          </cell>
        </row>
        <row r="1284">
          <cell r="A1284" t="str">
            <v>B1285</v>
          </cell>
          <cell r="B1284" t="str">
            <v>Batteries</v>
          </cell>
          <cell r="C1284" t="str">
            <v>Fusion</v>
          </cell>
          <cell r="D1284" t="str">
            <v xml:space="preserve">AGM 2800Ah Solar Battery 2V Module </v>
          </cell>
          <cell r="E1284" t="str">
            <v>CBS2V2800AH</v>
          </cell>
          <cell r="F1284" t="str">
            <v>MPN (Part #)</v>
          </cell>
          <cell r="G1284">
            <v>1628.3000000000002</v>
          </cell>
          <cell r="H1284">
            <v>1480.3000000000002</v>
          </cell>
          <cell r="I1284">
            <v>0</v>
          </cell>
          <cell r="N1284" t="str">
            <v>8-Batteries</v>
          </cell>
        </row>
        <row r="1285">
          <cell r="A1285" t="str">
            <v>B1286</v>
          </cell>
          <cell r="B1285" t="str">
            <v>Batteries</v>
          </cell>
          <cell r="C1285" t="str">
            <v>Fusion</v>
          </cell>
          <cell r="D1285" t="str">
            <v xml:space="preserve">AGM 3500Ah Solar Battery 2V Module </v>
          </cell>
          <cell r="E1285" t="str">
            <v>CBS2V3500AH</v>
          </cell>
          <cell r="F1285" t="str">
            <v>MPN (Part #)</v>
          </cell>
          <cell r="G1285">
            <v>2199.85</v>
          </cell>
          <cell r="H1285">
            <v>1999.8500000000001</v>
          </cell>
          <cell r="I1285">
            <v>0</v>
          </cell>
          <cell r="N1285" t="str">
            <v>8-Batteries</v>
          </cell>
        </row>
        <row r="1286">
          <cell r="A1286" t="str">
            <v>B1287</v>
          </cell>
          <cell r="B1286" t="str">
            <v>Batteries</v>
          </cell>
          <cell r="C1286" t="str">
            <v>Fusion</v>
          </cell>
          <cell r="D1286" t="str">
            <v xml:space="preserve">Gel 200Ah Solar Battery 2V Module </v>
          </cell>
          <cell r="E1286" t="str">
            <v>4OPzV200</v>
          </cell>
          <cell r="F1286" t="str">
            <v>MPN (Part #)</v>
          </cell>
          <cell r="G1286">
            <v>286.90000000000003</v>
          </cell>
          <cell r="H1286">
            <v>260.8</v>
          </cell>
          <cell r="I1286">
            <v>0</v>
          </cell>
          <cell r="N1286" t="str">
            <v>8-Batteries</v>
          </cell>
        </row>
        <row r="1287">
          <cell r="A1287" t="str">
            <v>B1288</v>
          </cell>
          <cell r="B1287" t="str">
            <v>Batteries</v>
          </cell>
          <cell r="C1287" t="str">
            <v>Fusion</v>
          </cell>
          <cell r="D1287" t="str">
            <v xml:space="preserve">Gel 250Ah Solar Battery 2V Module </v>
          </cell>
          <cell r="E1287" t="str">
            <v>5OPzV250</v>
          </cell>
          <cell r="F1287" t="str">
            <v>MPN (Part #)</v>
          </cell>
          <cell r="G1287">
            <v>332.90000000000003</v>
          </cell>
          <cell r="H1287">
            <v>302.65000000000003</v>
          </cell>
          <cell r="I1287">
            <v>0</v>
          </cell>
          <cell r="N1287" t="str">
            <v>8-Batteries</v>
          </cell>
        </row>
        <row r="1288">
          <cell r="A1288" t="str">
            <v>B1289</v>
          </cell>
          <cell r="B1288" t="str">
            <v>Batteries</v>
          </cell>
          <cell r="C1288" t="str">
            <v>Fusion</v>
          </cell>
          <cell r="D1288" t="str">
            <v xml:space="preserve">Gel 300Ah Solar Battery 2V Module </v>
          </cell>
          <cell r="E1288" t="str">
            <v>6OPzV300</v>
          </cell>
          <cell r="F1288" t="str">
            <v>MPN (Part #)</v>
          </cell>
          <cell r="G1288">
            <v>385.40000000000003</v>
          </cell>
          <cell r="H1288">
            <v>350.40000000000003</v>
          </cell>
          <cell r="I1288">
            <v>0</v>
          </cell>
          <cell r="N1288" t="str">
            <v>8-Batteries</v>
          </cell>
        </row>
        <row r="1289">
          <cell r="A1289" t="str">
            <v>B1290</v>
          </cell>
          <cell r="B1289" t="str">
            <v>Batteries</v>
          </cell>
          <cell r="C1289" t="str">
            <v>Fusion</v>
          </cell>
          <cell r="D1289" t="str">
            <v xml:space="preserve">Gel 350Ah Solar Battery 2V Module </v>
          </cell>
          <cell r="E1289" t="str">
            <v>5OPzV350</v>
          </cell>
          <cell r="F1289" t="str">
            <v>MPN (Part #)</v>
          </cell>
          <cell r="G1289">
            <v>424.70000000000005</v>
          </cell>
          <cell r="H1289">
            <v>386.1</v>
          </cell>
          <cell r="I1289">
            <v>0</v>
          </cell>
          <cell r="N1289" t="str">
            <v>8-Batteries</v>
          </cell>
        </row>
        <row r="1290">
          <cell r="A1290" t="str">
            <v>B1291</v>
          </cell>
          <cell r="B1290" t="str">
            <v>Batteries</v>
          </cell>
          <cell r="C1290" t="str">
            <v>Fusion</v>
          </cell>
          <cell r="D1290" t="str">
            <v xml:space="preserve">Gel 420Ah Solar Battery 2V Module </v>
          </cell>
          <cell r="E1290" t="str">
            <v>6OPzV420</v>
          </cell>
          <cell r="F1290" t="str">
            <v>MPN (Part #)</v>
          </cell>
          <cell r="G1290">
            <v>478.35</v>
          </cell>
          <cell r="H1290">
            <v>434.85</v>
          </cell>
          <cell r="I1290">
            <v>0</v>
          </cell>
          <cell r="N1290" t="str">
            <v>8-Batteries</v>
          </cell>
        </row>
        <row r="1291">
          <cell r="A1291" t="str">
            <v>B1292</v>
          </cell>
          <cell r="B1291" t="str">
            <v>Batteries</v>
          </cell>
          <cell r="C1291" t="str">
            <v>Fusion</v>
          </cell>
          <cell r="D1291" t="str">
            <v xml:space="preserve">Gel 490Ah Solar Battery 2V Module </v>
          </cell>
          <cell r="E1291" t="str">
            <v>7OPzV490</v>
          </cell>
          <cell r="F1291" t="str">
            <v>MPN (Part #)</v>
          </cell>
          <cell r="G1291">
            <v>545.85</v>
          </cell>
          <cell r="H1291">
            <v>496.20000000000005</v>
          </cell>
          <cell r="I1291">
            <v>0</v>
          </cell>
          <cell r="N1291" t="str">
            <v>8-Batteries</v>
          </cell>
        </row>
        <row r="1292">
          <cell r="A1292" t="str">
            <v>B1293</v>
          </cell>
          <cell r="B1292" t="str">
            <v>Batteries</v>
          </cell>
          <cell r="C1292" t="str">
            <v>Fusion</v>
          </cell>
          <cell r="D1292" t="str">
            <v xml:space="preserve">Gel 600Ah Solar Battery 2V Module </v>
          </cell>
          <cell r="E1292" t="str">
            <v>6OPzV600</v>
          </cell>
          <cell r="F1292" t="str">
            <v>MPN (Part #)</v>
          </cell>
          <cell r="G1292">
            <v>668.90000000000009</v>
          </cell>
          <cell r="H1292">
            <v>608.05000000000007</v>
          </cell>
          <cell r="I1292">
            <v>0</v>
          </cell>
          <cell r="N1292" t="str">
            <v>8-Batteries</v>
          </cell>
        </row>
        <row r="1293">
          <cell r="A1293" t="str">
            <v>B1294</v>
          </cell>
          <cell r="B1293" t="str">
            <v>Batteries</v>
          </cell>
          <cell r="C1293" t="str">
            <v>Fusion</v>
          </cell>
          <cell r="D1293" t="str">
            <v xml:space="preserve">Gel 800Ah Solar Battery 2V Module </v>
          </cell>
          <cell r="E1293" t="str">
            <v>8OPzV800</v>
          </cell>
          <cell r="F1293" t="str">
            <v>MPN (Part #)</v>
          </cell>
          <cell r="G1293">
            <v>867.5</v>
          </cell>
          <cell r="H1293">
            <v>788.65000000000009</v>
          </cell>
          <cell r="I1293">
            <v>0</v>
          </cell>
          <cell r="N1293" t="str">
            <v>8-Batteries</v>
          </cell>
        </row>
        <row r="1294">
          <cell r="A1294" t="str">
            <v>B1295</v>
          </cell>
          <cell r="B1294" t="str">
            <v>Batteries</v>
          </cell>
          <cell r="C1294" t="str">
            <v>Fusion</v>
          </cell>
          <cell r="D1294" t="str">
            <v xml:space="preserve">Gel 1000Ah Solar Battery 2V Module </v>
          </cell>
          <cell r="E1294" t="str">
            <v>10OPzV1000</v>
          </cell>
          <cell r="F1294" t="str">
            <v>MPN (Part #)</v>
          </cell>
          <cell r="G1294">
            <v>1061.6500000000001</v>
          </cell>
          <cell r="H1294">
            <v>965.1</v>
          </cell>
          <cell r="I1294">
            <v>0</v>
          </cell>
          <cell r="N1294" t="str">
            <v>8-Batteries</v>
          </cell>
        </row>
        <row r="1295">
          <cell r="A1295" t="str">
            <v>B1296</v>
          </cell>
          <cell r="B1295" t="str">
            <v>Batteries</v>
          </cell>
          <cell r="C1295" t="str">
            <v>Fusion</v>
          </cell>
          <cell r="D1295" t="str">
            <v xml:space="preserve">Gel 1200Ah Solar Battery 2V Module </v>
          </cell>
          <cell r="E1295" t="str">
            <v>12OPzV1200</v>
          </cell>
          <cell r="F1295" t="str">
            <v>MPN (Part #)</v>
          </cell>
          <cell r="G1295">
            <v>1242.0500000000002</v>
          </cell>
          <cell r="H1295">
            <v>1129.1500000000001</v>
          </cell>
          <cell r="I1295">
            <v>0</v>
          </cell>
          <cell r="N1295" t="str">
            <v>8-Batteries</v>
          </cell>
        </row>
        <row r="1296">
          <cell r="A1296" t="str">
            <v>B1297</v>
          </cell>
          <cell r="B1296" t="str">
            <v>Batteries</v>
          </cell>
          <cell r="C1296" t="str">
            <v>Fusion</v>
          </cell>
          <cell r="D1296" t="str">
            <v xml:space="preserve">Gel 1500Ah Solar Battery 2V Module </v>
          </cell>
          <cell r="E1296" t="str">
            <v>12OPzV1500</v>
          </cell>
          <cell r="F1296" t="str">
            <v>MPN (Part #)</v>
          </cell>
          <cell r="G1296">
            <v>1547.2</v>
          </cell>
          <cell r="H1296">
            <v>1406.5500000000002</v>
          </cell>
          <cell r="I1296">
            <v>0</v>
          </cell>
          <cell r="N1296" t="str">
            <v>8-Batteries</v>
          </cell>
        </row>
        <row r="1297">
          <cell r="A1297" t="str">
            <v>B1298</v>
          </cell>
          <cell r="B1297" t="str">
            <v>Batteries</v>
          </cell>
          <cell r="C1297" t="str">
            <v>Fusion</v>
          </cell>
          <cell r="D1297" t="str">
            <v xml:space="preserve">Gel 2000Ah Solar Battery 2V Module </v>
          </cell>
          <cell r="E1297" t="str">
            <v>16OPzV2000</v>
          </cell>
          <cell r="F1297" t="str">
            <v>MPN (Part #)</v>
          </cell>
          <cell r="G1297">
            <v>2131.15</v>
          </cell>
          <cell r="H1297">
            <v>1937.45</v>
          </cell>
          <cell r="I1297">
            <v>0</v>
          </cell>
          <cell r="N1297" t="str">
            <v>8-Batteries</v>
          </cell>
        </row>
        <row r="1298">
          <cell r="A1298" t="str">
            <v>B1299</v>
          </cell>
          <cell r="B1298" t="str">
            <v>Batteries</v>
          </cell>
          <cell r="C1298" t="str">
            <v>Fusion</v>
          </cell>
          <cell r="D1298" t="str">
            <v xml:space="preserve">Gel 2500Ah Solar Battery 2V Module </v>
          </cell>
          <cell r="E1298" t="str">
            <v>20OPzV2500</v>
          </cell>
          <cell r="F1298" t="str">
            <v>MPN (Part #)</v>
          </cell>
          <cell r="G1298">
            <v>2654.8500000000004</v>
          </cell>
          <cell r="H1298">
            <v>2413.5</v>
          </cell>
          <cell r="I1298">
            <v>0</v>
          </cell>
          <cell r="N1298" t="str">
            <v>8-Batteries</v>
          </cell>
        </row>
        <row r="1299">
          <cell r="A1299" t="str">
            <v>B1300</v>
          </cell>
          <cell r="B1299" t="str">
            <v>Batteries</v>
          </cell>
          <cell r="C1299" t="str">
            <v>Fusion</v>
          </cell>
          <cell r="D1299" t="str">
            <v xml:space="preserve">Gel 3000Ah Solar Battery 2V Module </v>
          </cell>
          <cell r="E1299" t="str">
            <v>24OPzV3000</v>
          </cell>
          <cell r="F1299" t="str">
            <v>MPN (Part #)</v>
          </cell>
          <cell r="G1299">
            <v>3076.65</v>
          </cell>
          <cell r="H1299">
            <v>2796.9500000000003</v>
          </cell>
          <cell r="I1299">
            <v>0</v>
          </cell>
          <cell r="N1299" t="str">
            <v>8-Batteries</v>
          </cell>
        </row>
        <row r="1300">
          <cell r="A1300" t="str">
            <v>B1301</v>
          </cell>
          <cell r="B1300" t="str">
            <v>Electrical</v>
          </cell>
          <cell r="C1300" t="str">
            <v>Dore</v>
          </cell>
          <cell r="D1300" t="str">
            <v>Neutral Bar 165A 2 Pole, 145mm (pair)</v>
          </cell>
          <cell r="E1300" t="str">
            <v>165E12</v>
          </cell>
          <cell r="F1300" t="str">
            <v>MPN (Part #)</v>
          </cell>
          <cell r="G1300">
            <v>16.45</v>
          </cell>
          <cell r="H1300">
            <v>14.950000000000001</v>
          </cell>
          <cell r="I1300">
            <v>0</v>
          </cell>
          <cell r="J1300">
            <v>0.1135</v>
          </cell>
          <cell r="K1300">
            <v>0.15</v>
          </cell>
          <cell r="L1300">
            <v>2</v>
          </cell>
          <cell r="M1300">
            <v>2</v>
          </cell>
          <cell r="N1300" t="str">
            <v>3-Tradezone</v>
          </cell>
        </row>
        <row r="1301">
          <cell r="A1301" t="str">
            <v>B1302</v>
          </cell>
          <cell r="B1301" t="str">
            <v>Enclosures</v>
          </cell>
          <cell r="C1301" t="str">
            <v>IP Enclosures</v>
          </cell>
          <cell r="D1301" t="str">
            <v>Vent 75x100mm (IP Enclosures: IP-PSLV10075)</v>
          </cell>
          <cell r="E1301" t="str">
            <v>IPPSLV10075</v>
          </cell>
          <cell r="F1301" t="str">
            <v>MPN (Part #)</v>
          </cell>
          <cell r="G1301">
            <v>13.8</v>
          </cell>
          <cell r="H1301">
            <v>12.55</v>
          </cell>
          <cell r="I1301">
            <v>0</v>
          </cell>
          <cell r="N1301" t="str">
            <v>3-Tradezone</v>
          </cell>
        </row>
        <row r="1302">
          <cell r="A1302" t="str">
            <v>B1303</v>
          </cell>
          <cell r="B1302" t="str">
            <v>Enclosures</v>
          </cell>
          <cell r="C1302" t="str">
            <v>IP Enclosures</v>
          </cell>
          <cell r="D1302" t="str">
            <v>Enclosure 1200H x 800W x 400D Steel Powdercoated</v>
          </cell>
          <cell r="E1302" t="str">
            <v>IP1208040</v>
          </cell>
          <cell r="F1302" t="str">
            <v>MPN (Part #)</v>
          </cell>
          <cell r="G1302">
            <v>1389.7</v>
          </cell>
          <cell r="H1302">
            <v>1263.4000000000001</v>
          </cell>
          <cell r="I1302">
            <v>0</v>
          </cell>
          <cell r="J1302">
            <v>55</v>
          </cell>
          <cell r="K1302">
            <v>80</v>
          </cell>
          <cell r="L1302">
            <v>40</v>
          </cell>
          <cell r="M1302">
            <v>120</v>
          </cell>
          <cell r="N1302" t="str">
            <v>6-Various</v>
          </cell>
        </row>
        <row r="1303">
          <cell r="A1303" t="str">
            <v>B1304</v>
          </cell>
          <cell r="B1303" t="str">
            <v>Hardware</v>
          </cell>
          <cell r="D1303" t="str">
            <v>Screw M5x10 Pan Phillips S/Steel 304-316</v>
          </cell>
          <cell r="F1303" t="str">
            <v>MPN (Part #)</v>
          </cell>
          <cell r="G1303">
            <v>0</v>
          </cell>
          <cell r="H1303">
            <v>0</v>
          </cell>
          <cell r="I1303">
            <v>0</v>
          </cell>
          <cell r="N1303" t="str">
            <v/>
          </cell>
        </row>
        <row r="1304">
          <cell r="A1304" t="str">
            <v>B1305</v>
          </cell>
          <cell r="B1304" t="str">
            <v>Enclosures</v>
          </cell>
          <cell r="C1304" t="str">
            <v>IP Enclosures</v>
          </cell>
          <cell r="D1304" t="str">
            <v>Enclosure 1200H x 800W x 300D Steel Powdercoated</v>
          </cell>
          <cell r="E1304" t="str">
            <v>IP-1208030</v>
          </cell>
          <cell r="F1304" t="str">
            <v>MPN (Part #)</v>
          </cell>
          <cell r="G1304">
            <v>766.95</v>
          </cell>
          <cell r="H1304">
            <v>697.2</v>
          </cell>
          <cell r="I1304">
            <v>0</v>
          </cell>
          <cell r="J1304">
            <v>55</v>
          </cell>
          <cell r="K1304">
            <v>80</v>
          </cell>
          <cell r="L1304">
            <v>40</v>
          </cell>
          <cell r="M1304">
            <v>120</v>
          </cell>
          <cell r="N1304" t="str">
            <v>6-Various</v>
          </cell>
        </row>
        <row r="1305">
          <cell r="A1305" t="str">
            <v>B1306</v>
          </cell>
          <cell r="B1305" t="str">
            <v>Fuses</v>
          </cell>
          <cell r="C1305" t="str">
            <v>Noark</v>
          </cell>
          <cell r="D1305" t="str">
            <v>MCCB 100A 500VDC 2 pole</v>
          </cell>
          <cell r="E1305" t="str">
            <v>NRK-N28708</v>
          </cell>
          <cell r="F1305" t="str">
            <v>MPN (Part #)</v>
          </cell>
          <cell r="G1305">
            <v>0</v>
          </cell>
          <cell r="H1305">
            <v>0</v>
          </cell>
          <cell r="I1305">
            <v>0</v>
          </cell>
          <cell r="J1305">
            <v>1</v>
          </cell>
          <cell r="K1305">
            <v>17</v>
          </cell>
          <cell r="L1305">
            <v>15</v>
          </cell>
          <cell r="M1305">
            <v>11</v>
          </cell>
          <cell r="N1305" t="str">
            <v>11-DKSH</v>
          </cell>
        </row>
        <row r="1306">
          <cell r="A1306" t="str">
            <v>B1307</v>
          </cell>
          <cell r="B1306" t="str">
            <v>Fuses</v>
          </cell>
          <cell r="C1306" t="str">
            <v>Noark</v>
          </cell>
          <cell r="D1306" t="str">
            <v>MCCB 125A 500VDC 2 pole</v>
          </cell>
          <cell r="E1306" t="str">
            <v>NRK-N28709</v>
          </cell>
          <cell r="F1306" t="str">
            <v>MPN (Part #)</v>
          </cell>
          <cell r="G1306">
            <v>0</v>
          </cell>
          <cell r="H1306">
            <v>0</v>
          </cell>
          <cell r="I1306">
            <v>0</v>
          </cell>
          <cell r="J1306">
            <v>1</v>
          </cell>
          <cell r="K1306">
            <v>17</v>
          </cell>
          <cell r="L1306">
            <v>15</v>
          </cell>
          <cell r="M1306">
            <v>11</v>
          </cell>
          <cell r="N1306" t="str">
            <v>11-DKSH</v>
          </cell>
        </row>
        <row r="1307">
          <cell r="A1307" t="str">
            <v>B1308</v>
          </cell>
          <cell r="B1307" t="str">
            <v>Fuses</v>
          </cell>
          <cell r="C1307" t="str">
            <v>Noark</v>
          </cell>
          <cell r="D1307" t="str">
            <v>MCCB 160A 500VDC 2 pole</v>
          </cell>
          <cell r="E1307" t="str">
            <v>NRK-N28901</v>
          </cell>
          <cell r="F1307" t="str">
            <v>MPN (Part #)</v>
          </cell>
          <cell r="G1307">
            <v>0</v>
          </cell>
          <cell r="H1307">
            <v>0</v>
          </cell>
          <cell r="I1307">
            <v>0</v>
          </cell>
          <cell r="J1307">
            <v>1.2</v>
          </cell>
          <cell r="K1307">
            <v>17</v>
          </cell>
          <cell r="L1307">
            <v>15</v>
          </cell>
          <cell r="M1307">
            <v>11</v>
          </cell>
          <cell r="N1307" t="str">
            <v>11-DKSH</v>
          </cell>
        </row>
        <row r="1308">
          <cell r="A1308" t="str">
            <v>B1309</v>
          </cell>
          <cell r="B1308" t="str">
            <v>Fuses</v>
          </cell>
          <cell r="C1308" t="str">
            <v>Noark</v>
          </cell>
          <cell r="D1308" t="str">
            <v>MCCB 180A 500VDC 2 pole</v>
          </cell>
          <cell r="E1308" t="str">
            <v>NRK-N28902</v>
          </cell>
          <cell r="F1308" t="str">
            <v>MPN (Part #)</v>
          </cell>
          <cell r="G1308">
            <v>0</v>
          </cell>
          <cell r="H1308">
            <v>0</v>
          </cell>
          <cell r="I1308">
            <v>0</v>
          </cell>
          <cell r="J1308">
            <v>1.4</v>
          </cell>
          <cell r="K1308">
            <v>17</v>
          </cell>
          <cell r="L1308">
            <v>15</v>
          </cell>
          <cell r="M1308">
            <v>11</v>
          </cell>
          <cell r="N1308" t="str">
            <v>11-DKSH</v>
          </cell>
        </row>
        <row r="1309">
          <cell r="A1309" t="str">
            <v>B1310</v>
          </cell>
          <cell r="B1309" t="str">
            <v>Fuses</v>
          </cell>
          <cell r="C1309" t="str">
            <v>Noark</v>
          </cell>
          <cell r="D1309" t="str">
            <v>MCCB 200A 500VDC 2 pole</v>
          </cell>
          <cell r="E1309" t="str">
            <v>NRK-N28903</v>
          </cell>
          <cell r="F1309" t="str">
            <v>MPN (Part #)</v>
          </cell>
          <cell r="G1309">
            <v>0</v>
          </cell>
          <cell r="H1309">
            <v>0</v>
          </cell>
          <cell r="I1309">
            <v>0</v>
          </cell>
          <cell r="J1309">
            <v>1.4</v>
          </cell>
          <cell r="K1309">
            <v>17</v>
          </cell>
          <cell r="L1309">
            <v>15</v>
          </cell>
          <cell r="M1309">
            <v>11</v>
          </cell>
          <cell r="N1309" t="str">
            <v>11-DKSH</v>
          </cell>
        </row>
        <row r="1310">
          <cell r="A1310" t="str">
            <v>B1311</v>
          </cell>
          <cell r="B1310" t="str">
            <v>Fuses</v>
          </cell>
          <cell r="C1310" t="str">
            <v>Noark</v>
          </cell>
          <cell r="D1310" t="str">
            <v>MCCB 250A 500VDC 2 pole</v>
          </cell>
          <cell r="E1310" t="str">
            <v>NRK-N28905</v>
          </cell>
          <cell r="F1310" t="str">
            <v>MPN (Part #)</v>
          </cell>
          <cell r="G1310">
            <v>0</v>
          </cell>
          <cell r="H1310">
            <v>0</v>
          </cell>
          <cell r="I1310">
            <v>0</v>
          </cell>
          <cell r="J1310">
            <v>1.4</v>
          </cell>
          <cell r="K1310">
            <v>17</v>
          </cell>
          <cell r="L1310">
            <v>15</v>
          </cell>
          <cell r="M1310">
            <v>11</v>
          </cell>
          <cell r="N1310" t="str">
            <v>11-DKSH</v>
          </cell>
        </row>
        <row r="1311">
          <cell r="A1311" t="str">
            <v>B1312</v>
          </cell>
          <cell r="B1311" t="str">
            <v>Solar Panels</v>
          </cell>
          <cell r="C1311" t="str">
            <v>Qcell</v>
          </cell>
          <cell r="D1311" t="str">
            <v xml:space="preserve">Solar Panel 350W Mono Gmaxx G2 </v>
          </cell>
          <cell r="E1311" t="str">
            <v>Q.MAXX-G2350</v>
          </cell>
          <cell r="F1311" t="str">
            <v>MPN (Part #)</v>
          </cell>
          <cell r="G1311">
            <v>287.95</v>
          </cell>
          <cell r="H1311">
            <v>261.75</v>
          </cell>
          <cell r="I1311">
            <v>0</v>
          </cell>
          <cell r="J1311">
            <v>20</v>
          </cell>
          <cell r="K1311">
            <v>170</v>
          </cell>
          <cell r="L1311">
            <v>100</v>
          </cell>
          <cell r="M1311">
            <v>4</v>
          </cell>
          <cell r="N1311" t="str">
            <v>3-Tradezone</v>
          </cell>
        </row>
        <row r="1312">
          <cell r="A1312" t="str">
            <v>B1313</v>
          </cell>
          <cell r="B1312" t="str">
            <v>Control</v>
          </cell>
          <cell r="C1312" t="str">
            <v>Victron</v>
          </cell>
          <cell r="D1312" t="str">
            <v>SmartShunt 500A/50mV</v>
          </cell>
          <cell r="E1312" t="str">
            <v>SHU050150050</v>
          </cell>
          <cell r="F1312" t="str">
            <v>MPN (Part #)</v>
          </cell>
          <cell r="G1312">
            <v>198</v>
          </cell>
          <cell r="H1312">
            <v>180</v>
          </cell>
          <cell r="I1312">
            <v>0</v>
          </cell>
          <cell r="N1312" t="str">
            <v>1-Victron</v>
          </cell>
        </row>
        <row r="1313">
          <cell r="A1313" t="str">
            <v>B1314</v>
          </cell>
          <cell r="B1313" t="str">
            <v>Electrical</v>
          </cell>
          <cell r="C1313" t="str">
            <v>Clipsal</v>
          </cell>
          <cell r="D1313" t="str">
            <v>Conduit Lockring Nut M20, PVC White</v>
          </cell>
          <cell r="E1313" t="str">
            <v>260/20-GY</v>
          </cell>
          <cell r="F1313" t="str">
            <v>MPN (Part #)</v>
          </cell>
          <cell r="G1313">
            <v>0</v>
          </cell>
          <cell r="H1313">
            <v>0</v>
          </cell>
          <cell r="I1313">
            <v>0</v>
          </cell>
          <cell r="N1313" t="str">
            <v>3-Tradezone</v>
          </cell>
        </row>
        <row r="1314">
          <cell r="A1314" t="str">
            <v>B1315</v>
          </cell>
          <cell r="B1314" t="str">
            <v>Solar Panels</v>
          </cell>
          <cell r="C1314" t="str">
            <v>Trina</v>
          </cell>
          <cell r="D1314" t="str">
            <v xml:space="preserve">Solar Panel 500W Mono </v>
          </cell>
          <cell r="E1314" t="str">
            <v>TSM-DE18M(II)-500W</v>
          </cell>
          <cell r="F1314" t="str">
            <v>MPN (Part #)</v>
          </cell>
          <cell r="G1314">
            <v>412.5</v>
          </cell>
          <cell r="H1314">
            <v>375</v>
          </cell>
          <cell r="I1314">
            <v>0</v>
          </cell>
          <cell r="J1314">
            <v>20</v>
          </cell>
          <cell r="K1314">
            <v>170</v>
          </cell>
          <cell r="L1314">
            <v>100</v>
          </cell>
          <cell r="M1314">
            <v>4</v>
          </cell>
          <cell r="N1314" t="str">
            <v>3-Tradezone</v>
          </cell>
        </row>
        <row r="1315">
          <cell r="A1315" t="str">
            <v>B1316</v>
          </cell>
          <cell r="B1315" t="str">
            <v>Cables</v>
          </cell>
          <cell r="C1315" t="str">
            <v>Victron</v>
          </cell>
          <cell r="D1315" t="str">
            <v>VE.Direct Cable 0.9m (one side Right Angle conn)</v>
          </cell>
          <cell r="E1315" t="str">
            <v>ASS030531209</v>
          </cell>
          <cell r="F1315" t="str">
            <v>MPN (Part #)</v>
          </cell>
          <cell r="G1315">
            <v>22.75</v>
          </cell>
          <cell r="H1315">
            <v>20.700000000000003</v>
          </cell>
          <cell r="I1315">
            <v>0</v>
          </cell>
          <cell r="J1315">
            <v>0.3</v>
          </cell>
          <cell r="N1315" t="str">
            <v>1-Victron</v>
          </cell>
        </row>
        <row r="1316">
          <cell r="A1316" t="str">
            <v>B1317</v>
          </cell>
          <cell r="B1316" t="str">
            <v>Inverters</v>
          </cell>
          <cell r="C1316" t="str">
            <v>Fronius</v>
          </cell>
          <cell r="D1316" t="str">
            <v>Symo 12.5kW Grid 3Ph Inverter</v>
          </cell>
          <cell r="E1316" t="str">
            <v>Symo-12.5-3-M</v>
          </cell>
          <cell r="F1316" t="str">
            <v>MPN (Part #)</v>
          </cell>
          <cell r="G1316">
            <v>4712.7</v>
          </cell>
          <cell r="H1316">
            <v>4284.3</v>
          </cell>
          <cell r="I1316">
            <v>0</v>
          </cell>
          <cell r="J1316">
            <v>34.799999999999997</v>
          </cell>
          <cell r="K1316">
            <v>72.5</v>
          </cell>
          <cell r="L1316">
            <v>5.0999999999999996</v>
          </cell>
          <cell r="M1316">
            <v>22.5</v>
          </cell>
          <cell r="N1316" t="str">
            <v>2-Krannich</v>
          </cell>
        </row>
        <row r="1317">
          <cell r="A1317" t="str">
            <v>B1318</v>
          </cell>
          <cell r="B1317" t="str">
            <v>Batteries</v>
          </cell>
          <cell r="C1317" t="str">
            <v>LG Chem</v>
          </cell>
          <cell r="D1317" t="str">
            <v xml:space="preserve">LG Chem RESU 10KWh Lithium Battery 10H Prime </v>
          </cell>
          <cell r="E1317" t="str">
            <v>RESU10H-Prime</v>
          </cell>
          <cell r="F1317" t="str">
            <v>MPN (Part #)</v>
          </cell>
          <cell r="G1317">
            <v>10607.150000000001</v>
          </cell>
          <cell r="H1317">
            <v>9642.85</v>
          </cell>
          <cell r="I1317">
            <v>0</v>
          </cell>
          <cell r="J1317">
            <v>111</v>
          </cell>
          <cell r="K1317">
            <v>50.4</v>
          </cell>
          <cell r="L1317">
            <v>81.7</v>
          </cell>
          <cell r="M1317">
            <v>29.5</v>
          </cell>
          <cell r="N1317" t="str">
            <v>2-Krannich</v>
          </cell>
        </row>
        <row r="1318">
          <cell r="A1318" t="str">
            <v>B1319</v>
          </cell>
          <cell r="B1318" t="str">
            <v>Batteries</v>
          </cell>
          <cell r="C1318" t="str">
            <v>LG Chem</v>
          </cell>
          <cell r="D1318" t="str">
            <v>LG Chem RESU 16KWh Lithium Battery 16H Prime</v>
          </cell>
          <cell r="E1318" t="str">
            <v>RESU16H-Prime</v>
          </cell>
          <cell r="F1318" t="str">
            <v>MPN (Part #)</v>
          </cell>
          <cell r="G1318">
            <v>0</v>
          </cell>
          <cell r="H1318">
            <v>0</v>
          </cell>
          <cell r="I1318">
            <v>0</v>
          </cell>
          <cell r="J1318">
            <v>159</v>
          </cell>
          <cell r="K1318">
            <v>50.4</v>
          </cell>
          <cell r="L1318">
            <v>108.6</v>
          </cell>
          <cell r="M1318">
            <v>29.5</v>
          </cell>
          <cell r="N1318" t="str">
            <v/>
          </cell>
        </row>
        <row r="1319">
          <cell r="A1319" t="str">
            <v>B1320</v>
          </cell>
          <cell r="B1319" t="str">
            <v>Batteries</v>
          </cell>
          <cell r="C1319" t="str">
            <v>Sonnenschein</v>
          </cell>
          <cell r="D1319" t="str">
            <v>Solar Sealed 2V Gel Cell, A602/2600, battery links included, AH @ C100 = 2547</v>
          </cell>
          <cell r="E1319" t="str">
            <v>A602/3270 SOLAR</v>
          </cell>
          <cell r="F1319" t="str">
            <v>MPN (Part #)</v>
          </cell>
          <cell r="G1319">
            <v>3212.8500000000004</v>
          </cell>
          <cell r="H1319">
            <v>2920.75</v>
          </cell>
          <cell r="I1319">
            <v>0</v>
          </cell>
          <cell r="N1319" t="str">
            <v>10-RFI</v>
          </cell>
        </row>
        <row r="1320">
          <cell r="A1320" t="str">
            <v>B1321</v>
          </cell>
          <cell r="B1320" t="str">
            <v>Batteries</v>
          </cell>
          <cell r="C1320" t="str">
            <v>Powerplus</v>
          </cell>
          <cell r="D1320" t="str">
            <v xml:space="preserve">Lithium Battery Module, 12V 100AH LiFePO4 N70 </v>
          </cell>
          <cell r="E1320" t="str">
            <v>LiFe1213N</v>
          </cell>
          <cell r="F1320" t="str">
            <v>MPN (Part #)</v>
          </cell>
          <cell r="G1320">
            <v>1549.45</v>
          </cell>
          <cell r="H1320">
            <v>1408.5500000000002</v>
          </cell>
          <cell r="I1320">
            <v>0</v>
          </cell>
          <cell r="N1320" t="str">
            <v>6-Various</v>
          </cell>
        </row>
        <row r="1321">
          <cell r="A1321" t="str">
            <v>B1322</v>
          </cell>
          <cell r="B1321" t="str">
            <v>Batteries</v>
          </cell>
          <cell r="C1321" t="str">
            <v>Powerplus</v>
          </cell>
          <cell r="D1321" t="str">
            <v>Lithium Battery Module, 24V 50AH LiFePO4 N70</v>
          </cell>
          <cell r="E1321" t="str">
            <v>LiFe2413N</v>
          </cell>
          <cell r="F1321" t="str">
            <v>MPN (Part #)</v>
          </cell>
          <cell r="G1321">
            <v>1549.45</v>
          </cell>
          <cell r="H1321">
            <v>1408.5500000000002</v>
          </cell>
          <cell r="I1321">
            <v>0</v>
          </cell>
          <cell r="N1321" t="str">
            <v>6-Various</v>
          </cell>
        </row>
        <row r="1322">
          <cell r="A1322" t="str">
            <v>B1323</v>
          </cell>
          <cell r="B1322" t="str">
            <v>Batteries</v>
          </cell>
          <cell r="C1322" t="str">
            <v>Powerplus</v>
          </cell>
          <cell r="D1322" t="str">
            <v>Lithium Battery Module, 48V 25AH LiFePO4 N70</v>
          </cell>
          <cell r="E1322" t="str">
            <v>LiFe4813N</v>
          </cell>
          <cell r="F1322" t="str">
            <v>MPN (Part #)</v>
          </cell>
          <cell r="G1322">
            <v>1549.45</v>
          </cell>
          <cell r="H1322">
            <v>1408.5500000000002</v>
          </cell>
          <cell r="I1322">
            <v>0</v>
          </cell>
          <cell r="N1322" t="str">
            <v>6-Various</v>
          </cell>
        </row>
        <row r="1323">
          <cell r="A1323" t="str">
            <v>B1324</v>
          </cell>
          <cell r="B1323" t="str">
            <v>Inverters</v>
          </cell>
          <cell r="C1323" t="str">
            <v>Fronius</v>
          </cell>
          <cell r="D1323" t="str">
            <v>Gen24 Primo 5KW</v>
          </cell>
          <cell r="E1323" t="str">
            <v>Primo-Gen24-5</v>
          </cell>
          <cell r="F1323" t="str">
            <v>MPN (Part #)</v>
          </cell>
          <cell r="G1323">
            <v>2766.6000000000004</v>
          </cell>
          <cell r="H1323">
            <v>2515.0500000000002</v>
          </cell>
          <cell r="I1323">
            <v>0</v>
          </cell>
          <cell r="J1323">
            <v>19</v>
          </cell>
          <cell r="K1323">
            <v>47.4</v>
          </cell>
          <cell r="L1323">
            <v>53</v>
          </cell>
          <cell r="M1323">
            <v>16.5</v>
          </cell>
          <cell r="N1323" t="str">
            <v>2-Krannich</v>
          </cell>
        </row>
        <row r="1324">
          <cell r="A1324" t="str">
            <v>B1325</v>
          </cell>
          <cell r="B1324" t="str">
            <v>Batteries</v>
          </cell>
          <cell r="C1324" t="str">
            <v>GNB</v>
          </cell>
          <cell r="D1324" t="str">
            <v xml:space="preserve">GNB 500Ah Solar Battery 2V Module </v>
          </cell>
          <cell r="E1324" t="str">
            <v>5ESPV-500SOLAR</v>
          </cell>
          <cell r="F1324" t="str">
            <v>MPN (Part #)</v>
          </cell>
          <cell r="G1324">
            <v>0</v>
          </cell>
          <cell r="H1324">
            <v>0</v>
          </cell>
          <cell r="I1324">
            <v>0</v>
          </cell>
          <cell r="N1324" t="str">
            <v>6-Various</v>
          </cell>
        </row>
        <row r="1325">
          <cell r="A1325" t="str">
            <v>B1326</v>
          </cell>
          <cell r="B1325" t="str">
            <v>Batteries</v>
          </cell>
          <cell r="C1325" t="str">
            <v>GNB</v>
          </cell>
          <cell r="D1325" t="str">
            <v xml:space="preserve">GNB 600Ah Solar Battery 2V Module </v>
          </cell>
          <cell r="E1325" t="str">
            <v>6ESPV-600SOLAR</v>
          </cell>
          <cell r="F1325" t="str">
            <v>MPN (Part #)</v>
          </cell>
          <cell r="G1325">
            <v>0</v>
          </cell>
          <cell r="H1325">
            <v>0</v>
          </cell>
          <cell r="I1325">
            <v>0</v>
          </cell>
          <cell r="N1325" t="str">
            <v>6-Various</v>
          </cell>
        </row>
        <row r="1326">
          <cell r="A1326" t="str">
            <v>B1327</v>
          </cell>
          <cell r="B1326" t="str">
            <v>Batteries</v>
          </cell>
          <cell r="C1326" t="str">
            <v>GNB</v>
          </cell>
          <cell r="D1326" t="str">
            <v xml:space="preserve">GNB 700Ah Solar Battery 2V Module </v>
          </cell>
          <cell r="E1326" t="str">
            <v>7ESPV-700SOLAR</v>
          </cell>
          <cell r="F1326" t="str">
            <v>MPN (Part #)</v>
          </cell>
          <cell r="G1326">
            <v>627.65000000000009</v>
          </cell>
          <cell r="H1326">
            <v>570.6</v>
          </cell>
          <cell r="I1326">
            <v>0</v>
          </cell>
          <cell r="N1326" t="str">
            <v>6-Various</v>
          </cell>
        </row>
        <row r="1327">
          <cell r="A1327" t="str">
            <v>B1328</v>
          </cell>
          <cell r="B1327" t="str">
            <v>Batteries</v>
          </cell>
          <cell r="C1327" t="str">
            <v>GNB</v>
          </cell>
          <cell r="D1327" t="str">
            <v xml:space="preserve">GNB 900Ah Solar Battery 2V Module </v>
          </cell>
          <cell r="E1327" t="str">
            <v>6ESPV-900SOLAR</v>
          </cell>
          <cell r="F1327" t="str">
            <v>MPN (Part #)</v>
          </cell>
          <cell r="G1327">
            <v>791.05000000000007</v>
          </cell>
          <cell r="H1327">
            <v>719.1</v>
          </cell>
          <cell r="I1327">
            <v>0</v>
          </cell>
          <cell r="N1327" t="str">
            <v>6-Various</v>
          </cell>
        </row>
        <row r="1328">
          <cell r="A1328" t="str">
            <v>B1329</v>
          </cell>
          <cell r="B1328" t="str">
            <v>Batteries</v>
          </cell>
          <cell r="C1328" t="str">
            <v>GNB</v>
          </cell>
          <cell r="D1328" t="str">
            <v xml:space="preserve">GNB 1200Ah Solar Battery 2V Module </v>
          </cell>
          <cell r="E1328" t="str">
            <v>8ESPV-1200SOLAR</v>
          </cell>
          <cell r="F1328" t="str">
            <v>MPN (Part #)</v>
          </cell>
          <cell r="G1328">
            <v>1034</v>
          </cell>
          <cell r="H1328">
            <v>940</v>
          </cell>
          <cell r="I1328">
            <v>0</v>
          </cell>
          <cell r="N1328" t="str">
            <v>6-Various</v>
          </cell>
        </row>
        <row r="1329">
          <cell r="A1329" t="str">
            <v>B1330</v>
          </cell>
          <cell r="B1329" t="str">
            <v>Inverters</v>
          </cell>
          <cell r="C1329" t="str">
            <v>Fronius</v>
          </cell>
          <cell r="D1329" t="str">
            <v>Gen24 Primo 6KW</v>
          </cell>
          <cell r="E1329" t="str">
            <v>Primo-Gen24-6</v>
          </cell>
          <cell r="F1329" t="str">
            <v>MPN (Part #)</v>
          </cell>
          <cell r="G1329">
            <v>3067.1000000000004</v>
          </cell>
          <cell r="H1329">
            <v>2788.25</v>
          </cell>
          <cell r="I1329">
            <v>0</v>
          </cell>
          <cell r="J1329">
            <v>19</v>
          </cell>
          <cell r="K1329">
            <v>47.4</v>
          </cell>
          <cell r="L1329">
            <v>53</v>
          </cell>
          <cell r="M1329">
            <v>16.5</v>
          </cell>
          <cell r="N1329" t="str">
            <v>2-Krannich</v>
          </cell>
        </row>
        <row r="1330">
          <cell r="A1330" t="str">
            <v>B1331</v>
          </cell>
          <cell r="B1330" t="str">
            <v>Inverters</v>
          </cell>
          <cell r="C1330" t="str">
            <v>Fronius</v>
          </cell>
          <cell r="D1330" t="str">
            <v>Gen24 Symo 5KW</v>
          </cell>
          <cell r="E1330" t="str">
            <v>Symo-Gen24-5</v>
          </cell>
          <cell r="F1330" t="str">
            <v>MPN (Part #)</v>
          </cell>
          <cell r="G1330">
            <v>2976.9</v>
          </cell>
          <cell r="H1330">
            <v>2706.25</v>
          </cell>
          <cell r="I1330">
            <v>0</v>
          </cell>
          <cell r="J1330">
            <v>19.399999999999999</v>
          </cell>
          <cell r="K1330">
            <v>47.4</v>
          </cell>
          <cell r="L1330">
            <v>53</v>
          </cell>
          <cell r="M1330">
            <v>16.5</v>
          </cell>
          <cell r="N1330" t="str">
            <v>2-Krannich</v>
          </cell>
        </row>
        <row r="1331">
          <cell r="A1331" t="str">
            <v>B1332</v>
          </cell>
          <cell r="B1331" t="str">
            <v>Inverters</v>
          </cell>
          <cell r="C1331" t="str">
            <v>Fronius</v>
          </cell>
          <cell r="D1331" t="str">
            <v>Gen24 Symo 6KW</v>
          </cell>
          <cell r="E1331" t="str">
            <v>Symo-Gen24-6</v>
          </cell>
          <cell r="F1331" t="str">
            <v>MPN (Part #)</v>
          </cell>
          <cell r="G1331">
            <v>3430</v>
          </cell>
          <cell r="H1331">
            <v>3118.15</v>
          </cell>
          <cell r="I1331">
            <v>0</v>
          </cell>
          <cell r="J1331">
            <v>28.5</v>
          </cell>
          <cell r="K1331">
            <v>52.9</v>
          </cell>
          <cell r="L1331">
            <v>59.5</v>
          </cell>
          <cell r="M1331">
            <v>18</v>
          </cell>
          <cell r="N1331" t="str">
            <v>2-Krannich</v>
          </cell>
        </row>
        <row r="1332">
          <cell r="A1332" t="str">
            <v>B1333</v>
          </cell>
          <cell r="B1332" t="str">
            <v>Inverters</v>
          </cell>
          <cell r="C1332" t="str">
            <v>Fronius</v>
          </cell>
          <cell r="D1332" t="str">
            <v>Gen24 Symo 8KW</v>
          </cell>
          <cell r="E1332" t="str">
            <v>Symo-Gen24-8</v>
          </cell>
          <cell r="F1332" t="str">
            <v>MPN (Part #)</v>
          </cell>
          <cell r="G1332">
            <v>3898.7000000000003</v>
          </cell>
          <cell r="H1332">
            <v>3544.25</v>
          </cell>
          <cell r="I1332">
            <v>0</v>
          </cell>
          <cell r="J1332">
            <v>28.5</v>
          </cell>
          <cell r="K1332">
            <v>52.9</v>
          </cell>
          <cell r="L1332">
            <v>59.5</v>
          </cell>
          <cell r="M1332">
            <v>18</v>
          </cell>
          <cell r="N1332" t="str">
            <v>2-Krannich</v>
          </cell>
        </row>
        <row r="1333">
          <cell r="A1333" t="str">
            <v>B1334</v>
          </cell>
          <cell r="B1333" t="str">
            <v>Inverters</v>
          </cell>
          <cell r="C1333" t="str">
            <v>Fronius</v>
          </cell>
          <cell r="D1333" t="str">
            <v>Gen24 Symo 10KW</v>
          </cell>
          <cell r="E1333" t="str">
            <v>Symo-Gen24-10</v>
          </cell>
          <cell r="F1333" t="str">
            <v>MPN (Part #)</v>
          </cell>
          <cell r="G1333">
            <v>0</v>
          </cell>
          <cell r="H1333">
            <v>0</v>
          </cell>
          <cell r="I1333">
            <v>0</v>
          </cell>
          <cell r="J1333">
            <v>28.5</v>
          </cell>
          <cell r="K1333">
            <v>52.9</v>
          </cell>
          <cell r="L1333">
            <v>59.5</v>
          </cell>
          <cell r="M1333">
            <v>18</v>
          </cell>
          <cell r="N1333" t="str">
            <v>2-Krannich</v>
          </cell>
        </row>
        <row r="1334">
          <cell r="A1334" t="str">
            <v>B1335</v>
          </cell>
          <cell r="B1334" t="str">
            <v>Electronics</v>
          </cell>
          <cell r="C1334" t="str">
            <v>Raspberry</v>
          </cell>
          <cell r="D1334" t="str">
            <v>Raspberry Pi board 3B+</v>
          </cell>
          <cell r="E1334" t="str">
            <v>R.Pi-3B+</v>
          </cell>
          <cell r="F1334" t="str">
            <v>MPN (Part #)</v>
          </cell>
          <cell r="G1334">
            <v>83.75</v>
          </cell>
          <cell r="H1334">
            <v>76.150000000000006</v>
          </cell>
          <cell r="I1334">
            <v>0</v>
          </cell>
          <cell r="N1334" t="str">
            <v>6-Various</v>
          </cell>
        </row>
        <row r="1335">
          <cell r="A1335" t="str">
            <v>B1336</v>
          </cell>
          <cell r="B1335" t="str">
            <v>Cables</v>
          </cell>
          <cell r="D1335" t="str">
            <v>RJ45 UTP Cable 0.5 m Green</v>
          </cell>
          <cell r="E1335" t="str">
            <v>MT6L45450.5BEA</v>
          </cell>
          <cell r="F1335" t="str">
            <v>MPN (Part #)</v>
          </cell>
          <cell r="G1335">
            <v>3.2</v>
          </cell>
          <cell r="H1335">
            <v>2.9000000000000004</v>
          </cell>
          <cell r="I1335">
            <v>0</v>
          </cell>
          <cell r="N1335" t="str">
            <v>3-Tradezone</v>
          </cell>
        </row>
        <row r="1336">
          <cell r="A1336" t="str">
            <v>B1337</v>
          </cell>
          <cell r="B1336" t="str">
            <v>Solar Controllers</v>
          </cell>
          <cell r="C1336" t="str">
            <v>Victron</v>
          </cell>
          <cell r="D1336" t="str">
            <v>SmartSolar MPPT RS 450/100-Tr</v>
          </cell>
          <cell r="E1336" t="str">
            <v>SCC145110410</v>
          </cell>
          <cell r="F1336" t="str">
            <v>MPN (Part #)</v>
          </cell>
          <cell r="G1336">
            <v>2088.9</v>
          </cell>
          <cell r="H1336">
            <v>1899</v>
          </cell>
          <cell r="I1336">
            <v>0</v>
          </cell>
          <cell r="J1336">
            <v>7.9</v>
          </cell>
          <cell r="K1336">
            <v>32</v>
          </cell>
          <cell r="L1336">
            <v>4.4000000000000004</v>
          </cell>
          <cell r="M1336">
            <v>13</v>
          </cell>
          <cell r="N1336" t="str">
            <v>1-Victron</v>
          </cell>
        </row>
        <row r="1337">
          <cell r="A1337" t="str">
            <v>B1338</v>
          </cell>
          <cell r="B1337" t="str">
            <v>Solar Controllers</v>
          </cell>
          <cell r="C1337" t="str">
            <v>Victron</v>
          </cell>
          <cell r="D1337" t="str">
            <v>SmartSolar MPPT RS 450/200-Tr</v>
          </cell>
          <cell r="E1337" t="str">
            <v>SCC145120410</v>
          </cell>
          <cell r="F1337" t="str">
            <v>MPN (Part #)</v>
          </cell>
          <cell r="G1337">
            <v>3656.05</v>
          </cell>
          <cell r="H1337">
            <v>3323.7000000000003</v>
          </cell>
          <cell r="I1337">
            <v>0</v>
          </cell>
          <cell r="J1337">
            <v>13.7</v>
          </cell>
          <cell r="K1337">
            <v>44</v>
          </cell>
          <cell r="L1337">
            <v>49</v>
          </cell>
          <cell r="M1337">
            <v>15</v>
          </cell>
          <cell r="N1337" t="str">
            <v>1-Victron</v>
          </cell>
        </row>
        <row r="1338">
          <cell r="A1338" t="str">
            <v>B1339</v>
          </cell>
          <cell r="B1338" t="str">
            <v>Enclosures</v>
          </cell>
          <cell r="C1338" t="str">
            <v>IP Enclosures</v>
          </cell>
          <cell r="D1338" t="str">
            <v>Enclosure 800H x 800W x 300D Steel Powdercoated</v>
          </cell>
          <cell r="E1338" t="str">
            <v>IP808030</v>
          </cell>
          <cell r="F1338" t="str">
            <v>MPN (Part #)</v>
          </cell>
          <cell r="G1338">
            <v>939.7</v>
          </cell>
          <cell r="H1338">
            <v>854.30000000000007</v>
          </cell>
          <cell r="I1338">
            <v>0</v>
          </cell>
          <cell r="N1338" t="str">
            <v>3-Tradezone</v>
          </cell>
        </row>
        <row r="1339">
          <cell r="A1339" t="str">
            <v>B1340</v>
          </cell>
          <cell r="B1339" t="str">
            <v>Enclosures</v>
          </cell>
          <cell r="C1339" t="str">
            <v>IP Enclosures</v>
          </cell>
          <cell r="D1339" t="str">
            <v>Enclosure 1200H x 1000W x 400D Steel Powdercoated</v>
          </cell>
          <cell r="E1339" t="str">
            <v>IP12010040</v>
          </cell>
          <cell r="F1339" t="str">
            <v>MPN (Part #)</v>
          </cell>
          <cell r="G1339">
            <v>1441.6000000000001</v>
          </cell>
          <cell r="H1339">
            <v>1310.5500000000002</v>
          </cell>
          <cell r="I1339">
            <v>0</v>
          </cell>
          <cell r="N1339" t="str">
            <v>3-Tradezone</v>
          </cell>
        </row>
        <row r="1340">
          <cell r="A1340" t="str">
            <v>B1341</v>
          </cell>
          <cell r="B1340" t="str">
            <v>Electrical</v>
          </cell>
          <cell r="C1340" t="str">
            <v>Clipsal</v>
          </cell>
          <cell r="D1340" t="str">
            <v>Conduit Lockring Nut M32, PVC White</v>
          </cell>
          <cell r="E1340" t="str">
            <v>260/32GY</v>
          </cell>
          <cell r="F1340" t="str">
            <v>MPN (Part #)</v>
          </cell>
          <cell r="G1340">
            <v>0.75</v>
          </cell>
          <cell r="H1340">
            <v>0.70000000000000007</v>
          </cell>
          <cell r="I1340">
            <v>0</v>
          </cell>
          <cell r="N1340" t="str">
            <v>3-Tradezone</v>
          </cell>
        </row>
        <row r="1341">
          <cell r="A1341" t="str">
            <v>B1342</v>
          </cell>
          <cell r="B1341" t="str">
            <v>Enclosures</v>
          </cell>
          <cell r="C1341" t="str">
            <v>IP Enclosures</v>
          </cell>
          <cell r="D1341" t="str">
            <v>Enclosure 1000H x 1000W x 400D Steel Powdercoated</v>
          </cell>
          <cell r="E1341" t="str">
            <v>IP10010040</v>
          </cell>
          <cell r="F1341" t="str">
            <v>MPN (Part #)</v>
          </cell>
          <cell r="G1341">
            <v>1157.45</v>
          </cell>
          <cell r="H1341">
            <v>1052.2</v>
          </cell>
          <cell r="I1341">
            <v>0</v>
          </cell>
          <cell r="N1341" t="str">
            <v>3-Tradezone</v>
          </cell>
        </row>
        <row r="1342">
          <cell r="A1342" t="str">
            <v>B1343</v>
          </cell>
          <cell r="B1342" t="str">
            <v>Batteries</v>
          </cell>
          <cell r="C1342" t="str">
            <v>Fusion</v>
          </cell>
          <cell r="D1342" t="str">
            <v xml:space="preserve">AGM 440Ah Solar AGM Battery 6V Module </v>
          </cell>
          <cell r="E1342" t="str">
            <v>CBS6V440AH</v>
          </cell>
          <cell r="F1342" t="str">
            <v>MPN (Part #)</v>
          </cell>
          <cell r="G1342">
            <v>774.85</v>
          </cell>
          <cell r="H1342">
            <v>704.40000000000009</v>
          </cell>
          <cell r="I1342">
            <v>0</v>
          </cell>
          <cell r="N1342" t="str">
            <v>6-Various</v>
          </cell>
        </row>
        <row r="1343">
          <cell r="A1343" t="str">
            <v>B1344</v>
          </cell>
          <cell r="B1343" t="str">
            <v>Solar Panels</v>
          </cell>
          <cell r="C1343" t="str">
            <v>Trina</v>
          </cell>
          <cell r="D1343" t="str">
            <v xml:space="preserve">Solar Panel 400W Mono </v>
          </cell>
          <cell r="E1343" t="str">
            <v>TSM-DE09.08-400W</v>
          </cell>
          <cell r="F1343" t="str">
            <v>MPN (Part #)</v>
          </cell>
          <cell r="G1343">
            <v>304.10000000000002</v>
          </cell>
          <cell r="H1343">
            <v>276.45</v>
          </cell>
          <cell r="I1343">
            <v>0</v>
          </cell>
          <cell r="J1343">
            <v>20</v>
          </cell>
          <cell r="K1343">
            <v>170</v>
          </cell>
          <cell r="L1343">
            <v>100</v>
          </cell>
          <cell r="M1343">
            <v>4</v>
          </cell>
          <cell r="N1343" t="str">
            <v>3-Tradezone</v>
          </cell>
        </row>
        <row r="1344">
          <cell r="A1344" t="str">
            <v>B1345</v>
          </cell>
          <cell r="B1344" t="str">
            <v>Enclosures</v>
          </cell>
          <cell r="C1344" t="str">
            <v>IP Enclosures</v>
          </cell>
          <cell r="D1344" t="str">
            <v>Enclosure 1620H x 600W x 800D Steel Powdercoated</v>
          </cell>
          <cell r="E1344" t="str">
            <v xml:space="preserve">IP-MFS1626080-KIT </v>
          </cell>
          <cell r="F1344" t="str">
            <v>MPN (Part #)</v>
          </cell>
          <cell r="G1344">
            <v>2280.75</v>
          </cell>
          <cell r="H1344">
            <v>2073.4500000000003</v>
          </cell>
          <cell r="I1344">
            <v>0</v>
          </cell>
          <cell r="N1344" t="str">
            <v>6-Various</v>
          </cell>
        </row>
        <row r="1345">
          <cell r="A1345" t="str">
            <v>B1346</v>
          </cell>
          <cell r="B1345" t="str">
            <v>Solar Panels</v>
          </cell>
          <cell r="C1345" t="str">
            <v>Clenergy</v>
          </cell>
          <cell r="D1345" t="str">
            <v>Racking Kit, 4 PV Module 30mm for Tin roof</v>
          </cell>
          <cell r="E1345" t="str">
            <v>Rack.Clen.4T30</v>
          </cell>
          <cell r="F1345" t="str">
            <v>MPN (Part #)</v>
          </cell>
          <cell r="G1345">
            <v>216.95000000000002</v>
          </cell>
          <cell r="H1345">
            <v>197.20000000000002</v>
          </cell>
          <cell r="I1345">
            <v>0</v>
          </cell>
          <cell r="J1345">
            <v>8.5</v>
          </cell>
          <cell r="K1345">
            <v>420</v>
          </cell>
          <cell r="L1345">
            <v>20</v>
          </cell>
          <cell r="M1345">
            <v>16</v>
          </cell>
          <cell r="N1345" t="str">
            <v>6-Various</v>
          </cell>
        </row>
        <row r="1346">
          <cell r="A1346" t="str">
            <v>B1347</v>
          </cell>
          <cell r="B1346" t="str">
            <v>Solar Panels</v>
          </cell>
          <cell r="C1346" t="str">
            <v>ecoCool</v>
          </cell>
          <cell r="D1346" t="str">
            <v>Cable ties, clips &amp; MC4 pack, 4 PV Module</v>
          </cell>
          <cell r="E1346" t="str">
            <v>PV.BOS.01</v>
          </cell>
          <cell r="F1346" t="str">
            <v>MPN (Part #)</v>
          </cell>
          <cell r="G1346">
            <v>97.050000000000011</v>
          </cell>
          <cell r="H1346">
            <v>88.25</v>
          </cell>
          <cell r="I1346">
            <v>0</v>
          </cell>
          <cell r="J1346">
            <v>1</v>
          </cell>
          <cell r="K1346">
            <v>18</v>
          </cell>
          <cell r="L1346">
            <v>12</v>
          </cell>
          <cell r="M1346">
            <v>7</v>
          </cell>
          <cell r="N1346" t="str">
            <v>6-Various</v>
          </cell>
        </row>
        <row r="1347">
          <cell r="A1347" t="str">
            <v>B1348</v>
          </cell>
          <cell r="B1347" t="str">
            <v>Electrical</v>
          </cell>
          <cell r="C1347" t="str">
            <v>HellermanTyton</v>
          </cell>
          <cell r="D1347" t="str">
            <v>Cable Tie Mount 28x28mm MB3A</v>
          </cell>
          <cell r="E1347" t="str">
            <v>MB3A</v>
          </cell>
          <cell r="F1347" t="str">
            <v>MPN (Part #)</v>
          </cell>
          <cell r="G1347">
            <v>0</v>
          </cell>
          <cell r="H1347">
            <v>0</v>
          </cell>
          <cell r="I1347">
            <v>0</v>
          </cell>
          <cell r="N1347" t="str">
            <v/>
          </cell>
        </row>
        <row r="1348">
          <cell r="A1348" t="str">
            <v>B1349</v>
          </cell>
          <cell r="B1348" t="str">
            <v>Enclosures</v>
          </cell>
          <cell r="C1348" t="str">
            <v>IP Enclosures</v>
          </cell>
          <cell r="D1348" t="str">
            <v>Enclosure 800H x 800W x 200D Steel Powdercoated</v>
          </cell>
          <cell r="E1348" t="str">
            <v>IP808020</v>
          </cell>
          <cell r="F1348" t="str">
            <v>MPN (Part #)</v>
          </cell>
          <cell r="G1348">
            <v>870.55000000000007</v>
          </cell>
          <cell r="H1348">
            <v>791.45</v>
          </cell>
          <cell r="I1348">
            <v>0</v>
          </cell>
          <cell r="N1348" t="str">
            <v>3-Tradezone</v>
          </cell>
        </row>
        <row r="1349">
          <cell r="A1349" t="str">
            <v>B1350</v>
          </cell>
          <cell r="B1349" t="str">
            <v>Batteries</v>
          </cell>
          <cell r="C1349" t="str">
            <v>LG Chem</v>
          </cell>
          <cell r="D1349" t="str">
            <v xml:space="preserve">LG Chem RESU 12KWh 48V Lithium Battery </v>
          </cell>
          <cell r="E1349" t="str">
            <v>RESU12</v>
          </cell>
          <cell r="F1349" t="str">
            <v>MPN (Part #)</v>
          </cell>
          <cell r="G1349">
            <v>0</v>
          </cell>
          <cell r="H1349">
            <v>0</v>
          </cell>
          <cell r="I1349">
            <v>0</v>
          </cell>
          <cell r="N1349" t="str">
            <v/>
          </cell>
        </row>
        <row r="1350">
          <cell r="A1350" t="str">
            <v>B1351</v>
          </cell>
          <cell r="B1350" t="str">
            <v>Inverters</v>
          </cell>
          <cell r="C1350" t="str">
            <v>LG Chem</v>
          </cell>
          <cell r="D1350" t="str">
            <v xml:space="preserve">LG Chem RESU 12KWh 48V Lithium Battery </v>
          </cell>
          <cell r="E1350" t="str">
            <v>RESU12</v>
          </cell>
          <cell r="F1350" t="str">
            <v>MPN (Part #)</v>
          </cell>
          <cell r="G1350">
            <v>0</v>
          </cell>
          <cell r="H1350">
            <v>0</v>
          </cell>
          <cell r="I1350">
            <v>0</v>
          </cell>
          <cell r="N1350" t="str">
            <v/>
          </cell>
        </row>
        <row r="1351">
          <cell r="A1351" t="str">
            <v>B1352</v>
          </cell>
          <cell r="B1351" t="str">
            <v>Solar Panels</v>
          </cell>
          <cell r="C1351" t="str">
            <v>Trina</v>
          </cell>
          <cell r="D1351" t="str">
            <v xml:space="preserve">Solar Panel 415W Mono </v>
          </cell>
          <cell r="E1351" t="str">
            <v>TSM-DE09R.08-415W</v>
          </cell>
          <cell r="F1351" t="str">
            <v>MPN (Part #)</v>
          </cell>
          <cell r="G1351">
            <v>0</v>
          </cell>
          <cell r="H1351">
            <v>0</v>
          </cell>
          <cell r="I1351">
            <v>0</v>
          </cell>
          <cell r="N1351" t="str">
            <v/>
          </cell>
        </row>
        <row r="1352">
          <cell r="A1352" t="str">
            <v>B1353</v>
          </cell>
          <cell r="B1352" t="str">
            <v>Inverters</v>
          </cell>
          <cell r="C1352" t="str">
            <v>Fronius</v>
          </cell>
          <cell r="D1352" t="str">
            <v>Gen24 Primo 3.6KW</v>
          </cell>
          <cell r="E1352" t="str">
            <v>Primo-Gen24-3.6</v>
          </cell>
          <cell r="F1352" t="str">
            <v>MPN (Part #)</v>
          </cell>
          <cell r="G1352">
            <v>2486.4500000000003</v>
          </cell>
          <cell r="H1352">
            <v>2260.4</v>
          </cell>
          <cell r="I1352">
            <v>0</v>
          </cell>
          <cell r="J1352">
            <v>19</v>
          </cell>
          <cell r="K1352">
            <v>47.4</v>
          </cell>
          <cell r="L1352">
            <v>53</v>
          </cell>
          <cell r="M1352">
            <v>16.5</v>
          </cell>
          <cell r="N1352" t="str">
            <v>2-Krannich</v>
          </cell>
        </row>
        <row r="1353">
          <cell r="A1353" t="str">
            <v>B1354</v>
          </cell>
          <cell r="B1353" t="str">
            <v>Inverters</v>
          </cell>
          <cell r="C1353" t="str">
            <v>Fronius</v>
          </cell>
          <cell r="D1353" t="str">
            <v>Gen24 Primo 3.0KW</v>
          </cell>
          <cell r="E1353" t="str">
            <v>Primo-Gen24-3.0</v>
          </cell>
          <cell r="F1353" t="str">
            <v>MPN (Part #)</v>
          </cell>
          <cell r="G1353">
            <v>0</v>
          </cell>
          <cell r="H1353">
            <v>0</v>
          </cell>
          <cell r="I1353">
            <v>0</v>
          </cell>
          <cell r="J1353">
            <v>19</v>
          </cell>
          <cell r="K1353">
            <v>47.4</v>
          </cell>
          <cell r="L1353">
            <v>53</v>
          </cell>
          <cell r="M1353">
            <v>16.5</v>
          </cell>
          <cell r="N1353" t="str">
            <v/>
          </cell>
        </row>
        <row r="1354">
          <cell r="A1354" t="str">
            <v>B1355</v>
          </cell>
          <cell r="B1354" t="str">
            <v>Inverters</v>
          </cell>
          <cell r="C1354" t="str">
            <v>Fronius</v>
          </cell>
          <cell r="D1354" t="str">
            <v>Gen24 Primo 4.0KW</v>
          </cell>
          <cell r="E1354" t="str">
            <v>Primo-Gen24-4.0</v>
          </cell>
          <cell r="F1354" t="str">
            <v>MPN (Part #)</v>
          </cell>
          <cell r="G1354">
            <v>0</v>
          </cell>
          <cell r="H1354">
            <v>0</v>
          </cell>
          <cell r="I1354">
            <v>0</v>
          </cell>
          <cell r="J1354">
            <v>19</v>
          </cell>
          <cell r="K1354">
            <v>47.4</v>
          </cell>
          <cell r="L1354">
            <v>53</v>
          </cell>
          <cell r="M1354">
            <v>16.5</v>
          </cell>
          <cell r="N1354" t="str">
            <v/>
          </cell>
        </row>
        <row r="1355">
          <cell r="A1355" t="str">
            <v>B1356</v>
          </cell>
          <cell r="B1355" t="str">
            <v>Inverters</v>
          </cell>
          <cell r="C1355" t="str">
            <v>Fronius</v>
          </cell>
          <cell r="D1355" t="str">
            <v>Gen24 Primo 8.0KW</v>
          </cell>
          <cell r="E1355" t="str">
            <v>Primo-Gen24-8.0</v>
          </cell>
          <cell r="F1355" t="str">
            <v>MPN (Part #)</v>
          </cell>
          <cell r="G1355">
            <v>0</v>
          </cell>
          <cell r="H1355">
            <v>0</v>
          </cell>
          <cell r="I1355">
            <v>0</v>
          </cell>
          <cell r="J1355">
            <v>19</v>
          </cell>
          <cell r="K1355">
            <v>47.4</v>
          </cell>
          <cell r="L1355">
            <v>53</v>
          </cell>
          <cell r="M1355">
            <v>16.5</v>
          </cell>
          <cell r="N1355" t="str">
            <v/>
          </cell>
        </row>
        <row r="1356">
          <cell r="A1356" t="str">
            <v>B1357</v>
          </cell>
          <cell r="B1356" t="str">
            <v>Generators</v>
          </cell>
          <cell r="C1356" t="str">
            <v>Dewalt</v>
          </cell>
          <cell r="D1356" t="str">
            <v>Dewalt 6.8KVA Pull start Generator Petrol, 23L/</v>
          </cell>
          <cell r="E1356" t="str">
            <v>DXGN6875I</v>
          </cell>
          <cell r="F1356" t="str">
            <v>MPN (Part #)</v>
          </cell>
          <cell r="G1356">
            <v>2428.5500000000002</v>
          </cell>
          <cell r="H1356">
            <v>2207.8000000000002</v>
          </cell>
          <cell r="I1356">
            <v>0</v>
          </cell>
          <cell r="N1356" t="str">
            <v>6-Various</v>
          </cell>
        </row>
        <row r="1357">
          <cell r="A1357" t="str">
            <v>B1358</v>
          </cell>
        </row>
        <row r="1358">
          <cell r="A1358" t="str">
            <v>B1359</v>
          </cell>
        </row>
        <row r="1359">
          <cell r="A1359" t="str">
            <v>B1360</v>
          </cell>
        </row>
        <row r="1360">
          <cell r="A1360" t="str">
            <v>B1361</v>
          </cell>
        </row>
        <row r="1361">
          <cell r="A1361" t="str">
            <v>B1362</v>
          </cell>
        </row>
        <row r="1362">
          <cell r="A1362" t="str">
            <v>B1363</v>
          </cell>
        </row>
        <row r="1363">
          <cell r="A1363" t="str">
            <v>B1364</v>
          </cell>
        </row>
        <row r="1364">
          <cell r="A1364" t="str">
            <v>B1365</v>
          </cell>
        </row>
        <row r="1365">
          <cell r="A1365" t="str">
            <v>B1366</v>
          </cell>
        </row>
        <row r="1366">
          <cell r="A1366" t="str">
            <v>B1367</v>
          </cell>
        </row>
        <row r="1367">
          <cell r="A1367" t="str">
            <v>B1368</v>
          </cell>
        </row>
        <row r="1368">
          <cell r="A1368" t="str">
            <v>B1369</v>
          </cell>
        </row>
        <row r="1369">
          <cell r="A1369" t="str">
            <v>B1370</v>
          </cell>
        </row>
        <row r="1370">
          <cell r="A1370" t="str">
            <v>B1371</v>
          </cell>
        </row>
        <row r="1371">
          <cell r="A1371" t="str">
            <v>B1372</v>
          </cell>
        </row>
        <row r="1372">
          <cell r="A1372" t="str">
            <v>B1373</v>
          </cell>
        </row>
        <row r="1373">
          <cell r="A1373" t="str">
            <v>B1374</v>
          </cell>
        </row>
        <row r="1374">
          <cell r="A1374" t="str">
            <v>B1375</v>
          </cell>
        </row>
        <row r="1375">
          <cell r="A1375" t="str">
            <v>B1376</v>
          </cell>
        </row>
        <row r="1376">
          <cell r="A1376" t="str">
            <v>B1377</v>
          </cell>
        </row>
        <row r="1377">
          <cell r="A1377" t="str">
            <v>B1378</v>
          </cell>
        </row>
        <row r="1378">
          <cell r="A1378" t="str">
            <v>B1379</v>
          </cell>
        </row>
        <row r="1379">
          <cell r="A1379" t="str">
            <v>B1380</v>
          </cell>
        </row>
        <row r="1380">
          <cell r="A1380" t="str">
            <v>B1381</v>
          </cell>
        </row>
        <row r="1381">
          <cell r="A1381" t="str">
            <v>B1382</v>
          </cell>
        </row>
        <row r="1382">
          <cell r="A1382" t="str">
            <v>B1383</v>
          </cell>
        </row>
        <row r="1383">
          <cell r="A1383" t="str">
            <v>B1384</v>
          </cell>
        </row>
        <row r="1384">
          <cell r="A1384" t="str">
            <v>B1385</v>
          </cell>
        </row>
        <row r="1385">
          <cell r="A1385" t="str">
            <v>B1386</v>
          </cell>
        </row>
        <row r="1386">
          <cell r="A1386" t="str">
            <v>B1387</v>
          </cell>
        </row>
        <row r="1387">
          <cell r="A1387" t="str">
            <v>B1388</v>
          </cell>
        </row>
        <row r="1388">
          <cell r="A1388" t="str">
            <v>B1389</v>
          </cell>
          <cell r="B1388" t="str">
            <v>Inverter-Chargers</v>
          </cell>
          <cell r="C1388" t="str">
            <v>Victron</v>
          </cell>
          <cell r="D1388" t="str">
            <v>EasySolar-II 24/3000/70-32 MPPT 250/70 GX</v>
          </cell>
          <cell r="E1388" t="str">
            <v>PMP242307010</v>
          </cell>
          <cell r="F1388" t="str">
            <v>MPN (Part #)</v>
          </cell>
          <cell r="G1388">
            <v>2635.4</v>
          </cell>
          <cell r="H1388">
            <v>2395.8000000000002</v>
          </cell>
          <cell r="I1388">
            <v>0</v>
          </cell>
          <cell r="J1388">
            <v>0.1</v>
          </cell>
          <cell r="K1388">
            <v>8</v>
          </cell>
          <cell r="L1388">
            <v>8</v>
          </cell>
          <cell r="M1388">
            <v>0.5</v>
          </cell>
          <cell r="N1388" t="str">
            <v>1-Victron</v>
          </cell>
        </row>
        <row r="1389">
          <cell r="A1389" t="str">
            <v>B1390</v>
          </cell>
        </row>
        <row r="1390">
          <cell r="A1390" t="str">
            <v>B1391</v>
          </cell>
        </row>
        <row r="1391">
          <cell r="A1391" t="str">
            <v>B1392</v>
          </cell>
        </row>
        <row r="1392">
          <cell r="A1392" t="str">
            <v>B1393</v>
          </cell>
        </row>
        <row r="1393">
          <cell r="A1393" t="str">
            <v>B1394</v>
          </cell>
        </row>
        <row r="1394">
          <cell r="A1394" t="str">
            <v>B1395</v>
          </cell>
        </row>
        <row r="1395">
          <cell r="A1395" t="str">
            <v>B1396</v>
          </cell>
        </row>
        <row r="1396">
          <cell r="A1396" t="str">
            <v>B1397</v>
          </cell>
        </row>
        <row r="1397">
          <cell r="A1397" t="str">
            <v>B1398</v>
          </cell>
        </row>
        <row r="1398">
          <cell r="A1398" t="str">
            <v>B1399</v>
          </cell>
        </row>
        <row r="1399">
          <cell r="A1399" t="str">
            <v>B1400</v>
          </cell>
        </row>
        <row r="1400">
          <cell r="A1400" t="str">
            <v>A0047</v>
          </cell>
          <cell r="B1400" t="str">
            <v>Electrical</v>
          </cell>
          <cell r="C1400" t="str">
            <v>Voltex</v>
          </cell>
          <cell r="D1400" t="str">
            <v>Cover for MCB 4Pole Enclosure</v>
          </cell>
          <cell r="F1400" t="str">
            <v>MPN (Part #)</v>
          </cell>
          <cell r="G1400" t="e">
            <v>#N/A</v>
          </cell>
          <cell r="H1400" t="e">
            <v>#N/A</v>
          </cell>
          <cell r="I1400">
            <v>0</v>
          </cell>
          <cell r="J1400">
            <v>0.1</v>
          </cell>
          <cell r="K1400">
            <v>8</v>
          </cell>
          <cell r="L1400">
            <v>8</v>
          </cell>
          <cell r="M1400">
            <v>0.5</v>
          </cell>
          <cell r="N1400" t="e">
            <v>#N/A</v>
          </cell>
        </row>
        <row r="1401">
          <cell r="A1401" t="str">
            <v>A0048</v>
          </cell>
          <cell r="B1401" t="str">
            <v>Electrical</v>
          </cell>
          <cell r="C1401" t="str">
            <v>ecoCool</v>
          </cell>
          <cell r="D1401" t="str">
            <v>PV Fuses in 4 Pole Enclosure with MC4 leads</v>
          </cell>
          <cell r="E1401" t="str">
            <v>A0048</v>
          </cell>
          <cell r="F1401" t="str">
            <v>MPN (Part #)</v>
          </cell>
          <cell r="G1401" t="e">
            <v>#REF!</v>
          </cell>
          <cell r="H1401" t="e">
            <v>#N/A</v>
          </cell>
          <cell r="N1401" t="e">
            <v>#N/A</v>
          </cell>
        </row>
        <row r="1402">
          <cell r="A1402" t="str">
            <v>C0016</v>
          </cell>
          <cell r="B1402" t="str">
            <v>Component</v>
          </cell>
          <cell r="C1402" t="str">
            <v>ecoCool</v>
          </cell>
          <cell r="D1402" t="str">
            <v>600mm x 200mm Battery Shelf Powerdercoated</v>
          </cell>
          <cell r="E1402" t="str">
            <v>C0016</v>
          </cell>
          <cell r="F1402" t="str">
            <v>MPN (Part #)</v>
          </cell>
          <cell r="G1402">
            <v>0</v>
          </cell>
          <cell r="H1402">
            <v>0</v>
          </cell>
          <cell r="I1402">
            <v>0</v>
          </cell>
          <cell r="N1402" t="str">
            <v>0-ecoCool</v>
          </cell>
        </row>
        <row r="1403">
          <cell r="A1403" t="str">
            <v>C0052</v>
          </cell>
          <cell r="B1403" t="str">
            <v>Component</v>
          </cell>
          <cell r="C1403" t="str">
            <v>ecoCool</v>
          </cell>
          <cell r="D1403" t="str">
            <v>800mm x 350mm Battery Shelf Powerdercoated</v>
          </cell>
          <cell r="E1403" t="str">
            <v>C0052</v>
          </cell>
          <cell r="F1403" t="str">
            <v>MPN (Part #)</v>
          </cell>
          <cell r="G1403">
            <v>0</v>
          </cell>
          <cell r="H1403">
            <v>0</v>
          </cell>
          <cell r="I1403">
            <v>0</v>
          </cell>
          <cell r="N1403" t="str">
            <v>0-ecoCool</v>
          </cell>
        </row>
        <row r="1404">
          <cell r="A1404" t="str">
            <v>E30.300.01</v>
          </cell>
          <cell r="B1404" t="str">
            <v>Control</v>
          </cell>
          <cell r="C1404" t="str">
            <v>ecoCool</v>
          </cell>
          <cell r="D1404" t="str">
            <v>E30 Energy Management Dashboard, Ph1.0</v>
          </cell>
          <cell r="E1404" t="str">
            <v>E30.300.01</v>
          </cell>
          <cell r="F1404" t="str">
            <v>MPN (Part #)</v>
          </cell>
          <cell r="G1404">
            <v>600.75</v>
          </cell>
          <cell r="H1404">
            <v>546.15</v>
          </cell>
          <cell r="I1404">
            <v>0</v>
          </cell>
          <cell r="N1404" t="str">
            <v>0-ecoCool</v>
          </cell>
        </row>
        <row r="1405">
          <cell r="A1405" t="str">
            <v>E30.400.01</v>
          </cell>
          <cell r="B1405" t="str">
            <v>Control</v>
          </cell>
          <cell r="C1405" t="str">
            <v>ecoCool</v>
          </cell>
          <cell r="D1405" t="str">
            <v>E30 Energy Management Dashboard, Ph1.1</v>
          </cell>
          <cell r="E1405" t="str">
            <v>E30.400.01</v>
          </cell>
          <cell r="F1405" t="str">
            <v>MPN (Part #)</v>
          </cell>
          <cell r="G1405">
            <v>600.75</v>
          </cell>
          <cell r="H1405">
            <v>546.15</v>
          </cell>
          <cell r="I1405">
            <v>0</v>
          </cell>
          <cell r="N1405" t="str">
            <v>0-ecoCool</v>
          </cell>
        </row>
        <row r="1406">
          <cell r="A1406" t="str">
            <v>E30.500.01</v>
          </cell>
          <cell r="B1406" t="str">
            <v>Control</v>
          </cell>
          <cell r="C1406" t="str">
            <v>ecoCool</v>
          </cell>
          <cell r="D1406" t="str">
            <v>E30 Energy Management Dashboard, Ph1 Commercial</v>
          </cell>
          <cell r="E1406" t="str">
            <v>E30.500.01</v>
          </cell>
          <cell r="F1406" t="str">
            <v>MPN (Part #)</v>
          </cell>
          <cell r="G1406">
            <v>0</v>
          </cell>
          <cell r="H1406">
            <v>0</v>
          </cell>
          <cell r="I1406">
            <v>0</v>
          </cell>
          <cell r="N1406" t="str">
            <v>0-ecoCool</v>
          </cell>
        </row>
        <row r="1407">
          <cell r="A1407" t="str">
            <v>i36.01.01</v>
          </cell>
          <cell r="B1407" t="str">
            <v>Communications</v>
          </cell>
          <cell r="C1407" t="str">
            <v>ecoCool</v>
          </cell>
          <cell r="D1407" t="str">
            <v>4G Modem 1-port, 48v embedded</v>
          </cell>
          <cell r="E1407" t="str">
            <v>i36.01.01</v>
          </cell>
          <cell r="F1407" t="str">
            <v>MPN (Part #)</v>
          </cell>
          <cell r="G1407">
            <v>476.90000000000003</v>
          </cell>
          <cell r="H1407">
            <v>433.55</v>
          </cell>
          <cell r="I1407">
            <v>0</v>
          </cell>
          <cell r="J1407">
            <v>0.7</v>
          </cell>
          <cell r="K1407">
            <v>14</v>
          </cell>
          <cell r="L1407">
            <v>10</v>
          </cell>
          <cell r="M1407">
            <v>4</v>
          </cell>
          <cell r="N1407" t="str">
            <v>0-ecoCool</v>
          </cell>
        </row>
        <row r="1408">
          <cell r="A1408" t="str">
            <v>i36.01.02</v>
          </cell>
          <cell r="B1408" t="str">
            <v>Communications</v>
          </cell>
          <cell r="C1408" t="str">
            <v>ecoCool</v>
          </cell>
          <cell r="D1408" t="str">
            <v>4G Modem-router Wifi-2-Port, 48v, embedded</v>
          </cell>
          <cell r="E1408" t="str">
            <v>i36.01.02</v>
          </cell>
          <cell r="F1408" t="str">
            <v>MPN (Part #)</v>
          </cell>
          <cell r="G1408">
            <v>671.1</v>
          </cell>
          <cell r="H1408">
            <v>610.05000000000007</v>
          </cell>
          <cell r="I1408">
            <v>0</v>
          </cell>
          <cell r="J1408">
            <v>0.7</v>
          </cell>
          <cell r="K1408">
            <v>14</v>
          </cell>
          <cell r="L1408">
            <v>10</v>
          </cell>
          <cell r="M1408">
            <v>4</v>
          </cell>
          <cell r="N1408" t="str">
            <v>0-ecoCool</v>
          </cell>
        </row>
        <row r="1409">
          <cell r="A1409" t="str">
            <v>i36.02.01</v>
          </cell>
          <cell r="B1409" t="str">
            <v>Communications</v>
          </cell>
          <cell r="C1409" t="str">
            <v>ecoCool</v>
          </cell>
          <cell r="D1409" t="str">
            <v>4G Modem 1-port, 12-48v, IP-Enclosure</v>
          </cell>
          <cell r="E1409" t="str">
            <v>i36.02.01</v>
          </cell>
          <cell r="F1409" t="str">
            <v>MPN (Part #)</v>
          </cell>
          <cell r="G1409">
            <v>611.6</v>
          </cell>
          <cell r="H1409">
            <v>556</v>
          </cell>
          <cell r="I1409">
            <v>0</v>
          </cell>
          <cell r="J1409">
            <v>1.5</v>
          </cell>
          <cell r="K1409">
            <v>22</v>
          </cell>
          <cell r="L1409">
            <v>15</v>
          </cell>
          <cell r="M1409">
            <v>75</v>
          </cell>
          <cell r="N1409" t="str">
            <v>0-ecoCool</v>
          </cell>
        </row>
        <row r="1410">
          <cell r="A1410" t="str">
            <v>i36.02.02</v>
          </cell>
          <cell r="B1410" t="str">
            <v>Communications</v>
          </cell>
          <cell r="C1410" t="str">
            <v>ecoCool</v>
          </cell>
          <cell r="D1410" t="str">
            <v>4G Modem-router Wifi-2-Port, 12-48v, IP-Enclosure</v>
          </cell>
          <cell r="E1410" t="str">
            <v>i36.02.02</v>
          </cell>
          <cell r="F1410" t="str">
            <v>MPN (Part #)</v>
          </cell>
          <cell r="G1410">
            <v>785.6</v>
          </cell>
          <cell r="H1410">
            <v>714.15000000000009</v>
          </cell>
          <cell r="I1410">
            <v>0</v>
          </cell>
          <cell r="J1410">
            <v>1.5</v>
          </cell>
          <cell r="K1410">
            <v>22</v>
          </cell>
          <cell r="L1410">
            <v>15</v>
          </cell>
          <cell r="M1410">
            <v>75</v>
          </cell>
          <cell r="N1410" t="str">
            <v>0-ecoCool</v>
          </cell>
        </row>
        <row r="1411">
          <cell r="A1411" t="str">
            <v>i36.02.03</v>
          </cell>
          <cell r="B1411" t="str">
            <v>Communications</v>
          </cell>
          <cell r="C1411" t="str">
            <v>ecoCool</v>
          </cell>
          <cell r="D1411" t="str">
            <v>4G Modem-router Wifi-4-port, 12-48v, IP-Enclosure</v>
          </cell>
          <cell r="E1411" t="str">
            <v>i36.02.03</v>
          </cell>
          <cell r="F1411" t="str">
            <v>MPN (Part #)</v>
          </cell>
          <cell r="G1411">
            <v>820.40000000000009</v>
          </cell>
          <cell r="H1411">
            <v>745.80000000000007</v>
          </cell>
          <cell r="I1411">
            <v>0</v>
          </cell>
          <cell r="J1411">
            <v>1.7</v>
          </cell>
          <cell r="K1411">
            <v>22</v>
          </cell>
          <cell r="L1411">
            <v>15</v>
          </cell>
          <cell r="M1411">
            <v>75</v>
          </cell>
          <cell r="N1411" t="str">
            <v>0-ecoCool</v>
          </cell>
        </row>
        <row r="1412">
          <cell r="A1412" t="str">
            <v>J0010</v>
          </cell>
          <cell r="B1412" t="str">
            <v>Sensor</v>
          </cell>
          <cell r="C1412" t="str">
            <v>ecoCool</v>
          </cell>
          <cell r="D1412" t="str">
            <v>BMV702 Temperature sensor, 1.4m cable, ecoCool</v>
          </cell>
          <cell r="E1412" t="str">
            <v>J0010</v>
          </cell>
          <cell r="F1412" t="str">
            <v>MPN (Part #)</v>
          </cell>
          <cell r="G1412">
            <v>44</v>
          </cell>
          <cell r="H1412">
            <v>40</v>
          </cell>
          <cell r="I1412">
            <v>0</v>
          </cell>
          <cell r="N1412" t="str">
            <v>0-ecoCool</v>
          </cell>
        </row>
        <row r="1413">
          <cell r="A1413" t="str">
            <v>K28.1200.24</v>
          </cell>
          <cell r="B1413" t="str">
            <v>Remote Power</v>
          </cell>
          <cell r="C1413" t="str">
            <v>ecoCool</v>
          </cell>
          <cell r="D1413" t="str">
            <v>Remote Power System 1200VA Inverter, 2.4 KWh Battery</v>
          </cell>
          <cell r="E1413" t="str">
            <v>K28.1200.24</v>
          </cell>
          <cell r="F1413" t="str">
            <v>MPN (Part #)</v>
          </cell>
          <cell r="G1413">
            <v>3319.3</v>
          </cell>
          <cell r="H1413">
            <v>3017.55</v>
          </cell>
          <cell r="I1413">
            <v>0</v>
          </cell>
          <cell r="J1413">
            <v>89</v>
          </cell>
          <cell r="K1413">
            <v>60</v>
          </cell>
          <cell r="L1413">
            <v>30</v>
          </cell>
          <cell r="M1413">
            <v>62.5</v>
          </cell>
          <cell r="N1413" t="str">
            <v>0-ecoCool</v>
          </cell>
        </row>
        <row r="1414">
          <cell r="A1414" t="str">
            <v>K28.1200.29</v>
          </cell>
          <cell r="B1414" t="str">
            <v>Remote Power</v>
          </cell>
          <cell r="C1414" t="str">
            <v>ecoCool</v>
          </cell>
          <cell r="D1414" t="str">
            <v>Remote Power System 1200VA Inverter, 2.9 KWh Battery</v>
          </cell>
          <cell r="E1414" t="str">
            <v>K28.1200.29</v>
          </cell>
          <cell r="F1414" t="str">
            <v>MPN (Part #)</v>
          </cell>
          <cell r="G1414">
            <v>3424.15</v>
          </cell>
          <cell r="H1414">
            <v>3112.8500000000004</v>
          </cell>
          <cell r="I1414">
            <v>0</v>
          </cell>
          <cell r="J1414">
            <v>97</v>
          </cell>
          <cell r="K1414">
            <v>60</v>
          </cell>
          <cell r="L1414">
            <v>30</v>
          </cell>
          <cell r="M1414">
            <v>62.5</v>
          </cell>
          <cell r="N1414" t="str">
            <v>0-ecoCool</v>
          </cell>
        </row>
        <row r="1415">
          <cell r="A1415" t="str">
            <v>K28.1200.38</v>
          </cell>
          <cell r="B1415" t="str">
            <v>Remote Power</v>
          </cell>
          <cell r="C1415" t="str">
            <v>ecoCool</v>
          </cell>
          <cell r="D1415" t="str">
            <v>Remote Power System 1200VA Inverter, 3.8 KWh Battery</v>
          </cell>
          <cell r="E1415" t="str">
            <v>K28.1200.38</v>
          </cell>
          <cell r="F1415" t="str">
            <v>MPN (Part #)</v>
          </cell>
          <cell r="G1415">
            <v>4577.3500000000004</v>
          </cell>
          <cell r="H1415">
            <v>4161.25</v>
          </cell>
          <cell r="I1415">
            <v>0</v>
          </cell>
          <cell r="J1415">
            <v>149</v>
          </cell>
          <cell r="K1415">
            <v>60</v>
          </cell>
          <cell r="L1415">
            <v>30</v>
          </cell>
          <cell r="M1415">
            <v>82.5</v>
          </cell>
          <cell r="N1415" t="str">
            <v>0-ecoCool</v>
          </cell>
        </row>
        <row r="1416">
          <cell r="A1416" t="str">
            <v>K28.1200.48</v>
          </cell>
          <cell r="B1416" t="str">
            <v>Remote Power</v>
          </cell>
          <cell r="C1416" t="str">
            <v>ecoCool</v>
          </cell>
          <cell r="D1416" t="str">
            <v>Remote Power System 1200VA Inverter, 4.8 KWh Battery</v>
          </cell>
          <cell r="E1416" t="str">
            <v>K28.1200.48</v>
          </cell>
          <cell r="F1416" t="str">
            <v>MPN (Part #)</v>
          </cell>
          <cell r="G1416">
            <v>4986.05</v>
          </cell>
          <cell r="H1416">
            <v>4532.75</v>
          </cell>
          <cell r="I1416">
            <v>0</v>
          </cell>
          <cell r="J1416">
            <v>123</v>
          </cell>
          <cell r="K1416">
            <v>80</v>
          </cell>
          <cell r="L1416">
            <v>40</v>
          </cell>
          <cell r="M1416">
            <v>82.5</v>
          </cell>
          <cell r="N1416" t="str">
            <v>0-ecoCool</v>
          </cell>
        </row>
        <row r="1417">
          <cell r="A1417" t="str">
            <v>K28.1200.58</v>
          </cell>
          <cell r="B1417" t="str">
            <v>Remote Power</v>
          </cell>
          <cell r="C1417" t="str">
            <v>ecoCool</v>
          </cell>
          <cell r="D1417" t="str">
            <v>Remote Power System 1200VA Inverter, 5.8 KWh Battery</v>
          </cell>
          <cell r="E1417" t="str">
            <v>K28.1200.58</v>
          </cell>
          <cell r="F1417" t="str">
            <v>MPN (Part #)</v>
          </cell>
          <cell r="G1417">
            <v>5206.4000000000005</v>
          </cell>
          <cell r="H1417">
            <v>4733.1000000000004</v>
          </cell>
          <cell r="I1417">
            <v>0</v>
          </cell>
          <cell r="J1417">
            <v>138</v>
          </cell>
          <cell r="K1417">
            <v>80</v>
          </cell>
          <cell r="L1417">
            <v>40</v>
          </cell>
          <cell r="M1417">
            <v>82.5</v>
          </cell>
          <cell r="N1417" t="str">
            <v>0-ecoCool</v>
          </cell>
        </row>
        <row r="1418">
          <cell r="A1418" t="str">
            <v>K28.1200.G.24</v>
          </cell>
          <cell r="B1418" t="str">
            <v>UPS &amp; Remote-Power</v>
          </cell>
          <cell r="C1418" t="str">
            <v>ecoCool</v>
          </cell>
          <cell r="D1418" t="str">
            <v>Backup+Remote Power 1200VA output, 2.4KWh Battery</v>
          </cell>
          <cell r="E1418" t="str">
            <v>K28.1200.G.24</v>
          </cell>
          <cell r="F1418" t="str">
            <v>MPN (Part #)</v>
          </cell>
          <cell r="G1418">
            <v>3731.55</v>
          </cell>
          <cell r="H1418">
            <v>3392.3</v>
          </cell>
          <cell r="I1418">
            <v>0</v>
          </cell>
          <cell r="J1418">
            <v>90</v>
          </cell>
          <cell r="K1418">
            <v>60</v>
          </cell>
          <cell r="L1418">
            <v>30</v>
          </cell>
          <cell r="M1418">
            <v>62.5</v>
          </cell>
          <cell r="N1418" t="str">
            <v>0-ecoCool</v>
          </cell>
        </row>
        <row r="1419">
          <cell r="A1419" t="str">
            <v>K28.1200.G.29</v>
          </cell>
          <cell r="B1419" t="str">
            <v>UPS &amp; Remote-Power</v>
          </cell>
          <cell r="C1419" t="str">
            <v>ecoCool</v>
          </cell>
          <cell r="D1419" t="str">
            <v>Backup+Remote Power 1200VA output, 2.88KWh Battery</v>
          </cell>
          <cell r="E1419" t="str">
            <v>K28.1200.G.29</v>
          </cell>
          <cell r="F1419" t="str">
            <v>MPN (Part #)</v>
          </cell>
          <cell r="G1419">
            <v>4072.7000000000003</v>
          </cell>
          <cell r="H1419">
            <v>3702.4500000000003</v>
          </cell>
          <cell r="I1419">
            <v>0</v>
          </cell>
          <cell r="J1419">
            <v>98</v>
          </cell>
          <cell r="K1419">
            <v>60</v>
          </cell>
          <cell r="L1419">
            <v>30</v>
          </cell>
          <cell r="M1419">
            <v>62.5</v>
          </cell>
          <cell r="N1419" t="str">
            <v>0-ecoCool</v>
          </cell>
        </row>
        <row r="1420">
          <cell r="A1420" t="str">
            <v>K28.1200.G.38</v>
          </cell>
          <cell r="B1420" t="str">
            <v>UPS &amp; Remote-Power</v>
          </cell>
          <cell r="C1420" t="str">
            <v>ecoCool</v>
          </cell>
          <cell r="D1420" t="str">
            <v>Backup+Remote Power 1200VA output, 3.84KWh Battery</v>
          </cell>
          <cell r="E1420" t="str">
            <v>K28.1200.G.38</v>
          </cell>
          <cell r="F1420" t="str">
            <v>MPN (Part #)</v>
          </cell>
          <cell r="G1420">
            <v>5225.9500000000007</v>
          </cell>
          <cell r="H1420">
            <v>4750.8500000000004</v>
          </cell>
          <cell r="I1420">
            <v>0</v>
          </cell>
          <cell r="J1420">
            <v>150</v>
          </cell>
          <cell r="K1420">
            <v>60</v>
          </cell>
          <cell r="L1420">
            <v>30</v>
          </cell>
          <cell r="M1420">
            <v>82.5</v>
          </cell>
          <cell r="N1420" t="str">
            <v>0-ecoCool</v>
          </cell>
        </row>
        <row r="1421">
          <cell r="A1421" t="str">
            <v>K28.1200.G.48</v>
          </cell>
          <cell r="B1421" t="str">
            <v>UPS &amp; Remote-Power</v>
          </cell>
          <cell r="C1421" t="str">
            <v>ecoCool</v>
          </cell>
          <cell r="D1421" t="str">
            <v>Backup+Remote Power 1200VA output, 4.8KWh Battery</v>
          </cell>
          <cell r="E1421" t="str">
            <v>K28.1200.G.48</v>
          </cell>
          <cell r="F1421" t="str">
            <v>MPN (Part #)</v>
          </cell>
          <cell r="G1421">
            <v>5886.9500000000007</v>
          </cell>
          <cell r="H1421">
            <v>5351.75</v>
          </cell>
          <cell r="I1421">
            <v>0</v>
          </cell>
          <cell r="J1421">
            <v>124</v>
          </cell>
          <cell r="K1421">
            <v>80</v>
          </cell>
          <cell r="L1421">
            <v>40</v>
          </cell>
          <cell r="M1421">
            <v>82.5</v>
          </cell>
          <cell r="N1421" t="str">
            <v>0-ecoCool</v>
          </cell>
        </row>
        <row r="1422">
          <cell r="A1422" t="str">
            <v>K28.1200.G.58</v>
          </cell>
          <cell r="B1422" t="str">
            <v>UPS &amp; Remote-Power</v>
          </cell>
          <cell r="C1422" t="str">
            <v>ecoCool</v>
          </cell>
          <cell r="D1422" t="str">
            <v>Backup+Remote Power 1200VA output, 5.76KWh Battery</v>
          </cell>
          <cell r="E1422" t="str">
            <v>K28.1200.G.58</v>
          </cell>
          <cell r="F1422" t="str">
            <v>MPN (Part #)</v>
          </cell>
          <cell r="G1422">
            <v>6107.3</v>
          </cell>
          <cell r="H1422">
            <v>5552.1</v>
          </cell>
          <cell r="I1422">
            <v>0</v>
          </cell>
          <cell r="J1422">
            <v>139</v>
          </cell>
          <cell r="K1422">
            <v>80</v>
          </cell>
          <cell r="L1422">
            <v>40</v>
          </cell>
          <cell r="M1422">
            <v>82.5</v>
          </cell>
          <cell r="N1422" t="str">
            <v>0-ecoCool</v>
          </cell>
        </row>
        <row r="1423">
          <cell r="A1423" t="str">
            <v>K28.15.10</v>
          </cell>
          <cell r="B1423" t="str">
            <v>Remote Power</v>
          </cell>
          <cell r="C1423" t="str">
            <v>ecoCool</v>
          </cell>
          <cell r="D1423" t="str">
            <v>K28 1KW Remote Power Station</v>
          </cell>
          <cell r="E1423" t="str">
            <v>K28.15.10</v>
          </cell>
          <cell r="F1423" t="str">
            <v>K28.15.10</v>
          </cell>
          <cell r="G1423" t="e">
            <v>#N/A</v>
          </cell>
          <cell r="H1423" t="e">
            <v>#N/A</v>
          </cell>
          <cell r="I1423">
            <v>0</v>
          </cell>
          <cell r="J1423">
            <v>65</v>
          </cell>
          <cell r="K1423">
            <v>61</v>
          </cell>
          <cell r="L1423">
            <v>61</v>
          </cell>
          <cell r="M1423">
            <v>75</v>
          </cell>
          <cell r="N1423" t="e">
            <v>#N/A</v>
          </cell>
        </row>
        <row r="1424">
          <cell r="A1424" t="str">
            <v>K28.150.1</v>
          </cell>
          <cell r="B1424" t="str">
            <v>Remote Power</v>
          </cell>
          <cell r="C1424" t="str">
            <v>ecoCool</v>
          </cell>
          <cell r="D1424" t="str">
            <v xml:space="preserve">K28 Paragon - Remote IoT Equipment Power </v>
          </cell>
          <cell r="E1424" t="str">
            <v>K28.150.1</v>
          </cell>
          <cell r="F1424" t="str">
            <v>K28.150.1</v>
          </cell>
          <cell r="G1424" t="e">
            <v>#N/A</v>
          </cell>
          <cell r="H1424" t="e">
            <v>#N/A</v>
          </cell>
          <cell r="I1424">
            <v>0</v>
          </cell>
          <cell r="J1424">
            <v>32</v>
          </cell>
          <cell r="K1424">
            <v>170</v>
          </cell>
          <cell r="L1424">
            <v>100</v>
          </cell>
          <cell r="M1424">
            <v>250</v>
          </cell>
          <cell r="N1424" t="e">
            <v>#N/A</v>
          </cell>
        </row>
        <row r="1425">
          <cell r="A1425" t="str">
            <v>K28.1600.38</v>
          </cell>
          <cell r="B1425" t="str">
            <v>Remote Power</v>
          </cell>
          <cell r="C1425" t="str">
            <v>ecoCool</v>
          </cell>
          <cell r="D1425" t="str">
            <v>Remote Power System 1600VA Inverter, 3.8 KWh Battery</v>
          </cell>
          <cell r="E1425" t="str">
            <v>K28.1600.38</v>
          </cell>
          <cell r="F1425" t="str">
            <v>MPN (Part #)</v>
          </cell>
          <cell r="G1425">
            <v>5131.75</v>
          </cell>
          <cell r="H1425">
            <v>4665.25</v>
          </cell>
          <cell r="I1425">
            <v>0</v>
          </cell>
          <cell r="J1425">
            <v>153</v>
          </cell>
          <cell r="K1425">
            <v>60</v>
          </cell>
          <cell r="L1425">
            <v>30</v>
          </cell>
          <cell r="M1425">
            <v>82.5</v>
          </cell>
          <cell r="N1425" t="str">
            <v>0-ecoCool</v>
          </cell>
        </row>
        <row r="1426">
          <cell r="A1426" t="str">
            <v>K28.1600.48</v>
          </cell>
          <cell r="B1426" t="str">
            <v>Remote Power</v>
          </cell>
          <cell r="C1426" t="str">
            <v>ecoCool</v>
          </cell>
          <cell r="D1426" t="str">
            <v>Remote Power System 1600VA Inverter, 4.8 KWh Battery</v>
          </cell>
          <cell r="E1426" t="str">
            <v>K28.1600.48</v>
          </cell>
          <cell r="F1426" t="str">
            <v>MPN (Part #)</v>
          </cell>
          <cell r="G1426">
            <v>5540.4500000000007</v>
          </cell>
          <cell r="H1426">
            <v>5036.75</v>
          </cell>
          <cell r="I1426">
            <v>0</v>
          </cell>
          <cell r="J1426">
            <v>127</v>
          </cell>
          <cell r="K1426">
            <v>80</v>
          </cell>
          <cell r="L1426">
            <v>40</v>
          </cell>
          <cell r="M1426">
            <v>82.5</v>
          </cell>
          <cell r="N1426" t="str">
            <v>0-ecoCool</v>
          </cell>
        </row>
        <row r="1427">
          <cell r="A1427" t="str">
            <v>K28.1600.58</v>
          </cell>
          <cell r="B1427" t="str">
            <v>Remote Power</v>
          </cell>
          <cell r="C1427" t="str">
            <v>ecoCool</v>
          </cell>
          <cell r="D1427" t="str">
            <v>Remote Power System 1600VA Inverter, 5.8 KWh Battery</v>
          </cell>
          <cell r="E1427" t="str">
            <v>K28.1600.58</v>
          </cell>
          <cell r="F1427" t="str">
            <v>MPN (Part #)</v>
          </cell>
          <cell r="G1427">
            <v>5760.8</v>
          </cell>
          <cell r="H1427">
            <v>5237.1000000000004</v>
          </cell>
          <cell r="I1427">
            <v>0</v>
          </cell>
          <cell r="J1427">
            <v>143</v>
          </cell>
          <cell r="K1427">
            <v>80</v>
          </cell>
          <cell r="L1427">
            <v>40</v>
          </cell>
          <cell r="M1427">
            <v>82.5</v>
          </cell>
          <cell r="N1427" t="str">
            <v>0-ecoCool</v>
          </cell>
        </row>
        <row r="1428">
          <cell r="A1428" t="str">
            <v>K28.1600.96</v>
          </cell>
          <cell r="B1428" t="str">
            <v>Remote Power</v>
          </cell>
          <cell r="C1428" t="str">
            <v>ecoCool</v>
          </cell>
          <cell r="D1428" t="str">
            <v>Remote Power System 1600VA Inverter, 9.6 KWh Battery</v>
          </cell>
          <cell r="E1428" t="str">
            <v>K28.1600.96</v>
          </cell>
          <cell r="F1428" t="str">
            <v>MPN (Part #)</v>
          </cell>
          <cell r="G1428">
            <v>7441.75</v>
          </cell>
          <cell r="H1428">
            <v>6765.25</v>
          </cell>
          <cell r="I1428">
            <v>0</v>
          </cell>
          <cell r="J1428">
            <v>285</v>
          </cell>
          <cell r="K1428">
            <v>80</v>
          </cell>
          <cell r="L1428">
            <v>40</v>
          </cell>
          <cell r="M1428">
            <v>82.5</v>
          </cell>
          <cell r="N1428" t="str">
            <v>0-ecoCool</v>
          </cell>
        </row>
        <row r="1429">
          <cell r="A1429" t="str">
            <v>K28.1600.G.38</v>
          </cell>
          <cell r="B1429" t="str">
            <v>UPS &amp; Remote-Power</v>
          </cell>
          <cell r="C1429" t="str">
            <v>ecoCool</v>
          </cell>
          <cell r="D1429" t="str">
            <v>Backup+Remote Power 1600VA output, 3.84KWh Battery</v>
          </cell>
          <cell r="E1429" t="str">
            <v>K28.1600.G.38</v>
          </cell>
          <cell r="F1429" t="str">
            <v>MPN (Part #)</v>
          </cell>
          <cell r="G1429">
            <v>5412.5</v>
          </cell>
          <cell r="H1429">
            <v>4920.4500000000007</v>
          </cell>
          <cell r="I1429">
            <v>0</v>
          </cell>
          <cell r="J1429">
            <v>152</v>
          </cell>
          <cell r="K1429">
            <v>60</v>
          </cell>
          <cell r="L1429">
            <v>30</v>
          </cell>
          <cell r="M1429">
            <v>82.5</v>
          </cell>
          <cell r="N1429" t="str">
            <v>0-ecoCool</v>
          </cell>
        </row>
        <row r="1430">
          <cell r="A1430" t="str">
            <v>K28.1600.G.48</v>
          </cell>
          <cell r="B1430" t="str">
            <v>UPS &amp; Remote-Power</v>
          </cell>
          <cell r="C1430" t="str">
            <v>ecoCool</v>
          </cell>
          <cell r="D1430" t="str">
            <v>Backup+Remote Power 1600VA output, 4.8KWh Battery</v>
          </cell>
          <cell r="E1430" t="str">
            <v>K28.1600.G.48</v>
          </cell>
          <cell r="F1430" t="str">
            <v>MPN (Part #)</v>
          </cell>
          <cell r="G1430">
            <v>6082.4000000000005</v>
          </cell>
          <cell r="H1430">
            <v>5529.4500000000007</v>
          </cell>
          <cell r="I1430">
            <v>0</v>
          </cell>
          <cell r="J1430">
            <v>126</v>
          </cell>
          <cell r="K1430">
            <v>80</v>
          </cell>
          <cell r="L1430">
            <v>40</v>
          </cell>
          <cell r="M1430">
            <v>82.5</v>
          </cell>
          <cell r="N1430" t="str">
            <v>0-ecoCool</v>
          </cell>
        </row>
        <row r="1431">
          <cell r="A1431" t="str">
            <v>K28.2000.48</v>
          </cell>
          <cell r="B1431" t="str">
            <v>Remote Power</v>
          </cell>
          <cell r="C1431" t="str">
            <v>ecoCool</v>
          </cell>
          <cell r="D1431" t="str">
            <v>Remote Power System 2000VA Inverter, 4.8 KWh Battery</v>
          </cell>
          <cell r="E1431" t="str">
            <v>K28.2000.48</v>
          </cell>
          <cell r="F1431" t="str">
            <v>MPN (Part #)</v>
          </cell>
          <cell r="G1431">
            <v>5714.6</v>
          </cell>
          <cell r="H1431">
            <v>5195.1000000000004</v>
          </cell>
          <cell r="I1431">
            <v>0</v>
          </cell>
          <cell r="J1431">
            <v>167</v>
          </cell>
          <cell r="K1431">
            <v>80</v>
          </cell>
          <cell r="L1431">
            <v>40</v>
          </cell>
          <cell r="M1431">
            <v>82.5</v>
          </cell>
          <cell r="N1431" t="str">
            <v>0-ecoCool</v>
          </cell>
        </row>
        <row r="1432">
          <cell r="A1432" t="str">
            <v>K28.2000.58</v>
          </cell>
          <cell r="B1432" t="str">
            <v>Remote Power</v>
          </cell>
          <cell r="C1432" t="str">
            <v>ecoCool</v>
          </cell>
          <cell r="D1432" t="str">
            <v>Remote Power System 2000VA Inverter, 5.8 KWh Battery</v>
          </cell>
          <cell r="E1432" t="str">
            <v>K28.2000.58</v>
          </cell>
          <cell r="F1432" t="str">
            <v>MPN (Part #)</v>
          </cell>
          <cell r="G1432">
            <v>5934.9000000000005</v>
          </cell>
          <cell r="H1432">
            <v>5395.4000000000005</v>
          </cell>
          <cell r="I1432">
            <v>0</v>
          </cell>
          <cell r="J1432">
            <v>183</v>
          </cell>
          <cell r="K1432">
            <v>80</v>
          </cell>
          <cell r="L1432">
            <v>40</v>
          </cell>
          <cell r="M1432">
            <v>82.5</v>
          </cell>
          <cell r="N1432" t="str">
            <v>0-ecoCool</v>
          </cell>
        </row>
        <row r="1433">
          <cell r="A1433" t="str">
            <v>K28.2000.96</v>
          </cell>
          <cell r="B1433" t="str">
            <v>Remote Power</v>
          </cell>
          <cell r="C1433" t="str">
            <v>ecoCool</v>
          </cell>
          <cell r="D1433" t="str">
            <v>Remote Power System 2000VA Inverter, 9.6 KWh Battery</v>
          </cell>
          <cell r="E1433" t="str">
            <v>K28.2000.96</v>
          </cell>
          <cell r="F1433" t="str">
            <v>MPN (Part #)</v>
          </cell>
          <cell r="G1433">
            <v>7615.9000000000005</v>
          </cell>
          <cell r="H1433">
            <v>6923.55</v>
          </cell>
          <cell r="I1433">
            <v>0</v>
          </cell>
          <cell r="J1433">
            <v>287</v>
          </cell>
          <cell r="K1433">
            <v>80</v>
          </cell>
          <cell r="L1433">
            <v>40</v>
          </cell>
          <cell r="M1433">
            <v>102.5</v>
          </cell>
          <cell r="N1433" t="str">
            <v>0-ecoCool</v>
          </cell>
        </row>
        <row r="1434">
          <cell r="A1434" t="str">
            <v>K28.2000.G.48</v>
          </cell>
          <cell r="B1434" t="str">
            <v>UPS &amp; Remote-Power</v>
          </cell>
          <cell r="C1434" t="str">
            <v>ecoCool</v>
          </cell>
          <cell r="D1434" t="str">
            <v>Backup+Remote Power 2000VA output, 4.8KWh Battery</v>
          </cell>
          <cell r="E1434" t="str">
            <v>K28.2000.G.48</v>
          </cell>
          <cell r="F1434" t="str">
            <v>MPN (Part #)</v>
          </cell>
          <cell r="G1434">
            <v>6396.9000000000005</v>
          </cell>
          <cell r="H1434">
            <v>5815.4000000000005</v>
          </cell>
          <cell r="I1434">
            <v>0</v>
          </cell>
          <cell r="J1434">
            <v>142</v>
          </cell>
          <cell r="K1434">
            <v>80</v>
          </cell>
          <cell r="L1434">
            <v>40</v>
          </cell>
          <cell r="M1434">
            <v>82.5</v>
          </cell>
          <cell r="N1434" t="str">
            <v>0-ecoCool</v>
          </cell>
        </row>
        <row r="1435">
          <cell r="A1435" t="str">
            <v>K28.2000.G.58</v>
          </cell>
          <cell r="B1435" t="str">
            <v>UPS &amp; Remote-Power</v>
          </cell>
          <cell r="C1435" t="str">
            <v>ecoCool</v>
          </cell>
          <cell r="D1435" t="str">
            <v>Backup+Remote Power 1600VA output, 9.6KWh Battery</v>
          </cell>
          <cell r="E1435" t="str">
            <v>K28.2000.G.58</v>
          </cell>
          <cell r="F1435" t="str">
            <v>MPN (Part #)</v>
          </cell>
          <cell r="G1435">
            <v>0</v>
          </cell>
          <cell r="H1435">
            <v>0</v>
          </cell>
          <cell r="I1435">
            <v>0</v>
          </cell>
          <cell r="J1435">
            <v>284</v>
          </cell>
          <cell r="K1435">
            <v>80</v>
          </cell>
          <cell r="L1435">
            <v>40</v>
          </cell>
          <cell r="M1435">
            <v>82.5</v>
          </cell>
          <cell r="N1435" t="str">
            <v>0-ecoCool</v>
          </cell>
        </row>
        <row r="1436">
          <cell r="A1436" t="str">
            <v>K28.27.24</v>
          </cell>
          <cell r="B1436" t="str">
            <v>Remote Power</v>
          </cell>
          <cell r="C1436" t="str">
            <v>ecoCool</v>
          </cell>
          <cell r="D1436" t="str">
            <v>K28 2.4KW Remote Power Station</v>
          </cell>
          <cell r="E1436" t="str">
            <v>K28.27.24</v>
          </cell>
          <cell r="F1436" t="str">
            <v>K28.27.24</v>
          </cell>
          <cell r="G1436" t="e">
            <v>#N/A</v>
          </cell>
          <cell r="H1436" t="e">
            <v>#N/A</v>
          </cell>
          <cell r="I1436">
            <v>0</v>
          </cell>
          <cell r="J1436">
            <v>115</v>
          </cell>
          <cell r="K1436">
            <v>61</v>
          </cell>
          <cell r="L1436">
            <v>61</v>
          </cell>
          <cell r="M1436">
            <v>95</v>
          </cell>
          <cell r="N1436" t="e">
            <v>#N/A</v>
          </cell>
        </row>
        <row r="1437">
          <cell r="A1437" t="str">
            <v>K28.3000.115</v>
          </cell>
          <cell r="B1437" t="str">
            <v>Remote Power</v>
          </cell>
          <cell r="C1437" t="str">
            <v>ecoCool</v>
          </cell>
          <cell r="D1437" t="str">
            <v>Remote Power System 3000VA Inverter, 11.5 KWh Battery</v>
          </cell>
          <cell r="E1437" t="str">
            <v>K28.3000.115</v>
          </cell>
          <cell r="F1437" t="str">
            <v>MPN (Part #)</v>
          </cell>
          <cell r="G1437">
            <v>8378.2000000000007</v>
          </cell>
          <cell r="H1437">
            <v>7616.55</v>
          </cell>
          <cell r="I1437">
            <v>0</v>
          </cell>
          <cell r="J1437">
            <v>325</v>
          </cell>
          <cell r="K1437">
            <v>80</v>
          </cell>
          <cell r="L1437">
            <v>40</v>
          </cell>
          <cell r="M1437">
            <v>102.5</v>
          </cell>
          <cell r="N1437" t="str">
            <v>0-ecoCool</v>
          </cell>
        </row>
        <row r="1438">
          <cell r="A1438" t="str">
            <v>K28.3000.58</v>
          </cell>
          <cell r="B1438" t="str">
            <v>Remote Power</v>
          </cell>
          <cell r="C1438" t="str">
            <v>ecoCool</v>
          </cell>
          <cell r="D1438" t="str">
            <v>Remote Power System 3000VA Inverter, 5.8 KWh Battery</v>
          </cell>
          <cell r="E1438" t="str">
            <v>K28.3000.58</v>
          </cell>
          <cell r="F1438" t="str">
            <v>MPN (Part #)</v>
          </cell>
          <cell r="G1438">
            <v>6256.55</v>
          </cell>
          <cell r="H1438">
            <v>5687.75</v>
          </cell>
          <cell r="I1438">
            <v>0</v>
          </cell>
          <cell r="J1438">
            <v>189</v>
          </cell>
          <cell r="K1438">
            <v>80</v>
          </cell>
          <cell r="L1438">
            <v>40</v>
          </cell>
          <cell r="M1438">
            <v>82.5</v>
          </cell>
          <cell r="N1438" t="str">
            <v>0-ecoCool</v>
          </cell>
        </row>
        <row r="1439">
          <cell r="A1439" t="str">
            <v>K28.3000.96</v>
          </cell>
          <cell r="B1439" t="str">
            <v>Remote Power</v>
          </cell>
          <cell r="C1439" t="str">
            <v>ecoCool</v>
          </cell>
          <cell r="D1439" t="str">
            <v>Remote Power System 3000VA Inverter, 9.6 KWh Battery</v>
          </cell>
          <cell r="E1439" t="str">
            <v>K28.3000.96</v>
          </cell>
          <cell r="F1439" t="str">
            <v>MPN (Part #)</v>
          </cell>
          <cell r="G1439">
            <v>7937.5</v>
          </cell>
          <cell r="H1439">
            <v>7215.9000000000005</v>
          </cell>
          <cell r="I1439">
            <v>0</v>
          </cell>
          <cell r="J1439">
            <v>293</v>
          </cell>
          <cell r="K1439">
            <v>80</v>
          </cell>
          <cell r="L1439">
            <v>40</v>
          </cell>
          <cell r="M1439">
            <v>102.5</v>
          </cell>
          <cell r="N1439" t="str">
            <v>0-ecoCool</v>
          </cell>
        </row>
        <row r="1440">
          <cell r="A1440" t="str">
            <v>K28.3000.G.115</v>
          </cell>
          <cell r="B1440" t="str">
            <v>UPS &amp; Remote-Power</v>
          </cell>
          <cell r="C1440" t="str">
            <v>ecoCool</v>
          </cell>
          <cell r="D1440" t="str">
            <v>Backup+Remote Power 3000VA output, 11.52KWh Battery</v>
          </cell>
          <cell r="E1440" t="str">
            <v>K28.3000.G.115</v>
          </cell>
          <cell r="F1440" t="str">
            <v>MPN (Part #)</v>
          </cell>
          <cell r="G1440">
            <v>8836.65</v>
          </cell>
          <cell r="H1440">
            <v>8033.3</v>
          </cell>
          <cell r="I1440">
            <v>0</v>
          </cell>
          <cell r="J1440">
            <v>324</v>
          </cell>
          <cell r="K1440">
            <v>80</v>
          </cell>
          <cell r="L1440">
            <v>40</v>
          </cell>
          <cell r="M1440">
            <v>102.5</v>
          </cell>
          <cell r="N1440" t="str">
            <v>0-ecoCool</v>
          </cell>
        </row>
        <row r="1441">
          <cell r="A1441" t="str">
            <v>K28.3000.G.144</v>
          </cell>
          <cell r="B1441" t="str">
            <v>Remote Power</v>
          </cell>
          <cell r="C1441" t="str">
            <v>ecoCool</v>
          </cell>
          <cell r="D1441" t="str">
            <v>Remote Power System 3000VA Inverter, 14.4 KWh Battery</v>
          </cell>
          <cell r="E1441" t="str">
            <v>K28.3000.G.144</v>
          </cell>
          <cell r="F1441" t="str">
            <v>MPN (Part #)</v>
          </cell>
          <cell r="G1441">
            <v>10185.300000000001</v>
          </cell>
          <cell r="H1441">
            <v>9259.4</v>
          </cell>
          <cell r="I1441">
            <v>0</v>
          </cell>
          <cell r="J1441">
            <v>414</v>
          </cell>
          <cell r="K1441">
            <v>80</v>
          </cell>
          <cell r="L1441">
            <v>40</v>
          </cell>
          <cell r="M1441">
            <v>120.5</v>
          </cell>
          <cell r="N1441" t="str">
            <v>0-ecoCool</v>
          </cell>
        </row>
        <row r="1442">
          <cell r="A1442" t="str">
            <v>K28.3000.G.173</v>
          </cell>
          <cell r="B1442" t="str">
            <v>Remote Power</v>
          </cell>
          <cell r="C1442" t="str">
            <v>ecoCool</v>
          </cell>
          <cell r="D1442" t="str">
            <v>Remote Power System 3000VA Inverter, 17.3 KWh Battery</v>
          </cell>
          <cell r="E1442" t="str">
            <v>K28.3000.G.173</v>
          </cell>
          <cell r="F1442" t="str">
            <v>MPN (Part #)</v>
          </cell>
          <cell r="G1442">
            <v>10846.35</v>
          </cell>
          <cell r="H1442">
            <v>9860.3000000000011</v>
          </cell>
          <cell r="I1442">
            <v>0</v>
          </cell>
          <cell r="J1442">
            <v>462</v>
          </cell>
          <cell r="K1442">
            <v>80</v>
          </cell>
          <cell r="L1442">
            <v>40</v>
          </cell>
          <cell r="M1442">
            <v>120.5</v>
          </cell>
          <cell r="N1442" t="str">
            <v>0-ecoCool</v>
          </cell>
        </row>
        <row r="1443">
          <cell r="A1443" t="str">
            <v>K28.3000.G.58</v>
          </cell>
          <cell r="B1443" t="str">
            <v>UPS &amp; Remote-Power</v>
          </cell>
          <cell r="C1443" t="str">
            <v>ecoCool</v>
          </cell>
          <cell r="D1443" t="str">
            <v>Backup+Remote Power 3000VA output, 5.76KWh Battery</v>
          </cell>
          <cell r="E1443" t="str">
            <v>K28.3000.G.58</v>
          </cell>
          <cell r="F1443" t="str">
            <v>MPN (Part #)</v>
          </cell>
          <cell r="G1443">
            <v>7066.8</v>
          </cell>
          <cell r="H1443">
            <v>6424.4000000000005</v>
          </cell>
          <cell r="I1443">
            <v>0</v>
          </cell>
          <cell r="J1443">
            <v>188</v>
          </cell>
          <cell r="K1443">
            <v>80</v>
          </cell>
          <cell r="L1443">
            <v>40</v>
          </cell>
          <cell r="M1443">
            <v>82.5</v>
          </cell>
          <cell r="N1443" t="str">
            <v>0-ecoCool</v>
          </cell>
        </row>
        <row r="1444">
          <cell r="A1444" t="str">
            <v>K28.3000.G.96</v>
          </cell>
          <cell r="B1444" t="str">
            <v>UPS &amp; Remote-Power</v>
          </cell>
          <cell r="C1444" t="str">
            <v>ecoCool</v>
          </cell>
          <cell r="D1444" t="str">
            <v>Backup+Remote Power 3000VA output, 9.6KWh Battery</v>
          </cell>
          <cell r="E1444" t="str">
            <v>K28.3000.G.96</v>
          </cell>
          <cell r="F1444" t="str">
            <v>MPN (Part #)</v>
          </cell>
          <cell r="G1444">
            <v>8394.2000000000007</v>
          </cell>
          <cell r="H1444">
            <v>7631.1</v>
          </cell>
          <cell r="I1444">
            <v>0</v>
          </cell>
          <cell r="J1444">
            <v>292</v>
          </cell>
          <cell r="K1444">
            <v>80</v>
          </cell>
          <cell r="L1444">
            <v>40</v>
          </cell>
          <cell r="M1444">
            <v>102.5</v>
          </cell>
          <cell r="N1444" t="str">
            <v>0-ecoCool</v>
          </cell>
        </row>
        <row r="1445">
          <cell r="A1445" t="str">
            <v>K28.4800-3.G.115</v>
          </cell>
          <cell r="B1445" t="str">
            <v>UPS &amp; Remote-Power</v>
          </cell>
          <cell r="C1445" t="str">
            <v>ecoCool</v>
          </cell>
          <cell r="D1445" t="str">
            <v>Backup+Remote Power 4800VA 3Ph output, 11.52KWh Battery</v>
          </cell>
          <cell r="E1445" t="str">
            <v>K28.4800-3.G.115</v>
          </cell>
          <cell r="F1445" t="str">
            <v>MPN (Part #)</v>
          </cell>
          <cell r="G1445">
            <v>12770.75</v>
          </cell>
          <cell r="H1445">
            <v>11609.75</v>
          </cell>
          <cell r="I1445">
            <v>0</v>
          </cell>
          <cell r="J1445">
            <v>345</v>
          </cell>
          <cell r="K1445">
            <v>80</v>
          </cell>
          <cell r="L1445">
            <v>40</v>
          </cell>
          <cell r="M1445">
            <v>102.5</v>
          </cell>
          <cell r="N1445" t="str">
            <v>0-ecoCool</v>
          </cell>
        </row>
        <row r="1446">
          <cell r="A1446" t="str">
            <v>K28.4800-3.G.96</v>
          </cell>
          <cell r="B1446" t="str">
            <v>UPS &amp; Remote-Power</v>
          </cell>
          <cell r="C1446" t="str">
            <v>ecoCool</v>
          </cell>
          <cell r="D1446" t="str">
            <v>Backup+Remote Power 4800VA 3Ph output, 9.6KWh Battery</v>
          </cell>
          <cell r="E1446" t="str">
            <v>K28.4800-3.G.96</v>
          </cell>
          <cell r="F1446" t="str">
            <v>MPN (Part #)</v>
          </cell>
          <cell r="G1446">
            <v>12330.050000000001</v>
          </cell>
          <cell r="H1446">
            <v>11209.150000000001</v>
          </cell>
          <cell r="I1446">
            <v>0</v>
          </cell>
          <cell r="J1446">
            <v>314</v>
          </cell>
          <cell r="K1446">
            <v>80</v>
          </cell>
          <cell r="L1446">
            <v>40</v>
          </cell>
          <cell r="M1446">
            <v>102.5</v>
          </cell>
          <cell r="N1446" t="str">
            <v>0-ecoCool</v>
          </cell>
        </row>
        <row r="1447">
          <cell r="A1447" t="str">
            <v>K28.5000.115</v>
          </cell>
          <cell r="B1447" t="str">
            <v>Remote Power</v>
          </cell>
          <cell r="C1447" t="str">
            <v>ecoCool</v>
          </cell>
          <cell r="D1447" t="str">
            <v>Remote Power System 5000VA Inverter, 11.5 KWh Battery</v>
          </cell>
          <cell r="E1447" t="str">
            <v>K28.5000.115</v>
          </cell>
          <cell r="F1447" t="str">
            <v>MPN (Part #)</v>
          </cell>
          <cell r="G1447">
            <v>8911.25</v>
          </cell>
          <cell r="H1447">
            <v>8101.1500000000005</v>
          </cell>
          <cell r="I1447">
            <v>0</v>
          </cell>
          <cell r="J1447">
            <v>333</v>
          </cell>
          <cell r="K1447">
            <v>80</v>
          </cell>
          <cell r="L1447">
            <v>40</v>
          </cell>
          <cell r="M1447">
            <v>102.5</v>
          </cell>
          <cell r="N1447" t="str">
            <v>0-ecoCool</v>
          </cell>
        </row>
        <row r="1448">
          <cell r="A1448" t="str">
            <v>K28.5000.96</v>
          </cell>
          <cell r="B1448" t="str">
            <v>Remote Power</v>
          </cell>
          <cell r="C1448" t="str">
            <v>ecoCool</v>
          </cell>
          <cell r="D1448" t="str">
            <v>Remote Power System 5000VA Inverter, 9.6 KWh Battery</v>
          </cell>
          <cell r="E1448" t="str">
            <v>K28.5000.96</v>
          </cell>
          <cell r="F1448" t="str">
            <v>MPN (Part #)</v>
          </cell>
          <cell r="G1448">
            <v>8470.6</v>
          </cell>
          <cell r="H1448">
            <v>7700.55</v>
          </cell>
          <cell r="I1448">
            <v>0</v>
          </cell>
          <cell r="J1448">
            <v>301</v>
          </cell>
          <cell r="K1448">
            <v>80</v>
          </cell>
          <cell r="L1448">
            <v>40</v>
          </cell>
          <cell r="M1448">
            <v>102.5</v>
          </cell>
          <cell r="N1448" t="str">
            <v>0-ecoCool</v>
          </cell>
        </row>
        <row r="1449">
          <cell r="A1449" t="str">
            <v>K28.5000.G.115</v>
          </cell>
          <cell r="B1449" t="str">
            <v>UPS &amp; Remote-Power</v>
          </cell>
          <cell r="C1449" t="str">
            <v>ecoCool</v>
          </cell>
          <cell r="D1449" t="str">
            <v>Backup+Remote Power 5000VA output, 11.52KWh Battery</v>
          </cell>
          <cell r="E1449" t="str">
            <v>K28.5000.G.115</v>
          </cell>
          <cell r="F1449" t="str">
            <v>MPN (Part #)</v>
          </cell>
          <cell r="G1449">
            <v>10084.050000000001</v>
          </cell>
          <cell r="H1449">
            <v>9167.3000000000011</v>
          </cell>
          <cell r="I1449">
            <v>0</v>
          </cell>
          <cell r="J1449">
            <v>336</v>
          </cell>
          <cell r="K1449">
            <v>80</v>
          </cell>
          <cell r="L1449">
            <v>40</v>
          </cell>
          <cell r="M1449">
            <v>102.5</v>
          </cell>
          <cell r="N1449" t="str">
            <v>0-ecoCool</v>
          </cell>
        </row>
        <row r="1450">
          <cell r="A1450" t="str">
            <v>K28.5000.G.144</v>
          </cell>
          <cell r="B1450" t="str">
            <v>Remote Power</v>
          </cell>
          <cell r="C1450" t="str">
            <v>ecoCool</v>
          </cell>
          <cell r="D1450" t="str">
            <v>Remote Power System 5000VA Inverter, 14.4 KWh Battery</v>
          </cell>
          <cell r="E1450" t="str">
            <v>K28.5000.G.144</v>
          </cell>
          <cell r="F1450" t="str">
            <v>MPN (Part #)</v>
          </cell>
          <cell r="G1450">
            <v>11430.95</v>
          </cell>
          <cell r="H1450">
            <v>10391.75</v>
          </cell>
          <cell r="I1450">
            <v>0</v>
          </cell>
          <cell r="J1450">
            <v>427</v>
          </cell>
          <cell r="K1450">
            <v>80</v>
          </cell>
          <cell r="L1450">
            <v>40</v>
          </cell>
          <cell r="M1450">
            <v>120.5</v>
          </cell>
          <cell r="N1450" t="str">
            <v>0-ecoCool</v>
          </cell>
        </row>
        <row r="1451">
          <cell r="A1451" t="str">
            <v>K28.5000.G.173</v>
          </cell>
          <cell r="B1451" t="str">
            <v>Remote Power</v>
          </cell>
          <cell r="C1451" t="str">
            <v>ecoCool</v>
          </cell>
          <cell r="D1451" t="str">
            <v>Remote Power System 5000VA Inverter, 17.3 KWh Battery</v>
          </cell>
          <cell r="E1451" t="str">
            <v>K28.5000.G.173</v>
          </cell>
          <cell r="F1451" t="str">
            <v>MPN (Part #)</v>
          </cell>
          <cell r="G1451">
            <v>12091.95</v>
          </cell>
          <cell r="H1451">
            <v>10992.7</v>
          </cell>
          <cell r="I1451">
            <v>0</v>
          </cell>
          <cell r="J1451">
            <v>475</v>
          </cell>
          <cell r="K1451">
            <v>80</v>
          </cell>
          <cell r="L1451">
            <v>40</v>
          </cell>
          <cell r="M1451">
            <v>120.5</v>
          </cell>
          <cell r="N1451" t="str">
            <v>0-ecoCool</v>
          </cell>
        </row>
        <row r="1452">
          <cell r="A1452" t="str">
            <v>K28.5000.G.211</v>
          </cell>
          <cell r="B1452" t="str">
            <v>UPS &amp; Remote-Power</v>
          </cell>
          <cell r="C1452" t="str">
            <v>ecoCool</v>
          </cell>
          <cell r="D1452" t="str">
            <v>Backup+Remote Power 5000VA output, 21.1KWh Battery</v>
          </cell>
          <cell r="E1452" t="str">
            <v>K28.5000.G.211</v>
          </cell>
          <cell r="F1452" t="str">
            <v>MPN (Part #)</v>
          </cell>
          <cell r="G1452">
            <v>15923</v>
          </cell>
          <cell r="H1452">
            <v>14475.45</v>
          </cell>
          <cell r="I1452">
            <v>0</v>
          </cell>
          <cell r="J1452">
            <v>600</v>
          </cell>
          <cell r="K1452">
            <v>100</v>
          </cell>
          <cell r="L1452">
            <v>40</v>
          </cell>
          <cell r="M1452">
            <v>120.5</v>
          </cell>
          <cell r="N1452" t="str">
            <v>0-ecoCool</v>
          </cell>
        </row>
        <row r="1453">
          <cell r="A1453" t="str">
            <v>K28.5000.G.96</v>
          </cell>
          <cell r="B1453" t="str">
            <v>UPS &amp; Remote-Power</v>
          </cell>
          <cell r="C1453" t="str">
            <v>ecoCool</v>
          </cell>
          <cell r="D1453" t="str">
            <v>Backup+Remote Power 5000VA output, 9.6KWh Battery</v>
          </cell>
          <cell r="E1453" t="str">
            <v>K28.5000.G.96</v>
          </cell>
          <cell r="F1453" t="str">
            <v>MPN (Part #)</v>
          </cell>
          <cell r="G1453">
            <v>9643.35</v>
          </cell>
          <cell r="H1453">
            <v>8766.7000000000007</v>
          </cell>
          <cell r="I1453">
            <v>0</v>
          </cell>
          <cell r="J1453">
            <v>304</v>
          </cell>
          <cell r="K1453">
            <v>80</v>
          </cell>
          <cell r="L1453">
            <v>40</v>
          </cell>
          <cell r="M1453">
            <v>102.5</v>
          </cell>
          <cell r="N1453" t="str">
            <v>0-ecoCool</v>
          </cell>
        </row>
        <row r="1454">
          <cell r="A1454" t="str">
            <v>K28.54.40</v>
          </cell>
          <cell r="B1454" t="str">
            <v>Remote Power</v>
          </cell>
          <cell r="C1454" t="str">
            <v>ecoCool</v>
          </cell>
          <cell r="D1454" t="str">
            <v>K28 5.4KW Remote Power Station</v>
          </cell>
          <cell r="E1454" t="str">
            <v>K28.54.40</v>
          </cell>
          <cell r="F1454" t="str">
            <v>K28.54.40</v>
          </cell>
          <cell r="G1454" t="e">
            <v>#N/A</v>
          </cell>
          <cell r="H1454" t="e">
            <v>#N/A</v>
          </cell>
          <cell r="I1454">
            <v>0</v>
          </cell>
          <cell r="J1454">
            <v>134</v>
          </cell>
          <cell r="K1454">
            <v>61</v>
          </cell>
          <cell r="L1454">
            <v>61</v>
          </cell>
          <cell r="M1454">
            <v>115</v>
          </cell>
          <cell r="N1454" t="e">
            <v>#N/A</v>
          </cell>
        </row>
        <row r="1455">
          <cell r="A1455" t="str">
            <v>K28.72.65</v>
          </cell>
          <cell r="B1455" t="str">
            <v>Remote Power</v>
          </cell>
          <cell r="C1455" t="str">
            <v>ecoCool</v>
          </cell>
          <cell r="D1455" t="str">
            <v>K28 7.8KW Remote Power Station</v>
          </cell>
          <cell r="E1455" t="str">
            <v>K28.72.65</v>
          </cell>
          <cell r="F1455" t="str">
            <v>K28.72.65</v>
          </cell>
          <cell r="G1455" t="e">
            <v>#N/A</v>
          </cell>
          <cell r="H1455" t="e">
            <v>#N/A</v>
          </cell>
          <cell r="I1455">
            <v>0</v>
          </cell>
          <cell r="J1455">
            <v>147</v>
          </cell>
          <cell r="K1455">
            <v>61</v>
          </cell>
          <cell r="L1455">
            <v>61</v>
          </cell>
          <cell r="M1455">
            <v>115</v>
          </cell>
          <cell r="N1455" t="e">
            <v>#N/A</v>
          </cell>
        </row>
        <row r="1456">
          <cell r="A1456" t="str">
            <v>K28.800.48</v>
          </cell>
          <cell r="B1456" t="str">
            <v>Remote Power</v>
          </cell>
          <cell r="C1456" t="str">
            <v>ecoCool</v>
          </cell>
          <cell r="D1456" t="str">
            <v>Remote Power System 800VA Inverter, 4.8 KWh Battery</v>
          </cell>
          <cell r="E1456" t="str">
            <v>K28.800.48</v>
          </cell>
          <cell r="F1456" t="str">
            <v>MPN (Part #)</v>
          </cell>
          <cell r="G1456">
            <v>4154.6000000000004</v>
          </cell>
          <cell r="H1456">
            <v>3776.9</v>
          </cell>
          <cell r="I1456">
            <v>0</v>
          </cell>
          <cell r="J1456">
            <v>89</v>
          </cell>
          <cell r="K1456">
            <v>60</v>
          </cell>
          <cell r="L1456">
            <v>30</v>
          </cell>
          <cell r="M1456">
            <v>62.5</v>
          </cell>
          <cell r="N1456" t="str">
            <v>0-ecoCool</v>
          </cell>
        </row>
        <row r="1457">
          <cell r="A1457" t="str">
            <v>K28.9000-3.G.115</v>
          </cell>
          <cell r="B1457" t="str">
            <v>UPS &amp; Remote-Power</v>
          </cell>
          <cell r="C1457" t="str">
            <v>ecoCool</v>
          </cell>
          <cell r="D1457" t="str">
            <v>Backup+Remote Power 9000VA 3Ph output, 11.52KWh Battery</v>
          </cell>
          <cell r="E1457" t="str">
            <v>K28.9000-3.G.115</v>
          </cell>
          <cell r="F1457" t="str">
            <v>MPN (Part #)</v>
          </cell>
          <cell r="G1457">
            <v>14007.5</v>
          </cell>
          <cell r="H1457">
            <v>12734.1</v>
          </cell>
          <cell r="I1457">
            <v>0</v>
          </cell>
          <cell r="J1457">
            <v>370</v>
          </cell>
          <cell r="K1457">
            <v>80</v>
          </cell>
          <cell r="L1457">
            <v>40</v>
          </cell>
          <cell r="M1457">
            <v>102.5</v>
          </cell>
          <cell r="N1457" t="str">
            <v>0-ecoCool</v>
          </cell>
        </row>
        <row r="1458">
          <cell r="A1458" t="str">
            <v>K28L.15000-3.G</v>
          </cell>
          <cell r="B1458" t="str">
            <v>Home Battery</v>
          </cell>
          <cell r="C1458" t="str">
            <v>ecoCool</v>
          </cell>
          <cell r="D1458" t="str">
            <v>Batteryless, 15000VA 3-Ph Output</v>
          </cell>
          <cell r="E1458" t="str">
            <v>K28L.15000-3.G</v>
          </cell>
          <cell r="F1458" t="str">
            <v>MPN (Part #)</v>
          </cell>
          <cell r="G1458">
            <v>0</v>
          </cell>
          <cell r="H1458">
            <v>0</v>
          </cell>
          <cell r="I1458">
            <v>0</v>
          </cell>
          <cell r="J1458">
            <v>100</v>
          </cell>
          <cell r="K1458">
            <v>120</v>
          </cell>
          <cell r="L1458">
            <v>40</v>
          </cell>
          <cell r="M1458">
            <v>102.5</v>
          </cell>
          <cell r="N1458" t="str">
            <v>0-ecoCool</v>
          </cell>
        </row>
        <row r="1459">
          <cell r="A1459" t="str">
            <v>K28L.15000-3.G.120</v>
          </cell>
          <cell r="B1459" t="str">
            <v>Home Battery</v>
          </cell>
          <cell r="C1459" t="str">
            <v>ecoCool</v>
          </cell>
          <cell r="D1459" t="str">
            <v>Lithium Battery 12 KWh, 15000VA 3-Ph Output</v>
          </cell>
          <cell r="E1459" t="str">
            <v>K28L.15000-3.G.120</v>
          </cell>
          <cell r="F1459" t="str">
            <v>MPN (Part #)</v>
          </cell>
          <cell r="G1459">
            <v>23743.200000000001</v>
          </cell>
          <cell r="H1459">
            <v>21584.7</v>
          </cell>
          <cell r="I1459">
            <v>0</v>
          </cell>
          <cell r="J1459">
            <v>282</v>
          </cell>
          <cell r="K1459">
            <v>80</v>
          </cell>
          <cell r="L1459">
            <v>40</v>
          </cell>
          <cell r="M1459">
            <v>102.5</v>
          </cell>
          <cell r="N1459" t="str">
            <v>0-ecoCool</v>
          </cell>
        </row>
        <row r="1460">
          <cell r="A1460" t="str">
            <v>K28L.15000-3.G.150</v>
          </cell>
          <cell r="B1460" t="str">
            <v>Home Battery</v>
          </cell>
          <cell r="C1460" t="str">
            <v>ecoCool</v>
          </cell>
          <cell r="D1460" t="str">
            <v>Lithium Battery 16 KWh, 15000VA 3-Ph Output</v>
          </cell>
          <cell r="E1460" t="str">
            <v>K28L.15000-3.G.150</v>
          </cell>
          <cell r="F1460" t="str">
            <v>MPN (Part #)</v>
          </cell>
          <cell r="G1460">
            <v>29827.850000000002</v>
          </cell>
          <cell r="H1460">
            <v>27116.25</v>
          </cell>
          <cell r="I1460">
            <v>0</v>
          </cell>
          <cell r="J1460">
            <v>325</v>
          </cell>
          <cell r="K1460">
            <v>80</v>
          </cell>
          <cell r="L1460">
            <v>40</v>
          </cell>
          <cell r="M1460">
            <v>102.5</v>
          </cell>
          <cell r="N1460" t="str">
            <v>0-ecoCool</v>
          </cell>
        </row>
        <row r="1461">
          <cell r="A1461" t="str">
            <v>K28L.15000-3.G.90</v>
          </cell>
          <cell r="B1461" t="str">
            <v>Home Battery</v>
          </cell>
          <cell r="C1461" t="str">
            <v>ecoCool</v>
          </cell>
          <cell r="D1461" t="str">
            <v>Lithium Battery 8 KWh, 15000VA 3-Ph Output</v>
          </cell>
          <cell r="E1461" t="str">
            <v>K28L.15000-3.G.90</v>
          </cell>
          <cell r="F1461" t="str">
            <v>MPN (Part #)</v>
          </cell>
          <cell r="G1461">
            <v>20831.400000000001</v>
          </cell>
          <cell r="H1461">
            <v>18937.650000000001</v>
          </cell>
          <cell r="I1461">
            <v>0</v>
          </cell>
          <cell r="J1461">
            <v>239</v>
          </cell>
          <cell r="K1461">
            <v>80</v>
          </cell>
          <cell r="L1461">
            <v>40</v>
          </cell>
          <cell r="M1461">
            <v>102.5</v>
          </cell>
          <cell r="N1461" t="str">
            <v>0-ecoCool</v>
          </cell>
        </row>
        <row r="1462">
          <cell r="A1462" t="str">
            <v>K28L.1600.G.30</v>
          </cell>
          <cell r="B1462" t="str">
            <v>Home Battery</v>
          </cell>
          <cell r="C1462" t="str">
            <v>ecoCool</v>
          </cell>
          <cell r="D1462" t="str">
            <v>Lithium Battery 3 KWh, 1600VA Output</v>
          </cell>
          <cell r="E1462" t="str">
            <v>K28L.1600.G.30</v>
          </cell>
          <cell r="F1462" t="str">
            <v>MPN (Part #)</v>
          </cell>
          <cell r="G1462">
            <v>7453.3</v>
          </cell>
          <cell r="H1462">
            <v>6775.7000000000007</v>
          </cell>
          <cell r="I1462">
            <v>0</v>
          </cell>
          <cell r="J1462">
            <v>112</v>
          </cell>
          <cell r="K1462">
            <v>80</v>
          </cell>
          <cell r="L1462">
            <v>40</v>
          </cell>
          <cell r="M1462">
            <v>82.5</v>
          </cell>
          <cell r="N1462" t="str">
            <v>0-ecoCool</v>
          </cell>
        </row>
        <row r="1463">
          <cell r="A1463" t="str">
            <v>K28L.1600.G.60</v>
          </cell>
          <cell r="B1463" t="str">
            <v>Home Battery</v>
          </cell>
          <cell r="C1463" t="str">
            <v>ecoCool</v>
          </cell>
          <cell r="D1463" t="str">
            <v>Lithium Battery 6 KWh, 1600VA Output</v>
          </cell>
          <cell r="E1463" t="str">
            <v>K28L.1600.G.60</v>
          </cell>
          <cell r="F1463" t="str">
            <v>MPN (Part #)</v>
          </cell>
          <cell r="G1463">
            <v>10391.75</v>
          </cell>
          <cell r="H1463">
            <v>9447.0500000000011</v>
          </cell>
          <cell r="I1463">
            <v>0</v>
          </cell>
          <cell r="J1463">
            <v>112</v>
          </cell>
          <cell r="K1463">
            <v>80</v>
          </cell>
          <cell r="L1463">
            <v>40</v>
          </cell>
          <cell r="M1463">
            <v>82.5</v>
          </cell>
          <cell r="N1463" t="str">
            <v>0-ecoCool</v>
          </cell>
        </row>
        <row r="1464">
          <cell r="A1464" t="str">
            <v>K28L.2000.G.30</v>
          </cell>
          <cell r="B1464" t="str">
            <v>Home Battery</v>
          </cell>
          <cell r="C1464" t="str">
            <v>ecoCool</v>
          </cell>
          <cell r="D1464" t="str">
            <v>Lithium Battery 3 KWh, 2000VA Output</v>
          </cell>
          <cell r="E1464" t="str">
            <v>K28L.2000.G.30</v>
          </cell>
          <cell r="F1464" t="str">
            <v>MPN (Part #)</v>
          </cell>
          <cell r="G1464">
            <v>7936.05</v>
          </cell>
          <cell r="H1464">
            <v>7214.6</v>
          </cell>
          <cell r="I1464">
            <v>0</v>
          </cell>
          <cell r="J1464">
            <v>155</v>
          </cell>
          <cell r="K1464">
            <v>80</v>
          </cell>
          <cell r="L1464">
            <v>40</v>
          </cell>
          <cell r="M1464">
            <v>82.5</v>
          </cell>
          <cell r="N1464" t="str">
            <v>0-ecoCool</v>
          </cell>
        </row>
        <row r="1465">
          <cell r="A1465" t="str">
            <v>K28L.2000.G.60</v>
          </cell>
          <cell r="B1465" t="str">
            <v>Home Battery</v>
          </cell>
          <cell r="C1465" t="str">
            <v>ecoCool</v>
          </cell>
          <cell r="D1465" t="str">
            <v>Lithium Battery 6 KWh, 2000VA Output</v>
          </cell>
          <cell r="E1465" t="str">
            <v>K28L.2000.G.60</v>
          </cell>
          <cell r="F1465" t="str">
            <v>MPN (Part #)</v>
          </cell>
          <cell r="G1465">
            <v>10874.5</v>
          </cell>
          <cell r="H1465">
            <v>9885.9000000000015</v>
          </cell>
          <cell r="I1465">
            <v>0</v>
          </cell>
          <cell r="J1465">
            <v>198</v>
          </cell>
          <cell r="K1465">
            <v>80</v>
          </cell>
          <cell r="L1465">
            <v>40</v>
          </cell>
          <cell r="M1465">
            <v>82.5</v>
          </cell>
          <cell r="N1465" t="str">
            <v>0-ecoCool</v>
          </cell>
        </row>
        <row r="1466">
          <cell r="A1466" t="str">
            <v>K28L.2000.G.90</v>
          </cell>
          <cell r="B1466" t="str">
            <v>Home Battery</v>
          </cell>
          <cell r="C1466" t="str">
            <v>ecoCool</v>
          </cell>
          <cell r="D1466" t="str">
            <v>Lithium Battery 9 KWh, 2000VA Output</v>
          </cell>
          <cell r="E1466" t="str">
            <v>K28L.2000.G.90</v>
          </cell>
          <cell r="F1466" t="str">
            <v>MPN (Part #)</v>
          </cell>
          <cell r="G1466">
            <v>13812.95</v>
          </cell>
          <cell r="H1466">
            <v>12557.25</v>
          </cell>
          <cell r="I1466">
            <v>0</v>
          </cell>
          <cell r="J1466">
            <v>241</v>
          </cell>
          <cell r="K1466">
            <v>80</v>
          </cell>
          <cell r="L1466">
            <v>40</v>
          </cell>
          <cell r="M1466">
            <v>82.5</v>
          </cell>
          <cell r="N1466" t="str">
            <v>0-ecoCool</v>
          </cell>
        </row>
        <row r="1467">
          <cell r="A1467" t="str">
            <v>K28L.3000.G.120</v>
          </cell>
          <cell r="B1467" t="str">
            <v>Home Battery</v>
          </cell>
          <cell r="C1467" t="str">
            <v>ecoCool</v>
          </cell>
          <cell r="D1467" t="str">
            <v>Lithium Battery 12 KWh, 3000VA Output</v>
          </cell>
          <cell r="E1467" t="str">
            <v>K28L.3000.G.120</v>
          </cell>
          <cell r="F1467" t="str">
            <v>MPN (Part #)</v>
          </cell>
          <cell r="G1467">
            <v>16994.05</v>
          </cell>
          <cell r="H1467">
            <v>15449.150000000001</v>
          </cell>
          <cell r="I1467">
            <v>0</v>
          </cell>
          <cell r="N1467" t="str">
            <v>0-ecoCool</v>
          </cell>
        </row>
        <row r="1468">
          <cell r="A1468" t="str">
            <v>K28L.3000.G.30</v>
          </cell>
          <cell r="B1468" t="str">
            <v>Home Battery</v>
          </cell>
          <cell r="C1468" t="str">
            <v>ecoCool</v>
          </cell>
          <cell r="D1468" t="str">
            <v>Lithium Battery 3 KWh, 3000VA Output</v>
          </cell>
          <cell r="E1468" t="str">
            <v>K28L.3000.G.30</v>
          </cell>
          <cell r="F1468" t="str">
            <v>MPN (Part #)</v>
          </cell>
          <cell r="G1468">
            <v>8178.7000000000007</v>
          </cell>
          <cell r="H1468">
            <v>7435.1500000000005</v>
          </cell>
          <cell r="I1468">
            <v>0</v>
          </cell>
          <cell r="N1468" t="str">
            <v>0-ecoCool</v>
          </cell>
        </row>
        <row r="1469">
          <cell r="A1469" t="str">
            <v>K28L.3000.G.60</v>
          </cell>
          <cell r="B1469" t="str">
            <v>Home Battery</v>
          </cell>
          <cell r="C1469" t="str">
            <v>ecoCool</v>
          </cell>
          <cell r="D1469" t="str">
            <v>Lithium Battery 6 KWh, 3000VA Output</v>
          </cell>
          <cell r="E1469" t="str">
            <v>K28L.3000.G.60</v>
          </cell>
          <cell r="F1469" t="str">
            <v>MPN (Part #)</v>
          </cell>
          <cell r="G1469">
            <v>11117.150000000001</v>
          </cell>
          <cell r="H1469">
            <v>10106.5</v>
          </cell>
          <cell r="I1469">
            <v>0</v>
          </cell>
          <cell r="N1469" t="str">
            <v>0-ecoCool</v>
          </cell>
        </row>
        <row r="1470">
          <cell r="A1470" t="str">
            <v>K28L.3000.G.90</v>
          </cell>
          <cell r="B1470" t="str">
            <v>Home Battery</v>
          </cell>
          <cell r="C1470" t="str">
            <v>ecoCool</v>
          </cell>
          <cell r="D1470" t="str">
            <v>Lithium Battery 9 KWh, 3000VA Output</v>
          </cell>
          <cell r="E1470" t="str">
            <v>K28L.3000.G.90</v>
          </cell>
          <cell r="F1470" t="str">
            <v>MPN (Part #)</v>
          </cell>
          <cell r="G1470">
            <v>14055.6</v>
          </cell>
          <cell r="H1470">
            <v>12777.800000000001</v>
          </cell>
          <cell r="I1470">
            <v>0</v>
          </cell>
          <cell r="N1470" t="str">
            <v>0-ecoCool</v>
          </cell>
        </row>
        <row r="1471">
          <cell r="A1471" t="str">
            <v>K28L.5000.G.120</v>
          </cell>
          <cell r="B1471" t="str">
            <v>Home Battery</v>
          </cell>
          <cell r="C1471" t="str">
            <v>ecoCool</v>
          </cell>
          <cell r="D1471" t="str">
            <v>Lithium Battery 12 KWh, 5000VA Output</v>
          </cell>
          <cell r="E1471" t="str">
            <v>K28L.5000.G.120</v>
          </cell>
          <cell r="F1471" t="str">
            <v>MPN (Part #)</v>
          </cell>
          <cell r="G1471">
            <v>18696</v>
          </cell>
          <cell r="H1471">
            <v>16996.350000000002</v>
          </cell>
          <cell r="I1471">
            <v>0</v>
          </cell>
          <cell r="J1471">
            <v>211</v>
          </cell>
          <cell r="K1471">
            <v>80</v>
          </cell>
          <cell r="L1471">
            <v>40</v>
          </cell>
          <cell r="M1471">
            <v>82.5</v>
          </cell>
          <cell r="N1471" t="str">
            <v>0-ecoCool</v>
          </cell>
        </row>
        <row r="1472">
          <cell r="A1472" t="str">
            <v>K28L.5000.G.150</v>
          </cell>
          <cell r="B1472" t="str">
            <v>Home Battery</v>
          </cell>
          <cell r="C1472" t="str">
            <v>ecoCool</v>
          </cell>
          <cell r="D1472" t="str">
            <v>Lithium Battery 15 KWh, 5000VA Output</v>
          </cell>
          <cell r="E1472" t="str">
            <v>K28L.5000.G.150</v>
          </cell>
          <cell r="F1472" t="str">
            <v>MPN (Part #)</v>
          </cell>
          <cell r="G1472">
            <v>22933</v>
          </cell>
          <cell r="H1472">
            <v>20848.2</v>
          </cell>
          <cell r="I1472">
            <v>0</v>
          </cell>
          <cell r="J1472">
            <v>350</v>
          </cell>
          <cell r="K1472">
            <v>165</v>
          </cell>
          <cell r="L1472">
            <v>60</v>
          </cell>
          <cell r="M1472">
            <v>82.5</v>
          </cell>
          <cell r="N1472" t="str">
            <v>0-ecoCool</v>
          </cell>
        </row>
        <row r="1473">
          <cell r="A1473" t="str">
            <v>K28L.5000.G.180</v>
          </cell>
          <cell r="B1473" t="str">
            <v>Home Battery</v>
          </cell>
          <cell r="C1473" t="str">
            <v>ecoCool</v>
          </cell>
          <cell r="D1473" t="str">
            <v>Lithium Battery 18 KWh, 5000VA Output</v>
          </cell>
          <cell r="E1473" t="str">
            <v>K28L.5000.G.180</v>
          </cell>
          <cell r="F1473" t="str">
            <v>MPN (Part #)</v>
          </cell>
          <cell r="G1473">
            <v>25871.45</v>
          </cell>
          <cell r="H1473">
            <v>23519.5</v>
          </cell>
          <cell r="I1473">
            <v>0</v>
          </cell>
          <cell r="J1473">
            <v>254</v>
          </cell>
          <cell r="K1473">
            <v>80</v>
          </cell>
          <cell r="L1473">
            <v>40</v>
          </cell>
          <cell r="M1473">
            <v>82.5</v>
          </cell>
          <cell r="N1473" t="str">
            <v>0-ecoCool</v>
          </cell>
        </row>
        <row r="1474">
          <cell r="A1474" t="str">
            <v>K28L.5000.G.210</v>
          </cell>
          <cell r="B1474" t="str">
            <v>Home Battery</v>
          </cell>
          <cell r="C1474" t="str">
            <v>ecoCool</v>
          </cell>
          <cell r="D1474" t="str">
            <v>Lithium Battery 21 KWh, 5000VA Output</v>
          </cell>
          <cell r="E1474" t="str">
            <v>K28L.5000.G.210</v>
          </cell>
          <cell r="F1474" t="str">
            <v>MPN (Part #)</v>
          </cell>
          <cell r="G1474">
            <v>28809.9</v>
          </cell>
          <cell r="H1474">
            <v>26190.850000000002</v>
          </cell>
          <cell r="I1474">
            <v>0</v>
          </cell>
          <cell r="J1474">
            <v>350</v>
          </cell>
          <cell r="K1474">
            <v>165</v>
          </cell>
          <cell r="L1474">
            <v>60</v>
          </cell>
          <cell r="M1474">
            <v>82.5</v>
          </cell>
          <cell r="N1474" t="str">
            <v>0-ecoCool</v>
          </cell>
        </row>
        <row r="1475">
          <cell r="A1475" t="str">
            <v>K28L.5000.G.240</v>
          </cell>
          <cell r="B1475" t="str">
            <v>Home Battery</v>
          </cell>
          <cell r="C1475" t="str">
            <v>ecoCool</v>
          </cell>
          <cell r="D1475" t="str">
            <v>Lithium Battery 24 KWh, 5000VA Output</v>
          </cell>
          <cell r="E1475" t="str">
            <v>K28L.5000.G.240</v>
          </cell>
          <cell r="F1475" t="str">
            <v>MPN (Part #)</v>
          </cell>
          <cell r="G1475">
            <v>31748.400000000001</v>
          </cell>
          <cell r="H1475">
            <v>28862.15</v>
          </cell>
          <cell r="I1475">
            <v>0</v>
          </cell>
          <cell r="N1475" t="str">
            <v>0-ecoCool</v>
          </cell>
        </row>
        <row r="1476">
          <cell r="A1476" t="str">
            <v>K28L.5000.G.60</v>
          </cell>
          <cell r="B1476" t="str">
            <v>Home Battery</v>
          </cell>
          <cell r="C1476" t="str">
            <v>ecoCool</v>
          </cell>
          <cell r="D1476" t="str">
            <v>Lithium Battery 6 KWh, 5000VA Output</v>
          </cell>
          <cell r="E1476" t="str">
            <v>K28L.5000.G.60</v>
          </cell>
          <cell r="F1476" t="str">
            <v>MPN (Part #)</v>
          </cell>
          <cell r="G1476">
            <v>12819.050000000001</v>
          </cell>
          <cell r="H1476">
            <v>11653.7</v>
          </cell>
          <cell r="I1476">
            <v>0</v>
          </cell>
          <cell r="J1476">
            <v>125</v>
          </cell>
          <cell r="K1476">
            <v>80</v>
          </cell>
          <cell r="L1476">
            <v>40</v>
          </cell>
          <cell r="M1476">
            <v>82.5</v>
          </cell>
          <cell r="N1476" t="str">
            <v>0-ecoCool</v>
          </cell>
        </row>
        <row r="1477">
          <cell r="A1477" t="str">
            <v>K28L.5000.G.90</v>
          </cell>
          <cell r="B1477" t="str">
            <v>Home Battery</v>
          </cell>
          <cell r="C1477" t="str">
            <v>ecoCool</v>
          </cell>
          <cell r="D1477" t="str">
            <v>Lithium Battery 9 KWh, 5000VA Output</v>
          </cell>
          <cell r="E1477" t="str">
            <v>K28L.5000.G.90</v>
          </cell>
          <cell r="F1477" t="str">
            <v>MPN (Part #)</v>
          </cell>
          <cell r="G1477">
            <v>15757.5</v>
          </cell>
          <cell r="H1477">
            <v>14325</v>
          </cell>
          <cell r="I1477">
            <v>0</v>
          </cell>
          <cell r="J1477">
            <v>168</v>
          </cell>
          <cell r="K1477">
            <v>80</v>
          </cell>
          <cell r="L1477">
            <v>40</v>
          </cell>
          <cell r="M1477">
            <v>82.5</v>
          </cell>
          <cell r="N1477" t="str">
            <v>0-ecoCool</v>
          </cell>
        </row>
        <row r="1478">
          <cell r="A1478" t="str">
            <v>K28L.6000-3.G.120</v>
          </cell>
          <cell r="B1478" t="str">
            <v>Home Battery</v>
          </cell>
          <cell r="C1478" t="str">
            <v>ecoCool</v>
          </cell>
          <cell r="D1478" t="str">
            <v>Lithium Battery 12 KWh, 6000VA Output</v>
          </cell>
          <cell r="E1478" t="str">
            <v>K28L.6000-3.G.120</v>
          </cell>
          <cell r="F1478" t="str">
            <v>MPN (Part #)</v>
          </cell>
          <cell r="G1478">
            <v>21017.050000000003</v>
          </cell>
          <cell r="H1478">
            <v>19106.400000000001</v>
          </cell>
          <cell r="I1478">
            <v>0</v>
          </cell>
          <cell r="J1478">
            <v>219</v>
          </cell>
          <cell r="K1478">
            <v>80</v>
          </cell>
          <cell r="L1478">
            <v>40</v>
          </cell>
          <cell r="M1478">
            <v>102.5</v>
          </cell>
          <cell r="N1478" t="str">
            <v>0-ecoCool</v>
          </cell>
        </row>
        <row r="1479">
          <cell r="A1479" t="str">
            <v>K28L.6000-3.G.150</v>
          </cell>
          <cell r="B1479" t="str">
            <v>Home Battery</v>
          </cell>
          <cell r="C1479" t="str">
            <v>ecoCool</v>
          </cell>
          <cell r="D1479" t="str">
            <v>Lithium Battery 15 KWh, 6000VA Output</v>
          </cell>
          <cell r="E1479" t="str">
            <v>K28L.6000-3.G.150</v>
          </cell>
          <cell r="F1479" t="str">
            <v>MPN (Part #)</v>
          </cell>
          <cell r="G1479">
            <v>25004.2</v>
          </cell>
          <cell r="H1479">
            <v>22731.050000000003</v>
          </cell>
          <cell r="I1479">
            <v>0</v>
          </cell>
          <cell r="N1479" t="str">
            <v>0-ecoCool</v>
          </cell>
        </row>
        <row r="1480">
          <cell r="A1480" t="str">
            <v>K28L.6000-3.G.180</v>
          </cell>
          <cell r="B1480" t="str">
            <v>Home Battery</v>
          </cell>
          <cell r="C1480" t="str">
            <v>ecoCool</v>
          </cell>
          <cell r="D1480" t="str">
            <v>Lithium Battery 18 KWh, 6000VA Output</v>
          </cell>
          <cell r="E1480" t="str">
            <v>K28L.6000-3.G.180</v>
          </cell>
          <cell r="F1480" t="str">
            <v>MPN (Part #)</v>
          </cell>
          <cell r="G1480">
            <v>27915.95</v>
          </cell>
          <cell r="H1480">
            <v>25378.15</v>
          </cell>
          <cell r="I1480">
            <v>0</v>
          </cell>
          <cell r="N1480" t="str">
            <v>0-ecoCool</v>
          </cell>
        </row>
        <row r="1481">
          <cell r="A1481" t="str">
            <v>K28L.6000-3.G.210</v>
          </cell>
          <cell r="B1481" t="str">
            <v>Home Battery</v>
          </cell>
          <cell r="C1481" t="str">
            <v>ecoCool</v>
          </cell>
          <cell r="D1481" t="str">
            <v>Lithium Battery 21 KWh, 6000VA Output</v>
          </cell>
          <cell r="E1481" t="str">
            <v>K28L.6000-3.G.210</v>
          </cell>
          <cell r="F1481" t="str">
            <v>MPN (Part #)</v>
          </cell>
          <cell r="G1481">
            <v>30827.7</v>
          </cell>
          <cell r="H1481">
            <v>28025.200000000001</v>
          </cell>
          <cell r="I1481">
            <v>0</v>
          </cell>
          <cell r="J1481">
            <v>262</v>
          </cell>
          <cell r="K1481">
            <v>80</v>
          </cell>
          <cell r="L1481">
            <v>40</v>
          </cell>
          <cell r="M1481">
            <v>102.5</v>
          </cell>
          <cell r="N1481" t="str">
            <v>0-ecoCool</v>
          </cell>
        </row>
        <row r="1482">
          <cell r="A1482" t="str">
            <v>K28L.6000-3.G.240</v>
          </cell>
          <cell r="B1482" t="str">
            <v>Home Battery</v>
          </cell>
          <cell r="C1482" t="str">
            <v>ecoCool</v>
          </cell>
          <cell r="D1482" t="str">
            <v>Lithium Battery 24 KWh, 6000VA Output</v>
          </cell>
          <cell r="E1482" t="str">
            <v>K28L.6000-3.G.240</v>
          </cell>
          <cell r="F1482" t="str">
            <v>MPN (Part #)</v>
          </cell>
          <cell r="G1482">
            <v>33739.450000000004</v>
          </cell>
          <cell r="H1482">
            <v>30672.25</v>
          </cell>
          <cell r="I1482">
            <v>0</v>
          </cell>
          <cell r="J1482">
            <v>199</v>
          </cell>
          <cell r="K1482">
            <v>80</v>
          </cell>
          <cell r="L1482">
            <v>40</v>
          </cell>
          <cell r="M1482">
            <v>102.5</v>
          </cell>
          <cell r="N1482" t="str">
            <v>0-ecoCool</v>
          </cell>
        </row>
        <row r="1483">
          <cell r="A1483" t="str">
            <v>K28L.6000-3.G.60</v>
          </cell>
          <cell r="B1483" t="str">
            <v>Home Battery</v>
          </cell>
          <cell r="C1483" t="str">
            <v>ecoCool</v>
          </cell>
          <cell r="D1483" t="str">
            <v>Lithium Battery 6 KWh, 6000VA Output</v>
          </cell>
          <cell r="E1483" t="str">
            <v>K28L.6000-3.G.60</v>
          </cell>
          <cell r="F1483" t="str">
            <v>MPN (Part #)</v>
          </cell>
          <cell r="G1483">
            <v>15193.5</v>
          </cell>
          <cell r="H1483">
            <v>13812.300000000001</v>
          </cell>
          <cell r="I1483">
            <v>0</v>
          </cell>
          <cell r="J1483">
            <v>133</v>
          </cell>
          <cell r="K1483">
            <v>80</v>
          </cell>
          <cell r="L1483">
            <v>40</v>
          </cell>
          <cell r="M1483">
            <v>102.5</v>
          </cell>
          <cell r="N1483" t="str">
            <v>0-ecoCool</v>
          </cell>
        </row>
        <row r="1484">
          <cell r="A1484" t="str">
            <v>K28L.6000-3.G.90</v>
          </cell>
          <cell r="B1484" t="str">
            <v>Home Battery</v>
          </cell>
          <cell r="C1484" t="str">
            <v>ecoCool</v>
          </cell>
          <cell r="D1484" t="str">
            <v>Lithium Battery 9 KWh, 6000VA Output</v>
          </cell>
          <cell r="E1484" t="str">
            <v>K28L.6000-3.G.90</v>
          </cell>
          <cell r="F1484" t="str">
            <v>MPN (Part #)</v>
          </cell>
          <cell r="G1484">
            <v>18105.25</v>
          </cell>
          <cell r="H1484">
            <v>16459.350000000002</v>
          </cell>
          <cell r="I1484">
            <v>0</v>
          </cell>
          <cell r="J1484">
            <v>176</v>
          </cell>
          <cell r="K1484">
            <v>80</v>
          </cell>
          <cell r="L1484">
            <v>40</v>
          </cell>
          <cell r="M1484">
            <v>102.5</v>
          </cell>
          <cell r="N1484" t="str">
            <v>0-ecoCool</v>
          </cell>
        </row>
        <row r="1485">
          <cell r="A1485" t="str">
            <v>K28L.9000-3.G</v>
          </cell>
          <cell r="B1485" t="str">
            <v>Home Battery</v>
          </cell>
          <cell r="C1485" t="str">
            <v>ecoCool</v>
          </cell>
          <cell r="D1485" t="str">
            <v>Batteryless, 9000VA 3-Ph Output</v>
          </cell>
          <cell r="E1485" t="str">
            <v>K28L.9000-3.G</v>
          </cell>
          <cell r="F1485" t="str">
            <v>MPN (Part #)</v>
          </cell>
          <cell r="G1485">
            <v>0</v>
          </cell>
          <cell r="H1485">
            <v>0</v>
          </cell>
          <cell r="I1485">
            <v>0</v>
          </cell>
          <cell r="J1485">
            <v>100</v>
          </cell>
          <cell r="K1485">
            <v>120</v>
          </cell>
          <cell r="L1485">
            <v>40</v>
          </cell>
          <cell r="M1485">
            <v>102.5</v>
          </cell>
          <cell r="N1485" t="str">
            <v>0-ecoCool</v>
          </cell>
        </row>
        <row r="1486">
          <cell r="A1486" t="str">
            <v>K28L.9000-3.G.120</v>
          </cell>
          <cell r="B1486" t="str">
            <v>Home Battery</v>
          </cell>
          <cell r="C1486" t="str">
            <v>ecoCool</v>
          </cell>
          <cell r="D1486" t="str">
            <v>Lithium Battery 12 KWh, 9000VA 3-Ph Output</v>
          </cell>
          <cell r="E1486" t="str">
            <v>K28L.9000-3.G.120</v>
          </cell>
          <cell r="F1486" t="str">
            <v>MPN (Part #)</v>
          </cell>
          <cell r="G1486">
            <v>22013.200000000001</v>
          </cell>
          <cell r="H1486">
            <v>20012</v>
          </cell>
          <cell r="I1486">
            <v>0</v>
          </cell>
          <cell r="J1486">
            <v>242</v>
          </cell>
          <cell r="K1486">
            <v>80</v>
          </cell>
          <cell r="L1486">
            <v>40</v>
          </cell>
          <cell r="M1486">
            <v>102.5</v>
          </cell>
          <cell r="N1486" t="str">
            <v>0-ecoCool</v>
          </cell>
        </row>
        <row r="1487">
          <cell r="A1487" t="str">
            <v>K28L.9000-3.G.150</v>
          </cell>
          <cell r="B1487" t="str">
            <v>Home Battery</v>
          </cell>
          <cell r="C1487" t="str">
            <v>ecoCool</v>
          </cell>
          <cell r="D1487" t="str">
            <v>Lithium Battery 15 KWh, 9000VA 3-Ph Output</v>
          </cell>
          <cell r="E1487" t="str">
            <v>K28L.9000-3.G.150</v>
          </cell>
          <cell r="F1487" t="str">
            <v>MPN (Part #)</v>
          </cell>
          <cell r="G1487">
            <v>24924.95</v>
          </cell>
          <cell r="H1487">
            <v>22659.050000000003</v>
          </cell>
          <cell r="I1487">
            <v>0</v>
          </cell>
          <cell r="J1487">
            <v>242</v>
          </cell>
          <cell r="K1487">
            <v>80</v>
          </cell>
          <cell r="L1487">
            <v>40</v>
          </cell>
          <cell r="M1487">
            <v>102.5</v>
          </cell>
          <cell r="N1487" t="str">
            <v>0-ecoCool</v>
          </cell>
        </row>
        <row r="1488">
          <cell r="A1488" t="str">
            <v>K28L.9000-3.G.90</v>
          </cell>
          <cell r="B1488" t="str">
            <v>Home Battery</v>
          </cell>
          <cell r="C1488" t="str">
            <v>ecoCool</v>
          </cell>
          <cell r="D1488" t="str">
            <v>Lithium Battery 12 KWh, 9000VA 3-Ph Output</v>
          </cell>
          <cell r="E1488" t="str">
            <v>K28L.9000-3.G.90</v>
          </cell>
          <cell r="F1488" t="str">
            <v>MPN (Part #)</v>
          </cell>
          <cell r="G1488">
            <v>19101.45</v>
          </cell>
          <cell r="H1488">
            <v>17364.95</v>
          </cell>
          <cell r="I1488">
            <v>0</v>
          </cell>
          <cell r="J1488">
            <v>242</v>
          </cell>
          <cell r="K1488">
            <v>80</v>
          </cell>
          <cell r="L1488">
            <v>40</v>
          </cell>
          <cell r="M1488">
            <v>102.5</v>
          </cell>
          <cell r="N1488" t="str">
            <v>0-ecoCool</v>
          </cell>
        </row>
        <row r="1489">
          <cell r="A1489" t="str">
            <v>K29.15.10</v>
          </cell>
          <cell r="B1489" t="str">
            <v>Batteries</v>
          </cell>
          <cell r="C1489" t="str">
            <v>ecoCool</v>
          </cell>
          <cell r="D1489" t="str">
            <v>K29 Home Solar Battery System 2.9KWh</v>
          </cell>
          <cell r="E1489" t="str">
            <v>K29.15.10</v>
          </cell>
          <cell r="F1489" t="str">
            <v>K29.15.10</v>
          </cell>
          <cell r="G1489" t="e">
            <v>#N/A</v>
          </cell>
          <cell r="H1489" t="e">
            <v>#N/A</v>
          </cell>
          <cell r="I1489">
            <v>0</v>
          </cell>
          <cell r="J1489">
            <v>77</v>
          </cell>
          <cell r="K1489">
            <v>52.5</v>
          </cell>
          <cell r="L1489">
            <v>50</v>
          </cell>
          <cell r="M1489">
            <v>25</v>
          </cell>
          <cell r="N1489" t="e">
            <v>#N/A</v>
          </cell>
        </row>
        <row r="1490">
          <cell r="A1490" t="str">
            <v>K29.29.20</v>
          </cell>
          <cell r="B1490" t="str">
            <v>Batteries</v>
          </cell>
          <cell r="C1490" t="str">
            <v>ecoCool</v>
          </cell>
          <cell r="D1490" t="str">
            <v>K29 Home Solar Battery System 5.8KWh</v>
          </cell>
          <cell r="E1490" t="str">
            <v>K29.29.20</v>
          </cell>
          <cell r="F1490" t="str">
            <v>K29.29.20</v>
          </cell>
          <cell r="G1490" t="e">
            <v>#N/A</v>
          </cell>
          <cell r="H1490" t="e">
            <v>#N/A</v>
          </cell>
          <cell r="I1490">
            <v>0</v>
          </cell>
          <cell r="J1490">
            <v>143</v>
          </cell>
          <cell r="K1490">
            <v>625</v>
          </cell>
          <cell r="L1490">
            <v>60</v>
          </cell>
          <cell r="M1490">
            <v>30</v>
          </cell>
          <cell r="N1490" t="e">
            <v>#N/A</v>
          </cell>
        </row>
        <row r="1491">
          <cell r="A1491" t="str">
            <v>K29.43.30</v>
          </cell>
          <cell r="B1491" t="str">
            <v>Batteries</v>
          </cell>
          <cell r="C1491" t="str">
            <v>ecoCool</v>
          </cell>
          <cell r="D1491" t="str">
            <v>K29 Home Solar Battery System 8.6KWh</v>
          </cell>
          <cell r="E1491" t="str">
            <v>K29.43.30</v>
          </cell>
          <cell r="F1491" t="str">
            <v>K29.43.30</v>
          </cell>
          <cell r="G1491" t="e">
            <v>#N/A</v>
          </cell>
          <cell r="H1491" t="e">
            <v>#N/A</v>
          </cell>
          <cell r="I1491">
            <v>0</v>
          </cell>
          <cell r="J1491">
            <v>211</v>
          </cell>
          <cell r="K1491">
            <v>825</v>
          </cell>
          <cell r="L1491">
            <v>60</v>
          </cell>
          <cell r="M1491">
            <v>30</v>
          </cell>
          <cell r="N1491" t="e">
            <v>#N/A</v>
          </cell>
        </row>
        <row r="1492">
          <cell r="A1492" t="str">
            <v>K29.58.40</v>
          </cell>
          <cell r="B1492" t="str">
            <v>Batteries</v>
          </cell>
          <cell r="C1492" t="str">
            <v>ecoCool</v>
          </cell>
          <cell r="D1492" t="str">
            <v>K29 Home Solar Battery System 11.6KWh</v>
          </cell>
          <cell r="E1492" t="str">
            <v>K29.58.40</v>
          </cell>
          <cell r="F1492" t="str">
            <v>K29.58.40</v>
          </cell>
          <cell r="G1492" t="e">
            <v>#N/A</v>
          </cell>
          <cell r="H1492" t="e">
            <v>#N/A</v>
          </cell>
          <cell r="I1492">
            <v>0</v>
          </cell>
          <cell r="J1492">
            <v>275</v>
          </cell>
          <cell r="K1492">
            <v>1025</v>
          </cell>
          <cell r="L1492">
            <v>60</v>
          </cell>
          <cell r="M1492">
            <v>30</v>
          </cell>
          <cell r="N1492" t="e">
            <v>#N/A</v>
          </cell>
        </row>
        <row r="1493">
          <cell r="A1493" t="str">
            <v>K29.72.50</v>
          </cell>
          <cell r="B1493" t="str">
            <v>Batteries</v>
          </cell>
          <cell r="C1493" t="str">
            <v>ecoCool</v>
          </cell>
          <cell r="D1493" t="str">
            <v>K29 Home Solar Battery System 14.4KWh</v>
          </cell>
          <cell r="E1493" t="str">
            <v>K29.72.50</v>
          </cell>
          <cell r="F1493" t="str">
            <v>K29.72.50</v>
          </cell>
          <cell r="G1493" t="e">
            <v>#N/A</v>
          </cell>
          <cell r="H1493" t="e">
            <v>#N/A</v>
          </cell>
          <cell r="I1493">
            <v>0</v>
          </cell>
          <cell r="J1493">
            <v>335</v>
          </cell>
          <cell r="K1493">
            <v>1025</v>
          </cell>
          <cell r="L1493">
            <v>60</v>
          </cell>
          <cell r="M1493">
            <v>30</v>
          </cell>
          <cell r="N1493" t="e">
            <v>#N/A</v>
          </cell>
        </row>
        <row r="1494">
          <cell r="A1494" t="str">
            <v>K32.3000.G.100-45</v>
          </cell>
          <cell r="B1494" t="str">
            <v>K-Series Battery Systems</v>
          </cell>
          <cell r="C1494" t="str">
            <v>ecoCool</v>
          </cell>
          <cell r="D1494" t="str">
            <v>K32 Lithium Battery 10 KWh, 3000VA, 150/45 MPPT</v>
          </cell>
          <cell r="E1494" t="str">
            <v>K32.3000.G.100-45</v>
          </cell>
          <cell r="F1494" t="str">
            <v>MPN (Part #)</v>
          </cell>
          <cell r="G1494">
            <v>15409.7</v>
          </cell>
          <cell r="H1494">
            <v>14008.800000000001</v>
          </cell>
          <cell r="J1494">
            <v>135.72</v>
          </cell>
          <cell r="K1494">
            <v>88.5</v>
          </cell>
          <cell r="L1494">
            <v>80</v>
          </cell>
          <cell r="M1494">
            <v>40</v>
          </cell>
          <cell r="N1494" t="str">
            <v>0-ecoCool</v>
          </cell>
        </row>
        <row r="1495">
          <cell r="A1495" t="str">
            <v>K32.3000.G.150-45</v>
          </cell>
          <cell r="B1495" t="str">
            <v>K-Series Battery Systems</v>
          </cell>
          <cell r="C1495" t="str">
            <v>ecoCool</v>
          </cell>
          <cell r="D1495" t="str">
            <v>K32 Lithium Battery 15 KWh, 3000VA, 150/45 MPPT</v>
          </cell>
          <cell r="E1495" t="str">
            <v>K32.3000.G.150-45</v>
          </cell>
          <cell r="F1495" t="str">
            <v>MPN (Part #)</v>
          </cell>
          <cell r="G1495">
            <v>19609.7</v>
          </cell>
          <cell r="H1495">
            <v>17827</v>
          </cell>
          <cell r="J1495">
            <v>171.72</v>
          </cell>
          <cell r="K1495">
            <v>88.5</v>
          </cell>
          <cell r="L1495">
            <v>80</v>
          </cell>
          <cell r="M1495">
            <v>40</v>
          </cell>
          <cell r="N1495" t="str">
            <v>0-ecoCool</v>
          </cell>
        </row>
        <row r="1496">
          <cell r="A1496" t="str">
            <v>K32.3000.G.50-45</v>
          </cell>
          <cell r="B1496" t="str">
            <v>K-Series Battery Systems</v>
          </cell>
          <cell r="C1496" t="str">
            <v>ecoCool</v>
          </cell>
          <cell r="D1496" t="str">
            <v>K32 Lithium Battery 5 KWh, 3000VA, 150/45 MPPT</v>
          </cell>
          <cell r="E1496" t="str">
            <v>K32.3000.G.50-45</v>
          </cell>
          <cell r="F1496" t="str">
            <v>MPN (Part #)</v>
          </cell>
          <cell r="G1496">
            <v>11209.7</v>
          </cell>
          <cell r="H1496">
            <v>10190.650000000001</v>
          </cell>
          <cell r="J1496">
            <v>99.72</v>
          </cell>
          <cell r="K1496">
            <v>88.5</v>
          </cell>
          <cell r="L1496">
            <v>80</v>
          </cell>
          <cell r="M1496">
            <v>40</v>
          </cell>
          <cell r="N1496" t="str">
            <v>0-ecoCool</v>
          </cell>
        </row>
        <row r="1497">
          <cell r="A1497" t="str">
            <v>K32.5000.G.100-45</v>
          </cell>
          <cell r="B1497" t="str">
            <v>K-Series Battery Systems</v>
          </cell>
          <cell r="C1497" t="str">
            <v>ecoCool</v>
          </cell>
          <cell r="D1497" t="str">
            <v>K32 Lithium Battery 10 KWh, 5000VA, 150/45 MPPT</v>
          </cell>
          <cell r="E1497" t="str">
            <v>K32.5000.G.100-45</v>
          </cell>
          <cell r="F1497" t="str">
            <v>MPN (Part #)</v>
          </cell>
          <cell r="G1497">
            <v>16608.75</v>
          </cell>
          <cell r="H1497">
            <v>15098.85</v>
          </cell>
          <cell r="J1497">
            <v>148.72</v>
          </cell>
          <cell r="K1497">
            <v>88.5</v>
          </cell>
          <cell r="L1497">
            <v>80</v>
          </cell>
          <cell r="M1497">
            <v>40</v>
          </cell>
          <cell r="N1497" t="str">
            <v>0-ecoCool</v>
          </cell>
        </row>
        <row r="1498">
          <cell r="A1498" t="str">
            <v>K32.5000.G.150-45</v>
          </cell>
          <cell r="B1498" t="str">
            <v>K-Series Battery Systems</v>
          </cell>
          <cell r="C1498" t="str">
            <v>ecoCool</v>
          </cell>
          <cell r="D1498" t="str">
            <v>K32 Lithium Battery 15 KWh, 5000VA, 150/45 MPPT</v>
          </cell>
          <cell r="E1498" t="str">
            <v>K32.5000.G.150-45</v>
          </cell>
          <cell r="F1498" t="str">
            <v>MPN (Part #)</v>
          </cell>
          <cell r="G1498">
            <v>20808.75</v>
          </cell>
          <cell r="H1498">
            <v>18917.05</v>
          </cell>
          <cell r="J1498">
            <v>184.72</v>
          </cell>
          <cell r="K1498">
            <v>88.5</v>
          </cell>
          <cell r="L1498">
            <v>80</v>
          </cell>
          <cell r="M1498">
            <v>40</v>
          </cell>
          <cell r="N1498" t="str">
            <v>0-ecoCool</v>
          </cell>
        </row>
        <row r="1499">
          <cell r="A1499" t="str">
            <v>K32.EXP.00</v>
          </cell>
          <cell r="B1499" t="str">
            <v>K-Series Battery Systems</v>
          </cell>
          <cell r="C1499" t="str">
            <v>ecoCool</v>
          </cell>
          <cell r="D1499" t="str">
            <v>K32 0KWh Expansion 3 Module Enclosure</v>
          </cell>
          <cell r="E1499" t="str">
            <v>K32.EXP.00</v>
          </cell>
          <cell r="F1499" t="str">
            <v>MPN (Part #)</v>
          </cell>
          <cell r="G1499">
            <v>1080.9000000000001</v>
          </cell>
          <cell r="H1499">
            <v>982.65000000000009</v>
          </cell>
          <cell r="J1499">
            <v>67.55</v>
          </cell>
          <cell r="K1499">
            <v>60</v>
          </cell>
          <cell r="L1499">
            <v>60</v>
          </cell>
          <cell r="M1499">
            <v>40</v>
          </cell>
          <cell r="N1499" t="str">
            <v>0-ecoCool</v>
          </cell>
        </row>
        <row r="1500">
          <cell r="A1500" t="str">
            <v>K32.EXP.100</v>
          </cell>
          <cell r="B1500" t="str">
            <v>K-Series Battery Systems</v>
          </cell>
          <cell r="C1500" t="str">
            <v>ecoCool</v>
          </cell>
          <cell r="D1500" t="str">
            <v>K32 10KWh Expansion 3 Module Enclosure</v>
          </cell>
          <cell r="E1500" t="str">
            <v>K32.EXP.100</v>
          </cell>
          <cell r="F1500" t="str">
            <v>MPN (Part #)</v>
          </cell>
          <cell r="G1500">
            <v>9480.9</v>
          </cell>
          <cell r="H1500">
            <v>8619</v>
          </cell>
          <cell r="J1500">
            <v>139.55000000000001</v>
          </cell>
          <cell r="K1500">
            <v>60</v>
          </cell>
          <cell r="L1500">
            <v>60</v>
          </cell>
          <cell r="M1500">
            <v>40</v>
          </cell>
          <cell r="N1500" t="str">
            <v>0-ecoCool</v>
          </cell>
        </row>
        <row r="1501">
          <cell r="A1501" t="str">
            <v>K32.EXP.150</v>
          </cell>
          <cell r="B1501" t="str">
            <v>K-Series Battery Systems</v>
          </cell>
          <cell r="C1501" t="str">
            <v>ecoCool</v>
          </cell>
          <cell r="D1501" t="str">
            <v>K32 15KWh Expansion 3 Module Enclosure</v>
          </cell>
          <cell r="E1501" t="str">
            <v>K32.EXP.150</v>
          </cell>
          <cell r="F1501" t="str">
            <v>MPN (Part #)</v>
          </cell>
          <cell r="G1501">
            <v>13680.900000000001</v>
          </cell>
          <cell r="H1501">
            <v>12437.2</v>
          </cell>
          <cell r="J1501">
            <v>175.55</v>
          </cell>
          <cell r="K1501">
            <v>60</v>
          </cell>
          <cell r="L1501">
            <v>60</v>
          </cell>
          <cell r="M1501">
            <v>40</v>
          </cell>
          <cell r="N1501" t="str">
            <v>0-ecoCool</v>
          </cell>
        </row>
        <row r="1502">
          <cell r="A1502" t="str">
            <v>K32.EXP.50</v>
          </cell>
          <cell r="B1502" t="str">
            <v>K-Series Battery Systems</v>
          </cell>
          <cell r="C1502" t="str">
            <v>ecoCool</v>
          </cell>
          <cell r="D1502" t="str">
            <v>K32 5KWh Expansion 3 Module Enclosure</v>
          </cell>
          <cell r="E1502" t="str">
            <v>K32.EXP.50</v>
          </cell>
          <cell r="F1502" t="str">
            <v>MPN (Part #)</v>
          </cell>
          <cell r="G1502">
            <v>5280.9000000000005</v>
          </cell>
          <cell r="H1502">
            <v>4800.8500000000004</v>
          </cell>
          <cell r="J1502">
            <v>103.55</v>
          </cell>
          <cell r="K1502">
            <v>60</v>
          </cell>
          <cell r="L1502">
            <v>60</v>
          </cell>
          <cell r="M1502">
            <v>40</v>
          </cell>
          <cell r="N1502" t="str">
            <v>0-ecoCool</v>
          </cell>
        </row>
        <row r="1503">
          <cell r="A1503" t="str">
            <v>K32A.2000.100</v>
          </cell>
          <cell r="B1503" t="str">
            <v>K-Series Battery Systems</v>
          </cell>
          <cell r="C1503" t="str">
            <v>ecoCool</v>
          </cell>
          <cell r="D1503" t="str">
            <v>K32A Lithium Battery 10 KWh, 2000VA Output</v>
          </cell>
          <cell r="E1503" t="str">
            <v>K32A.2000.100</v>
          </cell>
          <cell r="F1503" t="str">
            <v>MPN (Part #)</v>
          </cell>
          <cell r="G1503">
            <v>12273.050000000001</v>
          </cell>
          <cell r="H1503">
            <v>11157.300000000001</v>
          </cell>
          <cell r="J1503">
            <v>123.75</v>
          </cell>
          <cell r="K1503">
            <v>88.5</v>
          </cell>
          <cell r="L1503">
            <v>80</v>
          </cell>
          <cell r="M1503">
            <v>40</v>
          </cell>
          <cell r="N1503" t="str">
            <v>0-ecoCool</v>
          </cell>
        </row>
        <row r="1504">
          <cell r="A1504" t="str">
            <v>K32A.2000.50</v>
          </cell>
          <cell r="B1504" t="str">
            <v>K-Series Battery Systems</v>
          </cell>
          <cell r="C1504" t="str">
            <v>ecoCool</v>
          </cell>
          <cell r="D1504" t="str">
            <v>K32A Lithium Battery 5 KWh, 2000VA Output</v>
          </cell>
          <cell r="E1504" t="str">
            <v>K32A.2000.50</v>
          </cell>
          <cell r="F1504" t="str">
            <v>MPN (Part #)</v>
          </cell>
          <cell r="G1504">
            <v>8423.0500000000011</v>
          </cell>
          <cell r="H1504">
            <v>7657.3</v>
          </cell>
          <cell r="J1504">
            <v>87.75</v>
          </cell>
          <cell r="K1504">
            <v>88.5</v>
          </cell>
          <cell r="L1504">
            <v>80</v>
          </cell>
          <cell r="M1504">
            <v>40</v>
          </cell>
          <cell r="N1504" t="str">
            <v>0-ecoCool</v>
          </cell>
        </row>
        <row r="1505">
          <cell r="A1505" t="str">
            <v>K32A.3000.100</v>
          </cell>
          <cell r="B1505" t="str">
            <v>K-Series Battery Systems</v>
          </cell>
          <cell r="C1505" t="str">
            <v>ecoCool</v>
          </cell>
          <cell r="D1505" t="str">
            <v>K32A Lithium Battery 10KWh, 3000VA Output</v>
          </cell>
          <cell r="E1505" t="str">
            <v>K32A.3000.100</v>
          </cell>
          <cell r="F1505" t="str">
            <v>MPN (Part #)</v>
          </cell>
          <cell r="G1505">
            <v>15048.1</v>
          </cell>
          <cell r="H1505">
            <v>13680.1</v>
          </cell>
          <cell r="J1505">
            <v>134.75</v>
          </cell>
          <cell r="K1505">
            <v>88.5</v>
          </cell>
          <cell r="L1505">
            <v>80</v>
          </cell>
          <cell r="M1505">
            <v>40</v>
          </cell>
          <cell r="N1505" t="str">
            <v>0-ecoCool</v>
          </cell>
        </row>
        <row r="1506">
          <cell r="A1506" t="str">
            <v>K32A.3000.150</v>
          </cell>
          <cell r="B1506" t="str">
            <v>K-Series Battery Systems</v>
          </cell>
          <cell r="C1506" t="str">
            <v>ecoCool</v>
          </cell>
          <cell r="D1506" t="str">
            <v>K32A Lithium Battery 15 KWh, 3000VA Output</v>
          </cell>
          <cell r="E1506" t="str">
            <v>K32A.3000.150</v>
          </cell>
          <cell r="F1506" t="str">
            <v>MPN (Part #)</v>
          </cell>
          <cell r="G1506">
            <v>19248.100000000002</v>
          </cell>
          <cell r="H1506">
            <v>17498.25</v>
          </cell>
          <cell r="J1506">
            <v>170.75</v>
          </cell>
          <cell r="K1506">
            <v>88.5</v>
          </cell>
          <cell r="L1506">
            <v>80</v>
          </cell>
          <cell r="M1506">
            <v>40</v>
          </cell>
          <cell r="N1506" t="str">
            <v>0-ecoCool</v>
          </cell>
        </row>
        <row r="1507">
          <cell r="A1507" t="str">
            <v>K32A.3000.50</v>
          </cell>
          <cell r="B1507" t="str">
            <v>K-Series Battery Systems</v>
          </cell>
          <cell r="C1507" t="str">
            <v>ecoCool</v>
          </cell>
          <cell r="D1507" t="str">
            <v>K32A Lithium Battery 5 KWh, 3000VA Output</v>
          </cell>
          <cell r="E1507" t="str">
            <v>K32A.3000.50</v>
          </cell>
          <cell r="F1507" t="str">
            <v>MPN (Part #)</v>
          </cell>
          <cell r="G1507">
            <v>10848.1</v>
          </cell>
          <cell r="H1507">
            <v>9861.9000000000015</v>
          </cell>
          <cell r="J1507">
            <v>98.75</v>
          </cell>
          <cell r="K1507">
            <v>88.5</v>
          </cell>
          <cell r="L1507">
            <v>80</v>
          </cell>
          <cell r="M1507">
            <v>40</v>
          </cell>
          <cell r="N1507" t="str">
            <v>0-ecoCool</v>
          </cell>
        </row>
        <row r="1508">
          <cell r="A1508" t="str">
            <v>K32A.5000.100</v>
          </cell>
          <cell r="B1508" t="str">
            <v>K-Series Battery Systems</v>
          </cell>
          <cell r="C1508" t="str">
            <v>ecoCool</v>
          </cell>
          <cell r="D1508" t="str">
            <v>K32A Lithium Battery 10 KWh, 5000VA Output</v>
          </cell>
          <cell r="E1508" t="str">
            <v>K32A.5000.100</v>
          </cell>
          <cell r="F1508" t="str">
            <v>MPN (Part #)</v>
          </cell>
          <cell r="G1508">
            <v>16247.150000000001</v>
          </cell>
          <cell r="H1508">
            <v>14770.1</v>
          </cell>
          <cell r="J1508">
            <v>147.75</v>
          </cell>
          <cell r="K1508">
            <v>88.5</v>
          </cell>
          <cell r="L1508">
            <v>80</v>
          </cell>
          <cell r="M1508">
            <v>40</v>
          </cell>
          <cell r="N1508" t="str">
            <v>0-ecoCool</v>
          </cell>
        </row>
        <row r="1509">
          <cell r="A1509" t="str">
            <v>K32A.5000.150</v>
          </cell>
          <cell r="B1509" t="str">
            <v>K-Series Battery Systems</v>
          </cell>
          <cell r="C1509" t="str">
            <v>ecoCool</v>
          </cell>
          <cell r="D1509" t="str">
            <v>K32A Lithium Battery 15 KWh, 5000VA Output</v>
          </cell>
          <cell r="E1509" t="str">
            <v>K32A.5000.150</v>
          </cell>
          <cell r="F1509" t="str">
            <v>MPN (Part #)</v>
          </cell>
          <cell r="G1509">
            <v>20447.150000000001</v>
          </cell>
          <cell r="H1509">
            <v>18588.3</v>
          </cell>
          <cell r="J1509">
            <v>183.75</v>
          </cell>
          <cell r="K1509">
            <v>88.5</v>
          </cell>
          <cell r="L1509">
            <v>80</v>
          </cell>
          <cell r="M1509">
            <v>40</v>
          </cell>
          <cell r="N1509" t="str">
            <v>0-ecoCool</v>
          </cell>
        </row>
        <row r="1510">
          <cell r="A1510" t="str">
            <v>K32C.1200.29</v>
          </cell>
          <cell r="B1510" t="str">
            <v>K-Series Battery Systems</v>
          </cell>
          <cell r="C1510" t="str">
            <v>ecoCool</v>
          </cell>
          <cell r="D1510" t="str">
            <v>K32C AGM Battery 2.9KWh, 1200VA UPS</v>
          </cell>
          <cell r="E1510" t="str">
            <v>K32C.1200.29</v>
          </cell>
          <cell r="F1510" t="str">
            <v>MPN (Part #)</v>
          </cell>
          <cell r="G1510">
            <v>4528.6000000000004</v>
          </cell>
          <cell r="H1510">
            <v>4116.9000000000005</v>
          </cell>
          <cell r="J1510">
            <v>103.35</v>
          </cell>
          <cell r="K1510">
            <v>60</v>
          </cell>
          <cell r="L1510">
            <v>60</v>
          </cell>
          <cell r="M1510">
            <v>30</v>
          </cell>
          <cell r="N1510" t="str">
            <v>0-ecoCool</v>
          </cell>
        </row>
        <row r="1511">
          <cell r="A1511" t="str">
            <v>K32C.2000.58</v>
          </cell>
          <cell r="B1511" t="str">
            <v>K-Series Battery Systems</v>
          </cell>
          <cell r="C1511" t="str">
            <v>ecoCool</v>
          </cell>
          <cell r="D1511" t="str">
            <v>K32C AGM Battery 5.8KWh, 2000VA UPS</v>
          </cell>
          <cell r="E1511" t="str">
            <v>K32C.2000.58</v>
          </cell>
          <cell r="F1511" t="str">
            <v>MPN (Part #)</v>
          </cell>
          <cell r="G1511">
            <v>6145.35</v>
          </cell>
          <cell r="H1511">
            <v>5586.6500000000005</v>
          </cell>
          <cell r="J1511">
            <v>185.7</v>
          </cell>
          <cell r="K1511">
            <v>88.5</v>
          </cell>
          <cell r="L1511">
            <v>60</v>
          </cell>
          <cell r="M1511">
            <v>40</v>
          </cell>
          <cell r="N1511" t="str">
            <v>0-ecoCool</v>
          </cell>
        </row>
        <row r="1512">
          <cell r="A1512" t="str">
            <v>K32C.3000.58</v>
          </cell>
          <cell r="B1512" t="str">
            <v>K-Series Battery Systems</v>
          </cell>
          <cell r="C1512" t="str">
            <v>ecoCool</v>
          </cell>
          <cell r="D1512" t="str">
            <v>K32C AGM Battery 5.8KWh, 3000VA UPS</v>
          </cell>
          <cell r="E1512" t="str">
            <v>K32C.3000.58</v>
          </cell>
          <cell r="F1512" t="str">
            <v>MPN (Part #)</v>
          </cell>
          <cell r="G1512">
            <v>7139.6500000000005</v>
          </cell>
          <cell r="H1512">
            <v>6490.6</v>
          </cell>
          <cell r="J1512">
            <v>188.2</v>
          </cell>
          <cell r="K1512">
            <v>88.5</v>
          </cell>
          <cell r="L1512">
            <v>60</v>
          </cell>
          <cell r="M1512">
            <v>40</v>
          </cell>
          <cell r="N1512" t="str">
            <v>0-ecoCool</v>
          </cell>
        </row>
        <row r="1513">
          <cell r="A1513" t="str">
            <v>K32C.5000.82</v>
          </cell>
          <cell r="B1513" t="str">
            <v>K-Series Battery Systems</v>
          </cell>
          <cell r="C1513" t="str">
            <v>ecoCool</v>
          </cell>
          <cell r="D1513" t="str">
            <v>K32C AGM Battery 8.2KWh, 5000VA UPS</v>
          </cell>
          <cell r="E1513" t="str">
            <v>K32C.5000.82</v>
          </cell>
          <cell r="F1513" t="str">
            <v>MPN (Part #)</v>
          </cell>
          <cell r="G1513">
            <v>11954.45</v>
          </cell>
          <cell r="H1513">
            <v>10867.7</v>
          </cell>
          <cell r="J1513">
            <v>212.47</v>
          </cell>
          <cell r="K1513">
            <v>88.5</v>
          </cell>
          <cell r="L1513">
            <v>80</v>
          </cell>
          <cell r="M1513">
            <v>40</v>
          </cell>
          <cell r="N1513" t="str">
            <v>0-ecoCool</v>
          </cell>
        </row>
        <row r="1514">
          <cell r="A1514" t="str">
            <v>K32C.8000.82</v>
          </cell>
          <cell r="B1514" t="str">
            <v>K-Series Battery Systems</v>
          </cell>
          <cell r="C1514" t="str">
            <v>ecoCool</v>
          </cell>
          <cell r="D1514" t="str">
            <v>K32C AGM Battery 8.2KWh, 8000VA UPS</v>
          </cell>
          <cell r="E1514" t="str">
            <v>K32C.8000.82</v>
          </cell>
          <cell r="F1514" t="str">
            <v>MPN (Part #)</v>
          </cell>
          <cell r="G1514">
            <v>14096.050000000001</v>
          </cell>
          <cell r="H1514">
            <v>12814.6</v>
          </cell>
          <cell r="J1514">
            <v>223.47</v>
          </cell>
          <cell r="K1514">
            <v>88.5</v>
          </cell>
          <cell r="L1514">
            <v>80</v>
          </cell>
          <cell r="M1514">
            <v>40</v>
          </cell>
          <cell r="N1514" t="str">
            <v>0-ecoCool</v>
          </cell>
        </row>
        <row r="1515">
          <cell r="A1515" t="str">
            <v>K33.10000.G.200</v>
          </cell>
          <cell r="B1515" t="str">
            <v>K-Series Battery Systems</v>
          </cell>
          <cell r="C1515" t="str">
            <v>ecoCool</v>
          </cell>
          <cell r="D1515" t="str">
            <v>K33 Lithium Battery 20 KWh, 10000VA</v>
          </cell>
          <cell r="E1515" t="str">
            <v>K33.10000.G.200</v>
          </cell>
          <cell r="F1515" t="str">
            <v>MPN (Part #)</v>
          </cell>
          <cell r="G1515">
            <v>36791.5</v>
          </cell>
          <cell r="H1515">
            <v>33446.800000000003</v>
          </cell>
          <cell r="J1515">
            <v>380.22</v>
          </cell>
          <cell r="K1515">
            <v>212</v>
          </cell>
          <cell r="L1515">
            <v>630</v>
          </cell>
          <cell r="M1515">
            <v>630</v>
          </cell>
          <cell r="N1515" t="str">
            <v>0-ecoCool</v>
          </cell>
        </row>
        <row r="1516">
          <cell r="A1516" t="str">
            <v>K33.15000.G.250</v>
          </cell>
          <cell r="B1516" t="str">
            <v>K-Series Battery Systems</v>
          </cell>
          <cell r="C1516" t="str">
            <v>ecoCool</v>
          </cell>
          <cell r="D1516" t="str">
            <v>K33 Lithium Battery 25 KWh, 15000VA</v>
          </cell>
          <cell r="E1516" t="str">
            <v>K33.15000.G.250</v>
          </cell>
          <cell r="F1516" t="str">
            <v>MPN (Part #)</v>
          </cell>
          <cell r="G1516">
            <v>43618.9</v>
          </cell>
          <cell r="H1516">
            <v>39653.550000000003</v>
          </cell>
          <cell r="J1516">
            <v>442.21999999999997</v>
          </cell>
          <cell r="K1516">
            <v>212</v>
          </cell>
          <cell r="L1516">
            <v>630</v>
          </cell>
          <cell r="M1516">
            <v>630</v>
          </cell>
          <cell r="N1516" t="str">
            <v>0-ecoCool</v>
          </cell>
        </row>
        <row r="1517">
          <cell r="A1517" t="str">
            <v>K33.15000-3.G.250</v>
          </cell>
          <cell r="B1517" t="str">
            <v>K-Series Battery Systems</v>
          </cell>
          <cell r="C1517" t="str">
            <v>ecoCool</v>
          </cell>
          <cell r="D1517" t="str">
            <v>K33 Lithium Battery 25 KWh, 15000VA 3ph</v>
          </cell>
          <cell r="E1517" t="str">
            <v>K33.15000-3.G.250</v>
          </cell>
          <cell r="F1517" t="str">
            <v>MPN (Part #)</v>
          </cell>
          <cell r="G1517">
            <v>68863.75</v>
          </cell>
          <cell r="H1517">
            <v>62603.4</v>
          </cell>
          <cell r="J1517">
            <v>512.22</v>
          </cell>
          <cell r="K1517">
            <v>212</v>
          </cell>
          <cell r="L1517">
            <v>630</v>
          </cell>
          <cell r="M1517">
            <v>630</v>
          </cell>
          <cell r="N1517" t="str">
            <v>0-ecoCool</v>
          </cell>
        </row>
        <row r="1518">
          <cell r="A1518" t="str">
            <v>K33.3000.G.100</v>
          </cell>
          <cell r="B1518" t="str">
            <v>K-Series Battery Systems</v>
          </cell>
          <cell r="C1518" t="str">
            <v>ecoCool</v>
          </cell>
          <cell r="D1518" t="str">
            <v>K33 Lithium Battery 10 KWh, 3000VA</v>
          </cell>
          <cell r="E1518" t="str">
            <v>K33.3000.G.100</v>
          </cell>
          <cell r="F1518" t="str">
            <v>MPN (Part #)</v>
          </cell>
          <cell r="G1518">
            <v>15136.1</v>
          </cell>
          <cell r="H1518">
            <v>13760.1</v>
          </cell>
          <cell r="J1518">
            <v>134.75</v>
          </cell>
          <cell r="K1518">
            <v>88.5</v>
          </cell>
          <cell r="L1518">
            <v>80</v>
          </cell>
          <cell r="M1518">
            <v>40</v>
          </cell>
          <cell r="N1518" t="str">
            <v>0-ecoCool</v>
          </cell>
        </row>
        <row r="1519">
          <cell r="A1519" t="str">
            <v>K33.3000.G.50</v>
          </cell>
          <cell r="B1519" t="str">
            <v>K-Series Battery Systems</v>
          </cell>
          <cell r="C1519" t="str">
            <v>ecoCool</v>
          </cell>
          <cell r="D1519" t="str">
            <v>K33 Lithium Battery 5 KWh, 3000VA</v>
          </cell>
          <cell r="E1519" t="str">
            <v>K33.3000.G.50</v>
          </cell>
          <cell r="F1519" t="str">
            <v>MPN (Part #)</v>
          </cell>
          <cell r="G1519">
            <v>10936.1</v>
          </cell>
          <cell r="H1519">
            <v>9941.9000000000015</v>
          </cell>
          <cell r="J1519">
            <v>98.75</v>
          </cell>
          <cell r="K1519">
            <v>88.5</v>
          </cell>
          <cell r="L1519">
            <v>80</v>
          </cell>
          <cell r="M1519">
            <v>40</v>
          </cell>
          <cell r="N1519" t="str">
            <v>0-ecoCool</v>
          </cell>
        </row>
        <row r="1520">
          <cell r="A1520" t="str">
            <v>K33.30000-3.G.300</v>
          </cell>
          <cell r="B1520" t="str">
            <v>K-Series Battery Systems</v>
          </cell>
          <cell r="C1520" t="str">
            <v>ecoCool</v>
          </cell>
          <cell r="D1520" t="str">
            <v>K33 Lithium Battery 30 KWh, 30000VA 3ph</v>
          </cell>
          <cell r="E1520" t="str">
            <v>K33.30000-3.G.300</v>
          </cell>
          <cell r="F1520" t="str">
            <v>MPN (Part #)</v>
          </cell>
          <cell r="G1520">
            <v>66150.75</v>
          </cell>
          <cell r="H1520">
            <v>60137.05</v>
          </cell>
          <cell r="J1520">
            <v>522.22</v>
          </cell>
          <cell r="K1520">
            <v>212</v>
          </cell>
          <cell r="L1520">
            <v>830</v>
          </cell>
          <cell r="M1520">
            <v>630</v>
          </cell>
          <cell r="N1520" t="str">
            <v>0-ecoCool</v>
          </cell>
        </row>
        <row r="1521">
          <cell r="A1521" t="str">
            <v>K33.45000-3.G.500</v>
          </cell>
          <cell r="B1521" t="str">
            <v>K-Series Battery Systems</v>
          </cell>
          <cell r="C1521" t="str">
            <v>ecoCool</v>
          </cell>
          <cell r="D1521" t="str">
            <v>K33 Lithium Battery 50 KWh, 45000VA 3ph</v>
          </cell>
          <cell r="E1521" t="str">
            <v>K33.45000-3.G.500</v>
          </cell>
          <cell r="F1521" t="str">
            <v>MPN (Part #)</v>
          </cell>
          <cell r="G1521">
            <v>92830.650000000009</v>
          </cell>
          <cell r="H1521">
            <v>84391.5</v>
          </cell>
          <cell r="J1521">
            <v>767.22</v>
          </cell>
          <cell r="K1521">
            <v>212</v>
          </cell>
          <cell r="L1521">
            <v>1030</v>
          </cell>
          <cell r="M1521">
            <v>630</v>
          </cell>
          <cell r="N1521" t="str">
            <v>0-ecoCool</v>
          </cell>
        </row>
        <row r="1522">
          <cell r="A1522" t="str">
            <v>K33.5000.G.100</v>
          </cell>
          <cell r="B1522" t="str">
            <v>K-Series Battery Systems</v>
          </cell>
          <cell r="C1522" t="str">
            <v>ecoCool</v>
          </cell>
          <cell r="D1522" t="str">
            <v>K33 Lithium Battery 10 KWh, 5000VA</v>
          </cell>
          <cell r="E1522" t="str">
            <v>K33.5000.G.100</v>
          </cell>
          <cell r="F1522" t="str">
            <v>MPN (Part #)</v>
          </cell>
          <cell r="G1522">
            <v>16337.800000000001</v>
          </cell>
          <cell r="H1522">
            <v>14852.550000000001</v>
          </cell>
          <cell r="J1522">
            <v>148</v>
          </cell>
          <cell r="K1522">
            <v>88.5</v>
          </cell>
          <cell r="L1522">
            <v>80</v>
          </cell>
          <cell r="M1522">
            <v>40</v>
          </cell>
          <cell r="N1522" t="str">
            <v>0-ecoCool</v>
          </cell>
        </row>
        <row r="1523">
          <cell r="A1523" t="str">
            <v>K33.5000.G.150</v>
          </cell>
          <cell r="B1523" t="str">
            <v>K-Series Battery Systems</v>
          </cell>
          <cell r="C1523" t="str">
            <v>ecoCool</v>
          </cell>
          <cell r="D1523" t="str">
            <v>K33 Lithium Battery 15 KWh, 5000VA</v>
          </cell>
          <cell r="E1523" t="str">
            <v>K33.5000.G.150</v>
          </cell>
          <cell r="F1523" t="str">
            <v>MPN (Part #)</v>
          </cell>
          <cell r="G1523">
            <v>20537.800000000003</v>
          </cell>
          <cell r="H1523">
            <v>18670.7</v>
          </cell>
          <cell r="J1523">
            <v>184</v>
          </cell>
          <cell r="K1523">
            <v>88.5</v>
          </cell>
          <cell r="L1523">
            <v>80</v>
          </cell>
          <cell r="M1523">
            <v>40</v>
          </cell>
          <cell r="N1523" t="str">
            <v>0-ecoCool</v>
          </cell>
        </row>
        <row r="1524">
          <cell r="A1524" t="str">
            <v>K33.8000.G.150</v>
          </cell>
          <cell r="B1524" t="str">
            <v>K-Series Battery Systems</v>
          </cell>
          <cell r="C1524" t="str">
            <v>ecoCool</v>
          </cell>
          <cell r="D1524" t="str">
            <v>K33 Lithium Battery 15 KWh, 8000VA</v>
          </cell>
          <cell r="E1524" t="str">
            <v>K33.8000.G.150</v>
          </cell>
          <cell r="F1524" t="str">
            <v>MPN (Part #)</v>
          </cell>
          <cell r="G1524">
            <v>23094.400000000001</v>
          </cell>
          <cell r="H1524">
            <v>20994.9</v>
          </cell>
          <cell r="J1524">
            <v>202.25</v>
          </cell>
          <cell r="K1524">
            <v>108.5</v>
          </cell>
          <cell r="L1524">
            <v>80</v>
          </cell>
          <cell r="M1524">
            <v>40</v>
          </cell>
          <cell r="N1524" t="str">
            <v>0-ecoCool</v>
          </cell>
        </row>
        <row r="1525">
          <cell r="A1525" t="str">
            <v>M0001</v>
          </cell>
          <cell r="B1525" t="str">
            <v>Cables</v>
          </cell>
          <cell r="D1525" t="str">
            <v>Sheet HDPE 3mmx2.44mx1.22m Blk</v>
          </cell>
          <cell r="F1525" t="str">
            <v>MPN (Part #)</v>
          </cell>
          <cell r="G1525">
            <v>0</v>
          </cell>
          <cell r="H1525">
            <v>0</v>
          </cell>
          <cell r="I1525">
            <v>0</v>
          </cell>
          <cell r="N1525" t="str">
            <v/>
          </cell>
        </row>
        <row r="1526">
          <cell r="A1526" t="str">
            <v>M0002</v>
          </cell>
          <cell r="B1526" t="str">
            <v>Cables</v>
          </cell>
          <cell r="C1526" t="str">
            <v>Apec</v>
          </cell>
          <cell r="D1526" t="str">
            <v>Wire Fig.8 0.75mm 26/0.25 Bl</v>
          </cell>
          <cell r="E1526" t="str">
            <v>Fig8-0.75</v>
          </cell>
          <cell r="F1526" t="str">
            <v>MPN (Part #)</v>
          </cell>
          <cell r="G1526">
            <v>0.35000000000000003</v>
          </cell>
          <cell r="H1526">
            <v>0.30000000000000004</v>
          </cell>
          <cell r="I1526">
            <v>0</v>
          </cell>
          <cell r="N1526" t="str">
            <v>6-Various</v>
          </cell>
        </row>
        <row r="1527">
          <cell r="A1527" t="str">
            <v>M0003</v>
          </cell>
          <cell r="B1527" t="str">
            <v>Cables</v>
          </cell>
          <cell r="D1527" t="str">
            <v>Wire Fig8 2.5mmSQ Black PVC</v>
          </cell>
          <cell r="F1527" t="str">
            <v>MPN (Part #)</v>
          </cell>
          <cell r="G1527">
            <v>0</v>
          </cell>
          <cell r="H1527">
            <v>0</v>
          </cell>
          <cell r="I1527">
            <v>0</v>
          </cell>
          <cell r="N1527" t="str">
            <v/>
          </cell>
        </row>
        <row r="1528">
          <cell r="A1528" t="str">
            <v>M0004</v>
          </cell>
          <cell r="B1528" t="str">
            <v>Cables</v>
          </cell>
          <cell r="D1528" t="str">
            <v>Wire PVC 1.0mmSQ Black</v>
          </cell>
          <cell r="F1528" t="str">
            <v>MPN (Part #)</v>
          </cell>
          <cell r="G1528">
            <v>0</v>
          </cell>
          <cell r="H1528">
            <v>0</v>
          </cell>
          <cell r="I1528">
            <v>0</v>
          </cell>
          <cell r="N1528" t="str">
            <v/>
          </cell>
        </row>
        <row r="1529">
          <cell r="A1529" t="str">
            <v>M0005</v>
          </cell>
          <cell r="B1529" t="str">
            <v>Cables</v>
          </cell>
          <cell r="D1529" t="str">
            <v>Wire 2-Core+Sheath 4.65mm2</v>
          </cell>
          <cell r="F1529" t="str">
            <v>MPN (Part #)</v>
          </cell>
          <cell r="G1529">
            <v>0</v>
          </cell>
          <cell r="H1529">
            <v>0</v>
          </cell>
          <cell r="I1529">
            <v>0</v>
          </cell>
          <cell r="N1529" t="str">
            <v/>
          </cell>
        </row>
        <row r="1530">
          <cell r="A1530" t="str">
            <v>M0006</v>
          </cell>
          <cell r="B1530" t="str">
            <v>Cables</v>
          </cell>
          <cell r="D1530" t="str">
            <v>Wire 2Core+Sheath 3.3mm</v>
          </cell>
          <cell r="F1530" t="str">
            <v>MPN (Part #)</v>
          </cell>
          <cell r="G1530">
            <v>0</v>
          </cell>
          <cell r="H1530">
            <v>0</v>
          </cell>
          <cell r="I1530">
            <v>0</v>
          </cell>
          <cell r="N1530" t="str">
            <v>6-Various</v>
          </cell>
        </row>
        <row r="1531">
          <cell r="A1531" t="str">
            <v>M0007</v>
          </cell>
          <cell r="B1531" t="str">
            <v>Cables</v>
          </cell>
          <cell r="D1531" t="str">
            <v>Pipe Poly HDPE PN12.5 75x6m</v>
          </cell>
          <cell r="F1531" t="str">
            <v>MPN (Part #)</v>
          </cell>
          <cell r="G1531">
            <v>0</v>
          </cell>
          <cell r="H1531">
            <v>0</v>
          </cell>
          <cell r="I1531">
            <v>0</v>
          </cell>
          <cell r="N1531" t="str">
            <v/>
          </cell>
        </row>
        <row r="1532">
          <cell r="A1532" t="str">
            <v>M0008</v>
          </cell>
          <cell r="B1532" t="str">
            <v>Cables</v>
          </cell>
          <cell r="D1532" t="str">
            <v>Extrusion PVC U Shape 19x8.1mm</v>
          </cell>
          <cell r="F1532" t="str">
            <v>MPN (Part #)</v>
          </cell>
          <cell r="G1532">
            <v>0</v>
          </cell>
          <cell r="H1532">
            <v>0</v>
          </cell>
          <cell r="I1532">
            <v>0</v>
          </cell>
          <cell r="N1532" t="str">
            <v/>
          </cell>
        </row>
        <row r="1533">
          <cell r="A1533" t="str">
            <v>M0009</v>
          </cell>
          <cell r="B1533" t="str">
            <v>Cables</v>
          </cell>
          <cell r="F1533" t="str">
            <v>MPN (Part #)</v>
          </cell>
          <cell r="G1533">
            <v>0</v>
          </cell>
          <cell r="H1533">
            <v>0</v>
          </cell>
          <cell r="I1533">
            <v>0</v>
          </cell>
          <cell r="N1533" t="str">
            <v/>
          </cell>
        </row>
        <row r="1534">
          <cell r="A1534" t="str">
            <v>M0010</v>
          </cell>
          <cell r="B1534" t="str">
            <v>Cables</v>
          </cell>
          <cell r="D1534" t="str">
            <v>Tape D/S 12x2.3x33m 3M VHB4991</v>
          </cell>
          <cell r="F1534" t="str">
            <v>MPN (Part #)</v>
          </cell>
          <cell r="G1534">
            <v>0</v>
          </cell>
          <cell r="H1534">
            <v>0</v>
          </cell>
          <cell r="I1534">
            <v>0</v>
          </cell>
          <cell r="N1534" t="str">
            <v/>
          </cell>
        </row>
        <row r="1535">
          <cell r="A1535" t="str">
            <v>M0011</v>
          </cell>
          <cell r="B1535" t="str">
            <v>Cables</v>
          </cell>
          <cell r="D1535" t="str">
            <v>Wire 2Core+Sheath 6mm2</v>
          </cell>
          <cell r="F1535" t="str">
            <v>MPN (Part #)</v>
          </cell>
          <cell r="G1535">
            <v>0</v>
          </cell>
          <cell r="H1535">
            <v>0</v>
          </cell>
          <cell r="I1535">
            <v>0</v>
          </cell>
          <cell r="N1535" t="str">
            <v/>
          </cell>
        </row>
        <row r="1536">
          <cell r="A1536" t="str">
            <v>M0012</v>
          </cell>
          <cell r="B1536" t="str">
            <v>Cables</v>
          </cell>
          <cell r="D1536" t="str">
            <v>Wire 1.5mm2 1-core 30/0.25 PVC</v>
          </cell>
          <cell r="F1536" t="str">
            <v>MPN (Part #)</v>
          </cell>
          <cell r="G1536">
            <v>0</v>
          </cell>
          <cell r="H1536">
            <v>0</v>
          </cell>
          <cell r="I1536">
            <v>0</v>
          </cell>
          <cell r="N1536" t="str">
            <v/>
          </cell>
        </row>
        <row r="1537">
          <cell r="A1537" t="str">
            <v>M0013</v>
          </cell>
          <cell r="B1537" t="str">
            <v>Cables</v>
          </cell>
          <cell r="C1537" t="str">
            <v>Techbrands</v>
          </cell>
          <cell r="D1537" t="str">
            <v>Wire 2.5mm2 1-core 50/0.25 PVC</v>
          </cell>
          <cell r="E1537" t="str">
            <v>WH3080</v>
          </cell>
          <cell r="F1537" t="str">
            <v>MPN (Part #)</v>
          </cell>
          <cell r="G1537">
            <v>4.55</v>
          </cell>
          <cell r="H1537">
            <v>4.1500000000000004</v>
          </cell>
          <cell r="I1537">
            <v>0</v>
          </cell>
          <cell r="N1537" t="str">
            <v>6-Various</v>
          </cell>
        </row>
        <row r="1538">
          <cell r="A1538" t="str">
            <v>M0014</v>
          </cell>
          <cell r="B1538" t="str">
            <v>Cables</v>
          </cell>
          <cell r="D1538" t="str">
            <v>Wire 4mm2 1-core Flex PVC</v>
          </cell>
          <cell r="F1538" t="str">
            <v>MPN (Part #)</v>
          </cell>
          <cell r="G1538">
            <v>0</v>
          </cell>
          <cell r="H1538">
            <v>0</v>
          </cell>
          <cell r="I1538">
            <v>0</v>
          </cell>
          <cell r="N1538" t="str">
            <v/>
          </cell>
        </row>
        <row r="1539">
          <cell r="A1539" t="str">
            <v>M0015</v>
          </cell>
          <cell r="B1539" t="str">
            <v>Cables</v>
          </cell>
          <cell r="D1539" t="str">
            <v>Wire 6mm2 1-core Flex PVC BL</v>
          </cell>
          <cell r="F1539" t="str">
            <v>MPN (Part #)</v>
          </cell>
          <cell r="G1539">
            <v>0</v>
          </cell>
          <cell r="H1539">
            <v>0</v>
          </cell>
          <cell r="I1539">
            <v>0</v>
          </cell>
          <cell r="N1539" t="str">
            <v/>
          </cell>
        </row>
        <row r="1540">
          <cell r="A1540" t="str">
            <v>M0016</v>
          </cell>
          <cell r="B1540" t="str">
            <v>Cables</v>
          </cell>
          <cell r="D1540" t="str">
            <v>Sealant PolyUrethane Sikaflex</v>
          </cell>
          <cell r="F1540" t="str">
            <v>MPN (Part #)</v>
          </cell>
          <cell r="G1540">
            <v>0</v>
          </cell>
          <cell r="H1540">
            <v>0</v>
          </cell>
          <cell r="I1540">
            <v>0</v>
          </cell>
          <cell r="N1540" t="str">
            <v/>
          </cell>
        </row>
        <row r="1541">
          <cell r="A1541" t="str">
            <v>M0017</v>
          </cell>
          <cell r="B1541" t="str">
            <v>Cables</v>
          </cell>
          <cell r="D1541" t="str">
            <v>Pipe 1/2" Copper WT 0.91mm</v>
          </cell>
          <cell r="F1541" t="str">
            <v>MPN (Part #)</v>
          </cell>
          <cell r="G1541">
            <v>0</v>
          </cell>
          <cell r="H1541">
            <v>0</v>
          </cell>
          <cell r="I1541">
            <v>0</v>
          </cell>
          <cell r="N1541" t="str">
            <v/>
          </cell>
        </row>
        <row r="1542">
          <cell r="A1542" t="str">
            <v>M0018</v>
          </cell>
          <cell r="B1542" t="str">
            <v>Cables</v>
          </cell>
          <cell r="D1542" t="str">
            <v>Pipe 20mm Pex (Sharkbite)</v>
          </cell>
          <cell r="F1542" t="str">
            <v>MPN (Part #)</v>
          </cell>
          <cell r="G1542">
            <v>0</v>
          </cell>
          <cell r="H1542">
            <v>0</v>
          </cell>
          <cell r="I1542">
            <v>0</v>
          </cell>
          <cell r="N1542" t="str">
            <v/>
          </cell>
        </row>
        <row r="1543">
          <cell r="A1543" t="str">
            <v>M0019</v>
          </cell>
          <cell r="B1543" t="str">
            <v>Cables</v>
          </cell>
          <cell r="D1543" t="str">
            <v>Threaded Rod M6x1000mm Brass</v>
          </cell>
          <cell r="F1543" t="str">
            <v>MPN (Part #)</v>
          </cell>
          <cell r="G1543">
            <v>0</v>
          </cell>
          <cell r="H1543">
            <v>0</v>
          </cell>
          <cell r="I1543">
            <v>0</v>
          </cell>
          <cell r="N1543" t="str">
            <v/>
          </cell>
        </row>
        <row r="1544">
          <cell r="A1544" t="str">
            <v>M0020</v>
          </cell>
          <cell r="B1544" t="str">
            <v>Cables</v>
          </cell>
          <cell r="F1544" t="str">
            <v>MPN (Part #)</v>
          </cell>
          <cell r="G1544">
            <v>0</v>
          </cell>
          <cell r="H1544">
            <v>0</v>
          </cell>
          <cell r="I1544">
            <v>0</v>
          </cell>
          <cell r="N1544" t="str">
            <v/>
          </cell>
        </row>
        <row r="1545">
          <cell r="A1545" t="str">
            <v>M0021</v>
          </cell>
          <cell r="B1545" t="str">
            <v>Cables</v>
          </cell>
          <cell r="D1545" t="str">
            <v>Pipe HDPE OD25 PN16 Black/BS</v>
          </cell>
          <cell r="F1545" t="str">
            <v>MPN (Part #)</v>
          </cell>
          <cell r="G1545">
            <v>0</v>
          </cell>
          <cell r="H1545">
            <v>0</v>
          </cell>
          <cell r="I1545">
            <v>0</v>
          </cell>
          <cell r="N1545" t="str">
            <v/>
          </cell>
        </row>
        <row r="1546">
          <cell r="A1546" t="str">
            <v>M0022</v>
          </cell>
          <cell r="B1546" t="str">
            <v>Cables</v>
          </cell>
          <cell r="D1546" t="str">
            <v>Foil Membrane Med Duty 1350W</v>
          </cell>
          <cell r="F1546" t="str">
            <v>MPN (Part #)</v>
          </cell>
          <cell r="G1546">
            <v>0</v>
          </cell>
          <cell r="H1546">
            <v>0</v>
          </cell>
          <cell r="I1546">
            <v>0</v>
          </cell>
          <cell r="N1546" t="str">
            <v/>
          </cell>
        </row>
        <row r="1547">
          <cell r="A1547" t="str">
            <v>M0023</v>
          </cell>
          <cell r="B1547" t="str">
            <v>Cables</v>
          </cell>
          <cell r="D1547" t="str">
            <v>Foil Membrane Tape 72mmW</v>
          </cell>
          <cell r="F1547" t="str">
            <v>MPN (Part #)</v>
          </cell>
          <cell r="G1547">
            <v>0</v>
          </cell>
          <cell r="H1547">
            <v>0</v>
          </cell>
          <cell r="I1547">
            <v>0</v>
          </cell>
          <cell r="N1547" t="str">
            <v/>
          </cell>
        </row>
        <row r="1548">
          <cell r="A1548" t="str">
            <v>M0024</v>
          </cell>
          <cell r="B1548" t="str">
            <v>Cables</v>
          </cell>
          <cell r="D1548" t="str">
            <v>Tape Foam Adhesive 3.2x6.35mm</v>
          </cell>
          <cell r="F1548" t="str">
            <v>MPN (Part #)</v>
          </cell>
          <cell r="G1548">
            <v>0</v>
          </cell>
          <cell r="H1548">
            <v>0</v>
          </cell>
          <cell r="I1548">
            <v>0</v>
          </cell>
          <cell r="N1548" t="str">
            <v/>
          </cell>
        </row>
        <row r="1549">
          <cell r="A1549" t="str">
            <v>M0025</v>
          </cell>
          <cell r="B1549" t="str">
            <v>Cables</v>
          </cell>
          <cell r="D1549" t="str">
            <v>Tape D/S 9mmx1.0x33m VHB?</v>
          </cell>
          <cell r="F1549" t="str">
            <v>MPN (Part #)</v>
          </cell>
          <cell r="G1549">
            <v>0</v>
          </cell>
          <cell r="H1549">
            <v>0</v>
          </cell>
          <cell r="I1549">
            <v>0</v>
          </cell>
          <cell r="N1549" t="str">
            <v/>
          </cell>
        </row>
        <row r="1550">
          <cell r="A1550" t="str">
            <v>M0026</v>
          </cell>
          <cell r="B1550" t="str">
            <v>Cables</v>
          </cell>
          <cell r="D1550" t="str">
            <v>Pipe Insulation TBC</v>
          </cell>
          <cell r="F1550" t="str">
            <v>MPN (Part #)</v>
          </cell>
          <cell r="G1550">
            <v>0</v>
          </cell>
          <cell r="H1550">
            <v>0</v>
          </cell>
          <cell r="I1550">
            <v>0</v>
          </cell>
          <cell r="N1550" t="str">
            <v/>
          </cell>
        </row>
        <row r="1551">
          <cell r="A1551" t="str">
            <v>M0027</v>
          </cell>
          <cell r="B1551" t="str">
            <v>Cables</v>
          </cell>
          <cell r="D1551" t="str">
            <v>Tape D/S 0.5x12mm x66m</v>
          </cell>
          <cell r="F1551" t="str">
            <v>MPN (Part #)</v>
          </cell>
          <cell r="G1551">
            <v>0</v>
          </cell>
          <cell r="H1551">
            <v>0</v>
          </cell>
          <cell r="I1551">
            <v>0</v>
          </cell>
          <cell r="N1551" t="str">
            <v/>
          </cell>
        </row>
        <row r="1552">
          <cell r="A1552" t="str">
            <v>M0028</v>
          </cell>
          <cell r="B1552" t="str">
            <v>Cables</v>
          </cell>
          <cell r="D1552" t="str">
            <v>Solder</v>
          </cell>
          <cell r="F1552" t="str">
            <v>MPN (Part #)</v>
          </cell>
          <cell r="G1552">
            <v>0</v>
          </cell>
          <cell r="H1552">
            <v>0</v>
          </cell>
          <cell r="I1552">
            <v>0</v>
          </cell>
          <cell r="N1552" t="str">
            <v/>
          </cell>
        </row>
        <row r="1553">
          <cell r="A1553" t="str">
            <v>M0029</v>
          </cell>
          <cell r="B1553" t="str">
            <v>Cables</v>
          </cell>
          <cell r="D1553" t="str">
            <v>Wire Mesh 6.35x6.35x0.63mm S/S</v>
          </cell>
          <cell r="F1553" t="str">
            <v>MPN (Part #)</v>
          </cell>
          <cell r="G1553">
            <v>0</v>
          </cell>
          <cell r="H1553">
            <v>0</v>
          </cell>
          <cell r="I1553">
            <v>0</v>
          </cell>
          <cell r="N1553" t="str">
            <v/>
          </cell>
        </row>
        <row r="1554">
          <cell r="A1554" t="str">
            <v>M0030</v>
          </cell>
          <cell r="B1554" t="str">
            <v>Cables</v>
          </cell>
          <cell r="D1554" t="str">
            <v>Pipe 3/8" Copper WT0.91mm</v>
          </cell>
          <cell r="F1554" t="str">
            <v>MPN (Part #)</v>
          </cell>
          <cell r="G1554">
            <v>0</v>
          </cell>
          <cell r="H1554">
            <v>0</v>
          </cell>
          <cell r="I1554">
            <v>0</v>
          </cell>
          <cell r="N1554" t="str">
            <v/>
          </cell>
        </row>
        <row r="1555">
          <cell r="A1555" t="str">
            <v>M0031</v>
          </cell>
          <cell r="B1555" t="str">
            <v>Cables</v>
          </cell>
          <cell r="D1555" t="str">
            <v>Pipe 3/4" Copper WT 1.14mm</v>
          </cell>
          <cell r="F1555" t="str">
            <v>MPN (Part #)</v>
          </cell>
          <cell r="G1555">
            <v>0</v>
          </cell>
          <cell r="H1555">
            <v>0</v>
          </cell>
          <cell r="I1555">
            <v>0</v>
          </cell>
          <cell r="N1555" t="str">
            <v/>
          </cell>
        </row>
        <row r="1556">
          <cell r="A1556" t="str">
            <v>M0032</v>
          </cell>
          <cell r="B1556" t="str">
            <v>Cables</v>
          </cell>
          <cell r="D1556" t="str">
            <v>Refrigerant R134a?</v>
          </cell>
          <cell r="F1556" t="str">
            <v>MPN (Part #)</v>
          </cell>
          <cell r="G1556">
            <v>0</v>
          </cell>
          <cell r="H1556">
            <v>0</v>
          </cell>
          <cell r="I1556">
            <v>0</v>
          </cell>
          <cell r="N1556" t="str">
            <v/>
          </cell>
        </row>
        <row r="1557">
          <cell r="A1557" t="str">
            <v>M0033</v>
          </cell>
          <cell r="B1557" t="str">
            <v>Cables</v>
          </cell>
          <cell r="D1557" t="str">
            <v>Thermocouple wire K type</v>
          </cell>
          <cell r="F1557" t="str">
            <v>MPN (Part #)</v>
          </cell>
          <cell r="G1557">
            <v>0</v>
          </cell>
          <cell r="H1557">
            <v>0</v>
          </cell>
          <cell r="I1557">
            <v>0</v>
          </cell>
          <cell r="N1557" t="str">
            <v/>
          </cell>
        </row>
        <row r="1558">
          <cell r="A1558" t="str">
            <v>M0034</v>
          </cell>
          <cell r="B1558" t="str">
            <v>Cables</v>
          </cell>
          <cell r="D1558" t="str">
            <v>Paint Spray Metal Primer</v>
          </cell>
          <cell r="F1558" t="str">
            <v>MPN (Part #)</v>
          </cell>
          <cell r="G1558">
            <v>0</v>
          </cell>
          <cell r="H1558">
            <v>0</v>
          </cell>
          <cell r="I1558">
            <v>0</v>
          </cell>
          <cell r="N1558" t="str">
            <v/>
          </cell>
        </row>
        <row r="1559">
          <cell r="A1559" t="str">
            <v>M0035</v>
          </cell>
          <cell r="B1559" t="str">
            <v>Cables</v>
          </cell>
          <cell r="D1559" t="str">
            <v>Paint Spray White</v>
          </cell>
          <cell r="F1559" t="str">
            <v>MPN (Part #)</v>
          </cell>
          <cell r="G1559">
            <v>0</v>
          </cell>
          <cell r="H1559">
            <v>0</v>
          </cell>
          <cell r="I1559">
            <v>0</v>
          </cell>
          <cell r="N1559" t="str">
            <v/>
          </cell>
        </row>
        <row r="1560">
          <cell r="A1560" t="str">
            <v>M0036</v>
          </cell>
          <cell r="B1560" t="str">
            <v>Cables</v>
          </cell>
          <cell r="C1560" t="str">
            <v>Evolution</v>
          </cell>
          <cell r="D1560" t="str">
            <v>Cable 25mm2 Stranded PVC Red</v>
          </cell>
          <cell r="E1560" t="str">
            <v>Cab-RED-25</v>
          </cell>
          <cell r="F1560" t="str">
            <v>MPN (Part #)</v>
          </cell>
          <cell r="G1560">
            <v>9.0500000000000007</v>
          </cell>
          <cell r="H1560">
            <v>8.25</v>
          </cell>
          <cell r="I1560">
            <v>0</v>
          </cell>
          <cell r="N1560" t="str">
            <v>6-Various</v>
          </cell>
        </row>
        <row r="1561">
          <cell r="A1561" t="str">
            <v>M0037</v>
          </cell>
          <cell r="B1561" t="str">
            <v>Cables</v>
          </cell>
          <cell r="C1561" t="str">
            <v>Evolution</v>
          </cell>
          <cell r="D1561" t="str">
            <v>Cable 25mm2 Stranded PVC Black</v>
          </cell>
          <cell r="E1561" t="str">
            <v>Cab-BLK-25</v>
          </cell>
          <cell r="F1561" t="str">
            <v>MPN (Part #)</v>
          </cell>
          <cell r="G1561">
            <v>9.0500000000000007</v>
          </cell>
          <cell r="H1561">
            <v>8.25</v>
          </cell>
          <cell r="I1561">
            <v>0</v>
          </cell>
          <cell r="N1561" t="str">
            <v>6-Various</v>
          </cell>
        </row>
        <row r="1562">
          <cell r="A1562" t="str">
            <v>M0038</v>
          </cell>
          <cell r="B1562" t="str">
            <v>Cables</v>
          </cell>
          <cell r="D1562" t="str">
            <v>Tape Filament 24mmx45m</v>
          </cell>
          <cell r="F1562" t="str">
            <v>MPN (Part #)</v>
          </cell>
          <cell r="G1562">
            <v>0</v>
          </cell>
          <cell r="H1562">
            <v>0</v>
          </cell>
          <cell r="I1562">
            <v>0</v>
          </cell>
          <cell r="N1562" t="str">
            <v/>
          </cell>
        </row>
        <row r="1563">
          <cell r="A1563" t="str">
            <v>M0039</v>
          </cell>
          <cell r="B1563" t="str">
            <v>Cables</v>
          </cell>
          <cell r="D1563" t="str">
            <v>Sheet A4 Label 295 x 208 mm - Silver Heavy Duty</v>
          </cell>
          <cell r="F1563" t="str">
            <v>MPN (Part #)</v>
          </cell>
          <cell r="G1563">
            <v>0</v>
          </cell>
          <cell r="H1563">
            <v>0</v>
          </cell>
          <cell r="I1563">
            <v>0</v>
          </cell>
          <cell r="N1563" t="str">
            <v/>
          </cell>
        </row>
        <row r="1564">
          <cell r="A1564" t="str">
            <v>M0040</v>
          </cell>
          <cell r="B1564" t="str">
            <v>Cables</v>
          </cell>
          <cell r="D1564" t="str">
            <v>Wire 2-Core Solar 4mm2 PVC Black</v>
          </cell>
          <cell r="E1564" t="str">
            <v>4MMTWINDC</v>
          </cell>
          <cell r="F1564" t="str">
            <v>MPN (Part #)</v>
          </cell>
          <cell r="G1564">
            <v>184.4</v>
          </cell>
          <cell r="H1564">
            <v>167.65</v>
          </cell>
          <cell r="I1564">
            <v>0</v>
          </cell>
          <cell r="N1564" t="str">
            <v>3-Tradezone</v>
          </cell>
        </row>
        <row r="1565">
          <cell r="A1565" t="str">
            <v>M0041</v>
          </cell>
          <cell r="B1565" t="str">
            <v>Cables</v>
          </cell>
          <cell r="D1565" t="str">
            <v>Rod Copper 6.35mm</v>
          </cell>
          <cell r="F1565" t="str">
            <v>MPN (Part #)</v>
          </cell>
          <cell r="G1565">
            <v>0</v>
          </cell>
          <cell r="H1565">
            <v>0</v>
          </cell>
          <cell r="I1565">
            <v>0</v>
          </cell>
          <cell r="N1565" t="str">
            <v/>
          </cell>
        </row>
        <row r="1566">
          <cell r="A1566" t="str">
            <v>M0042</v>
          </cell>
          <cell r="B1566" t="str">
            <v>Cables</v>
          </cell>
          <cell r="D1566" t="str">
            <v>Tape VHB 4941 Double Sided Tape 18x1.1mm 3M</v>
          </cell>
          <cell r="F1566" t="str">
            <v>MPN (Part #)</v>
          </cell>
          <cell r="G1566">
            <v>0</v>
          </cell>
          <cell r="H1566">
            <v>0</v>
          </cell>
          <cell r="I1566">
            <v>0</v>
          </cell>
          <cell r="N1566" t="str">
            <v/>
          </cell>
        </row>
        <row r="1567">
          <cell r="A1567" t="str">
            <v>M0043</v>
          </cell>
          <cell r="B1567" t="str">
            <v>Cables</v>
          </cell>
          <cell r="C1567" t="str">
            <v>Evolution</v>
          </cell>
          <cell r="D1567" t="str">
            <v>Cable 16mm Stranded PVC Black</v>
          </cell>
          <cell r="E1567" t="str">
            <v>Cab-BLK-16</v>
          </cell>
          <cell r="F1567" t="str">
            <v>MPN (Part #)</v>
          </cell>
          <cell r="G1567">
            <v>0</v>
          </cell>
          <cell r="H1567">
            <v>0</v>
          </cell>
          <cell r="I1567">
            <v>0</v>
          </cell>
          <cell r="N1567" t="str">
            <v>6-Various</v>
          </cell>
        </row>
        <row r="1568">
          <cell r="A1568" t="str">
            <v>M0044</v>
          </cell>
          <cell r="B1568" t="str">
            <v>Cables</v>
          </cell>
          <cell r="C1568" t="str">
            <v>Electra</v>
          </cell>
          <cell r="D1568" t="str">
            <v xml:space="preserve">Cable 33mm Stranded PVC </v>
          </cell>
          <cell r="E1568" t="str">
            <v>EBS2</v>
          </cell>
          <cell r="F1568" t="str">
            <v>MPN (Part #)</v>
          </cell>
          <cell r="G1568">
            <v>12.05</v>
          </cell>
          <cell r="H1568">
            <v>10.950000000000001</v>
          </cell>
          <cell r="I1568">
            <v>0</v>
          </cell>
          <cell r="J1568">
            <v>0.54200000000000004</v>
          </cell>
          <cell r="K1568">
            <v>30</v>
          </cell>
          <cell r="L1568">
            <v>30</v>
          </cell>
          <cell r="M1568">
            <v>1</v>
          </cell>
          <cell r="N1568" t="str">
            <v>3-Tradezone</v>
          </cell>
        </row>
        <row r="1569">
          <cell r="A1569" t="str">
            <v>M0045</v>
          </cell>
          <cell r="B1569" t="str">
            <v>Cables</v>
          </cell>
          <cell r="C1569" t="str">
            <v>Electra</v>
          </cell>
          <cell r="D1569" t="str">
            <v>Cable 13.5mm Stranded PVC Black</v>
          </cell>
          <cell r="E1569" t="str">
            <v>Elteca13-RD</v>
          </cell>
          <cell r="F1569" t="str">
            <v>MPN (Part #)</v>
          </cell>
          <cell r="G1569">
            <v>5.1000000000000005</v>
          </cell>
          <cell r="H1569">
            <v>4.6000000000000005</v>
          </cell>
          <cell r="I1569">
            <v>0</v>
          </cell>
          <cell r="N1569" t="str">
            <v>6-Various</v>
          </cell>
        </row>
        <row r="1570">
          <cell r="A1570" t="str">
            <v>M0050</v>
          </cell>
          <cell r="B1570" t="str">
            <v>Cables</v>
          </cell>
          <cell r="C1570" t="str">
            <v>Electra</v>
          </cell>
          <cell r="D1570" t="str">
            <v xml:space="preserve">Cable 50mm Stranded PVC </v>
          </cell>
          <cell r="E1570" t="str">
            <v>EBS0</v>
          </cell>
          <cell r="F1570" t="str">
            <v>MPN (Part #)</v>
          </cell>
          <cell r="G1570">
            <v>18.2</v>
          </cell>
          <cell r="H1570">
            <v>16.5</v>
          </cell>
          <cell r="I1570">
            <v>0</v>
          </cell>
          <cell r="J1570">
            <v>0.54</v>
          </cell>
          <cell r="N1570" t="str">
            <v>3-Tradezone</v>
          </cell>
        </row>
        <row r="1571">
          <cell r="A1571" t="str">
            <v>M0051</v>
          </cell>
          <cell r="B1571" t="str">
            <v>Cables</v>
          </cell>
          <cell r="C1571" t="str">
            <v>Evolution</v>
          </cell>
          <cell r="D1571" t="str">
            <v>Cable 25mm Stranded PVC Fig-8 Black-Red</v>
          </cell>
          <cell r="E1571" t="str">
            <v>TWO25Red-black</v>
          </cell>
          <cell r="F1571" t="str">
            <v>MPN (Part #)</v>
          </cell>
          <cell r="G1571">
            <v>35.65</v>
          </cell>
          <cell r="H1571">
            <v>32.450000000000003</v>
          </cell>
          <cell r="I1571">
            <v>0</v>
          </cell>
          <cell r="J1571">
            <v>0.60499999999999998</v>
          </cell>
          <cell r="N1571" t="str">
            <v>6-Various</v>
          </cell>
        </row>
        <row r="1572">
          <cell r="A1572" t="str">
            <v>M0052</v>
          </cell>
          <cell r="B1572" t="str">
            <v>Cables</v>
          </cell>
          <cell r="C1572" t="str">
            <v>Evolution</v>
          </cell>
          <cell r="D1572" t="str">
            <v xml:space="preserve">Cable 95mm Stranded PVC </v>
          </cell>
          <cell r="E1572" t="str">
            <v>Cab-ORA-95-DI</v>
          </cell>
          <cell r="F1572" t="str">
            <v>MPN (Part #)</v>
          </cell>
          <cell r="G1572">
            <v>34</v>
          </cell>
          <cell r="H1572">
            <v>30.900000000000002</v>
          </cell>
          <cell r="I1572">
            <v>0</v>
          </cell>
          <cell r="N1572" t="str">
            <v>6-Various</v>
          </cell>
        </row>
        <row r="1573">
          <cell r="A1573" t="str">
            <v>M0053</v>
          </cell>
          <cell r="B1573" t="str">
            <v>Cables</v>
          </cell>
          <cell r="C1573" t="str">
            <v>Evolution</v>
          </cell>
          <cell r="D1573" t="str">
            <v xml:space="preserve">Cable 120mm Stranded PVC </v>
          </cell>
          <cell r="F1573" t="str">
            <v>MPN (Part #)</v>
          </cell>
          <cell r="G1573">
            <v>0</v>
          </cell>
          <cell r="H1573">
            <v>0</v>
          </cell>
          <cell r="I1573">
            <v>0</v>
          </cell>
          <cell r="N1573" t="str">
            <v>6-Various</v>
          </cell>
        </row>
        <row r="1574">
          <cell r="A1574" t="str">
            <v>M0054</v>
          </cell>
          <cell r="B1574" t="str">
            <v>Cables</v>
          </cell>
          <cell r="D1574" t="str">
            <v xml:space="preserve">Cable Solar 6mm Twin 100m Roll </v>
          </cell>
          <cell r="E1574" t="str">
            <v>6DCST100</v>
          </cell>
          <cell r="F1574" t="str">
            <v>MPN (Part #)</v>
          </cell>
          <cell r="G1574">
            <v>339.20000000000005</v>
          </cell>
          <cell r="H1574">
            <v>308.35000000000002</v>
          </cell>
          <cell r="I1574">
            <v>0</v>
          </cell>
          <cell r="N1574" t="str">
            <v>3-Tradezone</v>
          </cell>
        </row>
        <row r="1575">
          <cell r="A1575" t="str">
            <v>M0055</v>
          </cell>
          <cell r="B1575" t="str">
            <v>Cables</v>
          </cell>
          <cell r="D1575" t="str">
            <v>Cable 35mm Stranded PVC Black</v>
          </cell>
          <cell r="E1575" t="str">
            <v>Elteca35-BL</v>
          </cell>
          <cell r="F1575" t="str">
            <v>MPN (Part #)</v>
          </cell>
          <cell r="G1575">
            <v>11.5</v>
          </cell>
          <cell r="H1575">
            <v>10.450000000000001</v>
          </cell>
          <cell r="I1575">
            <v>0</v>
          </cell>
          <cell r="N1575" t="str">
            <v>6-Various</v>
          </cell>
        </row>
        <row r="1576">
          <cell r="A1576" t="str">
            <v>M0056</v>
          </cell>
          <cell r="B1576" t="str">
            <v>Cables</v>
          </cell>
          <cell r="D1576" t="str">
            <v>Cable 35mm Stranded PVC RED</v>
          </cell>
          <cell r="E1576" t="str">
            <v>Elteca35-RD</v>
          </cell>
          <cell r="F1576" t="str">
            <v>MPN (Part #)</v>
          </cell>
          <cell r="G1576">
            <v>11.5</v>
          </cell>
          <cell r="H1576">
            <v>10.450000000000001</v>
          </cell>
          <cell r="I1576">
            <v>0</v>
          </cell>
          <cell r="N1576" t="str">
            <v>6-Various</v>
          </cell>
        </row>
        <row r="1577">
          <cell r="A1577" t="str">
            <v>M0057</v>
          </cell>
          <cell r="B1577" t="str">
            <v>Cables</v>
          </cell>
          <cell r="D1577" t="str">
            <v>Cable 16mm Stranded PVC RED</v>
          </cell>
          <cell r="E1577" t="str">
            <v>Cab-BLK-16-RD</v>
          </cell>
          <cell r="F1577" t="str">
            <v>MPN (Part #)</v>
          </cell>
          <cell r="G1577">
            <v>5.45</v>
          </cell>
          <cell r="H1577">
            <v>4.95</v>
          </cell>
          <cell r="I1577">
            <v>0</v>
          </cell>
          <cell r="N1577" t="str">
            <v>6-Various</v>
          </cell>
        </row>
        <row r="1578">
          <cell r="A1578" t="str">
            <v>M0058</v>
          </cell>
          <cell r="B1578" t="str">
            <v>Cables</v>
          </cell>
          <cell r="C1578" t="str">
            <v>ecoCool</v>
          </cell>
          <cell r="D1578" t="str">
            <v>Cable 16mm Stranded Double Insul Orange</v>
          </cell>
          <cell r="E1578" t="str">
            <v>Cab-ORA-16-DI</v>
          </cell>
          <cell r="F1578" t="str">
            <v>MPN (Part #)</v>
          </cell>
          <cell r="G1578">
            <v>5.45</v>
          </cell>
          <cell r="H1578">
            <v>4.95</v>
          </cell>
          <cell r="I1578">
            <v>0</v>
          </cell>
          <cell r="N1578" t="str">
            <v>6-Various</v>
          </cell>
        </row>
        <row r="1579">
          <cell r="A1579" t="str">
            <v>M0059</v>
          </cell>
          <cell r="B1579" t="str">
            <v>Cables</v>
          </cell>
          <cell r="C1579" t="str">
            <v>ecoCool</v>
          </cell>
          <cell r="D1579" t="str">
            <v>Cable 25mm Stranded Double Insul Orange</v>
          </cell>
          <cell r="E1579" t="str">
            <v>Cab-ORA-25-DI</v>
          </cell>
          <cell r="F1579" t="str">
            <v>MPN (Part #)</v>
          </cell>
          <cell r="G1579">
            <v>8.4500000000000011</v>
          </cell>
          <cell r="H1579">
            <v>7.65</v>
          </cell>
          <cell r="I1579">
            <v>0</v>
          </cell>
          <cell r="K1579">
            <v>32.700000000000003</v>
          </cell>
          <cell r="L1579">
            <v>23.2</v>
          </cell>
          <cell r="M1579">
            <v>11.7</v>
          </cell>
          <cell r="N1579" t="str">
            <v>6-Various</v>
          </cell>
        </row>
        <row r="1580">
          <cell r="A1580" t="str">
            <v>M0060</v>
          </cell>
          <cell r="B1580" t="str">
            <v>Cables</v>
          </cell>
          <cell r="C1580" t="str">
            <v>ecoCool</v>
          </cell>
          <cell r="D1580" t="str">
            <v>Cable 35mm Stranded Double Insul Orange</v>
          </cell>
          <cell r="E1580" t="str">
            <v>Cab-ORA-35-DI</v>
          </cell>
          <cell r="F1580" t="str">
            <v>MPN (Part #)</v>
          </cell>
          <cell r="G1580">
            <v>11.600000000000001</v>
          </cell>
          <cell r="H1580">
            <v>10.55</v>
          </cell>
          <cell r="I1580">
            <v>0</v>
          </cell>
          <cell r="K1580">
            <v>62</v>
          </cell>
          <cell r="L1580">
            <v>47</v>
          </cell>
          <cell r="M1580">
            <v>25</v>
          </cell>
          <cell r="N1580" t="str">
            <v>6-Various</v>
          </cell>
        </row>
        <row r="1581">
          <cell r="A1581" t="str">
            <v>M0061</v>
          </cell>
          <cell r="B1581" t="str">
            <v>Cables</v>
          </cell>
          <cell r="C1581" t="str">
            <v>ecoCool</v>
          </cell>
          <cell r="D1581" t="str">
            <v>Cable 50mm Stranded Double Insul Orange</v>
          </cell>
          <cell r="E1581" t="str">
            <v>Cab-ORA-50-DI</v>
          </cell>
          <cell r="F1581" t="str">
            <v>MPN (Part #)</v>
          </cell>
          <cell r="G1581">
            <v>16.650000000000002</v>
          </cell>
          <cell r="H1581">
            <v>15.15</v>
          </cell>
          <cell r="I1581">
            <v>0</v>
          </cell>
          <cell r="N1581" t="str">
            <v>6-Various</v>
          </cell>
        </row>
        <row r="1582">
          <cell r="A1582" t="str">
            <v>M0062</v>
          </cell>
          <cell r="B1582" t="str">
            <v>Cables</v>
          </cell>
          <cell r="C1582" t="str">
            <v>ecoCool</v>
          </cell>
          <cell r="D1582" t="str">
            <v>Cable 70mm Stranded Double Insul Orange</v>
          </cell>
          <cell r="E1582" t="str">
            <v>Cab-ORA-70-DI</v>
          </cell>
          <cell r="F1582" t="str">
            <v>MPN (Part #)</v>
          </cell>
          <cell r="G1582">
            <v>22.75</v>
          </cell>
          <cell r="H1582">
            <v>20.700000000000003</v>
          </cell>
          <cell r="I1582">
            <v>0</v>
          </cell>
          <cell r="N1582" t="str">
            <v>6-Various</v>
          </cell>
        </row>
        <row r="1583">
          <cell r="A1583" t="str">
            <v>M0063</v>
          </cell>
          <cell r="B1583" t="str">
            <v>Cables</v>
          </cell>
          <cell r="C1583" t="str">
            <v>ecoCool</v>
          </cell>
          <cell r="D1583" t="str">
            <v>Solar Cable 4mm Twin PV1-F</v>
          </cell>
          <cell r="E1583" t="str">
            <v>4MMTWINDC</v>
          </cell>
          <cell r="F1583" t="str">
            <v>MPN (Part #)</v>
          </cell>
          <cell r="G1583">
            <v>1.9500000000000002</v>
          </cell>
          <cell r="H1583">
            <v>1.75</v>
          </cell>
          <cell r="I1583">
            <v>0</v>
          </cell>
          <cell r="N1583" t="str">
            <v>6-Various</v>
          </cell>
        </row>
        <row r="1584">
          <cell r="A1584" t="str">
            <v>M0064</v>
          </cell>
          <cell r="B1584" t="str">
            <v>Cables</v>
          </cell>
          <cell r="C1584" t="str">
            <v>ecoCool</v>
          </cell>
          <cell r="D1584" t="str">
            <v>Cable 95mm Stranded Double Insul Orange</v>
          </cell>
          <cell r="E1584" t="str">
            <v>Cab-ORA-95-DI</v>
          </cell>
          <cell r="F1584" t="str">
            <v>MPN (Part #)</v>
          </cell>
          <cell r="G1584">
            <v>34</v>
          </cell>
          <cell r="H1584">
            <v>30.900000000000002</v>
          </cell>
          <cell r="I1584">
            <v>0</v>
          </cell>
          <cell r="J1584">
            <v>0.72499999999999998</v>
          </cell>
          <cell r="N1584" t="str">
            <v>6-Various</v>
          </cell>
        </row>
        <row r="1585">
          <cell r="A1585" t="str">
            <v>PK17.10.05</v>
          </cell>
          <cell r="B1585" t="str">
            <v>Home-Battery Packages</v>
          </cell>
          <cell r="C1585" t="str">
            <v>LG, Sungrow</v>
          </cell>
          <cell r="D1585" t="str">
            <v xml:space="preserve">LG Chem 10KWh Battery + Sungrow 5KW Hyrbid Inverter </v>
          </cell>
          <cell r="E1585" t="str">
            <v>PK17.10.05</v>
          </cell>
          <cell r="F1585" t="str">
            <v>PK17.10.05</v>
          </cell>
          <cell r="G1585">
            <v>0</v>
          </cell>
          <cell r="H1585">
            <v>0</v>
          </cell>
          <cell r="I1585">
            <v>0</v>
          </cell>
          <cell r="J1585">
            <v>100</v>
          </cell>
          <cell r="K1585">
            <v>65</v>
          </cell>
          <cell r="L1585">
            <v>65</v>
          </cell>
          <cell r="M1585">
            <v>40</v>
          </cell>
          <cell r="N1585" t="str">
            <v>0-ecoCool</v>
          </cell>
        </row>
        <row r="1586">
          <cell r="A1586" t="str">
            <v>PK18.01</v>
          </cell>
          <cell r="B1586" t="str">
            <v>Off-Grid Packages</v>
          </cell>
          <cell r="C1586" t="str">
            <v>ecoCool</v>
          </cell>
          <cell r="D1586" t="str">
            <v>2KW Solar, 5.8KWh Lead-Carbon Battery, 3KVA Inverter</v>
          </cell>
          <cell r="E1586" t="str">
            <v>PK18.01</v>
          </cell>
          <cell r="F1586" t="str">
            <v>MPN (Part #)</v>
          </cell>
          <cell r="G1586">
            <v>0</v>
          </cell>
          <cell r="H1586">
            <v>0</v>
          </cell>
          <cell r="I1586">
            <v>0</v>
          </cell>
          <cell r="N1586" t="str">
            <v>0-ecoCool</v>
          </cell>
        </row>
        <row r="1587">
          <cell r="A1587" t="str">
            <v>PK18.02</v>
          </cell>
          <cell r="B1587" t="str">
            <v>Off-Grid Packages</v>
          </cell>
          <cell r="C1587" t="str">
            <v>ecoCool</v>
          </cell>
          <cell r="D1587" t="str">
            <v>2.6KW Solar, 7.7KWh Battery, 3KVA Inverter</v>
          </cell>
          <cell r="E1587" t="str">
            <v>PK18.02</v>
          </cell>
          <cell r="F1587" t="str">
            <v>MPN (Part #)</v>
          </cell>
          <cell r="G1587">
            <v>0</v>
          </cell>
          <cell r="H1587">
            <v>0</v>
          </cell>
          <cell r="I1587">
            <v>0</v>
          </cell>
          <cell r="J1587">
            <v>420</v>
          </cell>
          <cell r="K1587">
            <v>120</v>
          </cell>
          <cell r="L1587">
            <v>100</v>
          </cell>
          <cell r="M1587">
            <v>600</v>
          </cell>
          <cell r="N1587" t="str">
            <v>0-ecoCool</v>
          </cell>
        </row>
        <row r="1588">
          <cell r="A1588" t="str">
            <v>PK18.03</v>
          </cell>
          <cell r="B1588" t="str">
            <v>Off-Grid Packages</v>
          </cell>
          <cell r="C1588" t="str">
            <v>ecoCool</v>
          </cell>
          <cell r="D1588" t="str">
            <v>3.3KW Solar, 9.6KWh Battery, 3KVA Inverter</v>
          </cell>
          <cell r="E1588" t="str">
            <v>PK18.03</v>
          </cell>
          <cell r="F1588" t="str">
            <v>MPN (Part #)</v>
          </cell>
          <cell r="G1588">
            <v>0</v>
          </cell>
          <cell r="H1588">
            <v>0</v>
          </cell>
          <cell r="I1588">
            <v>0</v>
          </cell>
          <cell r="N1588" t="str">
            <v>0-ecoCool</v>
          </cell>
        </row>
        <row r="1589">
          <cell r="A1589" t="str">
            <v>PK18.04</v>
          </cell>
          <cell r="B1589" t="str">
            <v>Off-Grid Packages</v>
          </cell>
          <cell r="C1589" t="str">
            <v>ecoCool</v>
          </cell>
          <cell r="D1589" t="str">
            <v>4KW Solar, 15.4KWh Battery, 5KVA Inverter</v>
          </cell>
          <cell r="E1589" t="str">
            <v>PK18.04</v>
          </cell>
          <cell r="F1589" t="str">
            <v>MPN (Part #)</v>
          </cell>
          <cell r="G1589">
            <v>0</v>
          </cell>
          <cell r="H1589">
            <v>0</v>
          </cell>
          <cell r="I1589">
            <v>0</v>
          </cell>
          <cell r="N1589" t="str">
            <v>0-ecoCool</v>
          </cell>
        </row>
        <row r="1590">
          <cell r="A1590" t="str">
            <v>PK18.05</v>
          </cell>
          <cell r="B1590" t="str">
            <v>Off-Grid Packages</v>
          </cell>
          <cell r="C1590" t="str">
            <v>ecoCool</v>
          </cell>
          <cell r="D1590" t="str">
            <v>4.95KW Solar, 17.2KWh Battery, 5KVA Inverter</v>
          </cell>
          <cell r="E1590" t="str">
            <v>PK18.05</v>
          </cell>
          <cell r="F1590" t="str">
            <v>MPN (Part #)</v>
          </cell>
          <cell r="G1590">
            <v>0</v>
          </cell>
          <cell r="H1590">
            <v>0</v>
          </cell>
          <cell r="I1590">
            <v>0</v>
          </cell>
          <cell r="J1590">
            <v>500</v>
          </cell>
          <cell r="K1590">
            <v>120</v>
          </cell>
          <cell r="L1590">
            <v>100</v>
          </cell>
          <cell r="M1590">
            <v>600</v>
          </cell>
          <cell r="N1590" t="str">
            <v>0-ecoCool</v>
          </cell>
        </row>
        <row r="1591">
          <cell r="A1591" t="str">
            <v>PK18.06</v>
          </cell>
          <cell r="B1591" t="str">
            <v>Off-Grid Packages</v>
          </cell>
          <cell r="C1591" t="str">
            <v>ecoCool</v>
          </cell>
          <cell r="D1591" t="str">
            <v>6.6KW Solar, 23KWh Battery, 5KVA Inverter</v>
          </cell>
          <cell r="E1591" t="str">
            <v>PK18.06</v>
          </cell>
          <cell r="F1591" t="str">
            <v>MPN (Part #)</v>
          </cell>
          <cell r="G1591">
            <v>0</v>
          </cell>
          <cell r="H1591">
            <v>0</v>
          </cell>
          <cell r="I1591">
            <v>0</v>
          </cell>
          <cell r="J1591">
            <v>500</v>
          </cell>
          <cell r="K1591">
            <v>120</v>
          </cell>
          <cell r="L1591">
            <v>100</v>
          </cell>
          <cell r="M1591">
            <v>600</v>
          </cell>
          <cell r="N1591" t="str">
            <v>0-ecoCool</v>
          </cell>
        </row>
        <row r="1592">
          <cell r="A1592" t="str">
            <v>PK18.07</v>
          </cell>
          <cell r="B1592" t="str">
            <v>Off-Grid Packages</v>
          </cell>
          <cell r="C1592" t="str">
            <v>ecoCool</v>
          </cell>
          <cell r="D1592" t="str">
            <v>7.4KW Solar, 23KWh Battery, 10KVA Inverter</v>
          </cell>
          <cell r="E1592" t="str">
            <v>PK18.07</v>
          </cell>
          <cell r="F1592" t="str">
            <v>MPN (Part #)</v>
          </cell>
          <cell r="G1592">
            <v>0</v>
          </cell>
          <cell r="H1592">
            <v>0</v>
          </cell>
          <cell r="I1592">
            <v>0</v>
          </cell>
          <cell r="J1592">
            <v>500</v>
          </cell>
          <cell r="K1592">
            <v>120</v>
          </cell>
          <cell r="L1592">
            <v>100</v>
          </cell>
          <cell r="M1592">
            <v>600</v>
          </cell>
          <cell r="N1592" t="str">
            <v>0-ecoCool</v>
          </cell>
        </row>
        <row r="1593">
          <cell r="A1593" t="str">
            <v>PK18.08</v>
          </cell>
          <cell r="B1593" t="str">
            <v>Off-Grid Packages</v>
          </cell>
          <cell r="C1593" t="str">
            <v>ecoCool</v>
          </cell>
          <cell r="D1593" t="str">
            <v>8.3KW Solar, 41KWh Battery, 10KVA Inverter</v>
          </cell>
          <cell r="E1593" t="str">
            <v>PK18.08</v>
          </cell>
          <cell r="F1593" t="str">
            <v>MPN (Part #)</v>
          </cell>
          <cell r="G1593">
            <v>0</v>
          </cell>
          <cell r="H1593">
            <v>0</v>
          </cell>
          <cell r="I1593">
            <v>0</v>
          </cell>
          <cell r="J1593">
            <v>500</v>
          </cell>
          <cell r="K1593">
            <v>120</v>
          </cell>
          <cell r="L1593">
            <v>100</v>
          </cell>
          <cell r="M1593">
            <v>600</v>
          </cell>
          <cell r="N1593" t="str">
            <v>0-ecoCool</v>
          </cell>
        </row>
        <row r="1594">
          <cell r="A1594" t="str">
            <v>PK18.09</v>
          </cell>
          <cell r="B1594" t="str">
            <v>Off-Grid Packages</v>
          </cell>
          <cell r="C1594" t="str">
            <v>ecoCool</v>
          </cell>
          <cell r="D1594" t="str">
            <v xml:space="preserve">Off-grid Solar System, 0.7KW Solar, 1.2KVA Inverter, 2.9KWh Battery </v>
          </cell>
          <cell r="E1594" t="str">
            <v>PK18.09</v>
          </cell>
          <cell r="F1594" t="str">
            <v>MPN (Part #)</v>
          </cell>
          <cell r="G1594">
            <v>0</v>
          </cell>
          <cell r="H1594">
            <v>0</v>
          </cell>
          <cell r="I1594">
            <v>0</v>
          </cell>
          <cell r="J1594">
            <v>120</v>
          </cell>
          <cell r="K1594">
            <v>120</v>
          </cell>
          <cell r="L1594">
            <v>120</v>
          </cell>
          <cell r="M1594">
            <v>600</v>
          </cell>
          <cell r="N1594" t="str">
            <v>0-ecoCool</v>
          </cell>
        </row>
        <row r="1595">
          <cell r="A1595" t="str">
            <v>PK18.10</v>
          </cell>
          <cell r="B1595" t="str">
            <v>Off-Grid Packages</v>
          </cell>
          <cell r="C1595" t="str">
            <v>ecoCool</v>
          </cell>
          <cell r="D1595" t="str">
            <v xml:space="preserve">Off-grid Solar System, 1.5KW Solar, 2KVA Inverter, 5.8KWh Battery </v>
          </cell>
          <cell r="E1595" t="str">
            <v>PK18.10</v>
          </cell>
          <cell r="F1595" t="str">
            <v>MPN (Part #)</v>
          </cell>
          <cell r="G1595">
            <v>0</v>
          </cell>
          <cell r="H1595">
            <v>0</v>
          </cell>
          <cell r="I1595">
            <v>0</v>
          </cell>
          <cell r="J1595">
            <v>120</v>
          </cell>
          <cell r="K1595">
            <v>120</v>
          </cell>
          <cell r="L1595">
            <v>120</v>
          </cell>
          <cell r="M1595">
            <v>600</v>
          </cell>
          <cell r="N1595" t="str">
            <v>0-ecoCool</v>
          </cell>
        </row>
        <row r="1596">
          <cell r="A1596" t="str">
            <v>PK18.11</v>
          </cell>
          <cell r="B1596" t="str">
            <v>Off-Grid Packages</v>
          </cell>
          <cell r="C1596" t="str">
            <v>ecoCool</v>
          </cell>
          <cell r="D1596" t="str">
            <v xml:space="preserve">Off-grid Solar System, 2.4KW Solar, 3KVA Inverter, 9.6KWh Battery </v>
          </cell>
          <cell r="E1596" t="str">
            <v>PK18.11</v>
          </cell>
          <cell r="F1596" t="str">
            <v>MPN (Part #)</v>
          </cell>
          <cell r="G1596">
            <v>0</v>
          </cell>
          <cell r="H1596">
            <v>0</v>
          </cell>
          <cell r="I1596">
            <v>0</v>
          </cell>
          <cell r="J1596">
            <v>120</v>
          </cell>
          <cell r="K1596">
            <v>120</v>
          </cell>
          <cell r="L1596">
            <v>120</v>
          </cell>
          <cell r="M1596">
            <v>600</v>
          </cell>
          <cell r="N1596" t="str">
            <v>0-ecoCool</v>
          </cell>
        </row>
        <row r="1597">
          <cell r="A1597" t="str">
            <v>PK18.12</v>
          </cell>
          <cell r="B1597" t="str">
            <v>Off-Grid Packages</v>
          </cell>
          <cell r="C1597" t="str">
            <v>ecoCool</v>
          </cell>
          <cell r="D1597" t="str">
            <v xml:space="preserve">Off-grid Solar System, 3.2KW Solar, 5KVA Inverter, 11.5KWh Battery </v>
          </cell>
          <cell r="E1597" t="str">
            <v>PK18.12</v>
          </cell>
          <cell r="F1597" t="str">
            <v>MPN (Part #)</v>
          </cell>
          <cell r="G1597">
            <v>0</v>
          </cell>
          <cell r="H1597">
            <v>0</v>
          </cell>
          <cell r="I1597">
            <v>0</v>
          </cell>
          <cell r="J1597">
            <v>120</v>
          </cell>
          <cell r="K1597">
            <v>120</v>
          </cell>
          <cell r="L1597">
            <v>120</v>
          </cell>
          <cell r="M1597">
            <v>600</v>
          </cell>
          <cell r="N1597" t="str">
            <v>0-ecoCool</v>
          </cell>
        </row>
        <row r="1598">
          <cell r="A1598" t="str">
            <v>PK18.13</v>
          </cell>
          <cell r="E1598" t="str">
            <v>PK18.13</v>
          </cell>
          <cell r="F1598" t="str">
            <v>MPN (Part #)</v>
          </cell>
          <cell r="G1598">
            <v>0</v>
          </cell>
          <cell r="H1598">
            <v>0</v>
          </cell>
          <cell r="I1598">
            <v>0</v>
          </cell>
          <cell r="N1598" t="str">
            <v>0-ecoCool</v>
          </cell>
        </row>
        <row r="1599">
          <cell r="A1599" t="str">
            <v>PK18.14</v>
          </cell>
          <cell r="E1599" t="str">
            <v>PK18.14</v>
          </cell>
          <cell r="F1599" t="str">
            <v>MPN (Part #)</v>
          </cell>
          <cell r="G1599">
            <v>0</v>
          </cell>
          <cell r="H1599">
            <v>0</v>
          </cell>
          <cell r="I1599">
            <v>0</v>
          </cell>
          <cell r="N1599" t="str">
            <v>0-ecoCool</v>
          </cell>
        </row>
        <row r="1600">
          <cell r="A1600" t="str">
            <v>PK18.15</v>
          </cell>
          <cell r="B1600" t="str">
            <v>Off-Grid Packages</v>
          </cell>
          <cell r="C1600" t="str">
            <v>ecoCool</v>
          </cell>
          <cell r="D1600" t="str">
            <v xml:space="preserve">Off-grid Solar System, 3.2KW Solar, 3KVA Inverter, 6+KWh Battery </v>
          </cell>
          <cell r="E1600" t="str">
            <v>PK18.15</v>
          </cell>
          <cell r="F1600" t="str">
            <v>MPN (Part #)</v>
          </cell>
          <cell r="G1600">
            <v>0</v>
          </cell>
          <cell r="H1600">
            <v>0</v>
          </cell>
          <cell r="I1600">
            <v>0</v>
          </cell>
          <cell r="J1600">
            <v>200</v>
          </cell>
          <cell r="K1600">
            <v>120</v>
          </cell>
          <cell r="L1600">
            <v>120</v>
          </cell>
          <cell r="M1600">
            <v>600</v>
          </cell>
          <cell r="N1600" t="str">
            <v>0-ecoCool</v>
          </cell>
        </row>
        <row r="1601">
          <cell r="A1601" t="str">
            <v>PK18.16</v>
          </cell>
          <cell r="B1601" t="str">
            <v>Off-Grid Packages</v>
          </cell>
          <cell r="C1601" t="str">
            <v>ecoCool</v>
          </cell>
          <cell r="D1601" t="str">
            <v>Off-grid Solar System, 4KW Solar, 5KVA Inverter, 12+KWh Battery</v>
          </cell>
          <cell r="E1601" t="str">
            <v>PK18.16</v>
          </cell>
          <cell r="F1601" t="str">
            <v>MPN (Part #)</v>
          </cell>
          <cell r="G1601">
            <v>0</v>
          </cell>
          <cell r="H1601">
            <v>0</v>
          </cell>
          <cell r="I1601">
            <v>0</v>
          </cell>
          <cell r="J1601">
            <v>200</v>
          </cell>
          <cell r="K1601">
            <v>120</v>
          </cell>
          <cell r="L1601">
            <v>120</v>
          </cell>
          <cell r="M1601">
            <v>600</v>
          </cell>
          <cell r="N1601" t="str">
            <v>0-ecoCool</v>
          </cell>
        </row>
        <row r="1602">
          <cell r="A1602" t="str">
            <v>PK18.17</v>
          </cell>
          <cell r="B1602" t="str">
            <v>Off-Grid Packages</v>
          </cell>
          <cell r="C1602" t="str">
            <v>ecoCool</v>
          </cell>
          <cell r="D1602" t="str">
            <v>Off-grid Solar System, 8KVA Inverter, 6.4KW Solar, 15KWh Battery</v>
          </cell>
          <cell r="E1602" t="str">
            <v>PK18.17</v>
          </cell>
          <cell r="F1602" t="str">
            <v>MPN (Part #)</v>
          </cell>
          <cell r="G1602">
            <v>0</v>
          </cell>
          <cell r="H1602">
            <v>0</v>
          </cell>
          <cell r="I1602">
            <v>0</v>
          </cell>
          <cell r="J1602">
            <v>200</v>
          </cell>
          <cell r="K1602">
            <v>120</v>
          </cell>
          <cell r="L1602">
            <v>120</v>
          </cell>
          <cell r="M1602">
            <v>600</v>
          </cell>
          <cell r="N1602" t="str">
            <v>0-ecoCool</v>
          </cell>
        </row>
        <row r="1603">
          <cell r="A1603" t="str">
            <v>PK18.18</v>
          </cell>
          <cell r="B1603" t="str">
            <v>Off-Grid Packages</v>
          </cell>
          <cell r="C1603" t="str">
            <v>ecoCool</v>
          </cell>
          <cell r="D1603" t="str">
            <v xml:space="preserve">Off-grid Solar System, 5KVA Inverter, 6.4KW Solar, 30KWh Gel Battery </v>
          </cell>
          <cell r="E1603" t="str">
            <v>PK18.18</v>
          </cell>
          <cell r="F1603" t="str">
            <v>MPN (Part #)</v>
          </cell>
          <cell r="G1603">
            <v>0</v>
          </cell>
          <cell r="H1603">
            <v>0</v>
          </cell>
          <cell r="I1603">
            <v>0</v>
          </cell>
          <cell r="J1603">
            <v>250</v>
          </cell>
          <cell r="K1603">
            <v>120</v>
          </cell>
          <cell r="L1603">
            <v>120</v>
          </cell>
          <cell r="M1603">
            <v>600</v>
          </cell>
          <cell r="N1603" t="str">
            <v>0-ecoCool</v>
          </cell>
        </row>
        <row r="1604">
          <cell r="A1604" t="str">
            <v>PK18.19</v>
          </cell>
          <cell r="B1604" t="str">
            <v>Off-Grid Packages</v>
          </cell>
          <cell r="C1604" t="str">
            <v>ecoCool</v>
          </cell>
          <cell r="D1604" t="str">
            <v>Off-grid Solar System, 8KW Solar, 10KVA Inverter, 24+KWh Battery</v>
          </cell>
          <cell r="E1604" t="str">
            <v>PK18.19</v>
          </cell>
          <cell r="F1604" t="str">
            <v>MPN (Part #)</v>
          </cell>
          <cell r="G1604">
            <v>0</v>
          </cell>
          <cell r="H1604">
            <v>0</v>
          </cell>
          <cell r="I1604">
            <v>0</v>
          </cell>
          <cell r="J1604">
            <v>250</v>
          </cell>
          <cell r="K1604">
            <v>120</v>
          </cell>
          <cell r="L1604">
            <v>120</v>
          </cell>
          <cell r="M1604">
            <v>600</v>
          </cell>
          <cell r="N1604" t="str">
            <v>0-ecoCool</v>
          </cell>
        </row>
        <row r="1605">
          <cell r="A1605" t="str">
            <v>PK18.20</v>
          </cell>
          <cell r="B1605" t="str">
            <v>Off-Grid Packages</v>
          </cell>
          <cell r="C1605" t="str">
            <v>ecoCool</v>
          </cell>
          <cell r="D1605" t="str">
            <v>Off-grid Solar System, 15KVA Inverter, 12KW Solar, 50KWh Gel Battery</v>
          </cell>
          <cell r="E1605" t="str">
            <v>PK18.20</v>
          </cell>
          <cell r="F1605" t="str">
            <v>MPN (Part #)</v>
          </cell>
          <cell r="G1605">
            <v>0</v>
          </cell>
          <cell r="H1605">
            <v>0</v>
          </cell>
          <cell r="I1605">
            <v>0</v>
          </cell>
          <cell r="J1605">
            <v>250</v>
          </cell>
          <cell r="K1605">
            <v>120</v>
          </cell>
          <cell r="L1605">
            <v>120</v>
          </cell>
          <cell r="M1605">
            <v>600</v>
          </cell>
          <cell r="N1605" t="str">
            <v>0-ecoCool</v>
          </cell>
        </row>
        <row r="1606">
          <cell r="A1606" t="str">
            <v>PK18.21</v>
          </cell>
          <cell r="B1606" t="str">
            <v>Off-Grid Packages</v>
          </cell>
          <cell r="C1606" t="str">
            <v>ecoCool</v>
          </cell>
          <cell r="D1606" t="str">
            <v>Off-grid Solar System, 8.8KW Solar, 9KVA 3-Phase Inverter, 18+KWh Battery PK18.21</v>
          </cell>
          <cell r="E1606" t="str">
            <v>PK18.21</v>
          </cell>
          <cell r="F1606" t="str">
            <v>MPN (Part #)</v>
          </cell>
          <cell r="G1606">
            <v>0</v>
          </cell>
          <cell r="H1606">
            <v>0</v>
          </cell>
          <cell r="I1606">
            <v>0</v>
          </cell>
          <cell r="J1606">
            <v>300</v>
          </cell>
          <cell r="K1606">
            <v>120</v>
          </cell>
          <cell r="L1606">
            <v>120</v>
          </cell>
          <cell r="M1606">
            <v>600</v>
          </cell>
          <cell r="N1606" t="str">
            <v>0-ecoCool</v>
          </cell>
        </row>
        <row r="1607">
          <cell r="A1607" t="str">
            <v>PK18.22</v>
          </cell>
          <cell r="B1607" t="str">
            <v>Off-Grid Packages</v>
          </cell>
          <cell r="C1607" t="str">
            <v>ecoCool</v>
          </cell>
          <cell r="D1607" t="str">
            <v xml:space="preserve">Off-grid Solar System, 12.8KW Solar, 15KVA 3-Phase Inverter, 30+KWh </v>
          </cell>
          <cell r="E1607" t="str">
            <v>PK18.22</v>
          </cell>
          <cell r="F1607" t="str">
            <v>MPN (Part #)</v>
          </cell>
          <cell r="G1607">
            <v>0</v>
          </cell>
          <cell r="H1607">
            <v>0</v>
          </cell>
          <cell r="I1607">
            <v>0</v>
          </cell>
          <cell r="J1607">
            <v>350</v>
          </cell>
          <cell r="K1607">
            <v>120</v>
          </cell>
          <cell r="L1607">
            <v>120</v>
          </cell>
          <cell r="M1607">
            <v>600</v>
          </cell>
          <cell r="N1607" t="str">
            <v>0-ecoCool</v>
          </cell>
        </row>
        <row r="1608">
          <cell r="A1608" t="str">
            <v>PK18.23</v>
          </cell>
          <cell r="B1608" t="str">
            <v>Off-Grid Packages</v>
          </cell>
          <cell r="C1608" t="str">
            <v>ecoCool</v>
          </cell>
          <cell r="D1608" t="str">
            <v>Off-grid Solar System, 22.4KW Solar, 30KVA 3-Phase Inverter, 60+KWh Battery</v>
          </cell>
          <cell r="E1608" t="str">
            <v>PK18.23</v>
          </cell>
          <cell r="F1608" t="str">
            <v>MPN (Part #)</v>
          </cell>
          <cell r="G1608">
            <v>0</v>
          </cell>
          <cell r="H1608">
            <v>0</v>
          </cell>
          <cell r="I1608">
            <v>0</v>
          </cell>
          <cell r="J1608">
            <v>400</v>
          </cell>
          <cell r="K1608">
            <v>120</v>
          </cell>
          <cell r="L1608">
            <v>120</v>
          </cell>
          <cell r="M1608">
            <v>600</v>
          </cell>
          <cell r="N1608" t="str">
            <v>0-ecoCool</v>
          </cell>
        </row>
        <row r="1609">
          <cell r="A1609" t="str">
            <v>PK18.A01</v>
          </cell>
          <cell r="B1609" t="str">
            <v>DC Bus</v>
          </cell>
          <cell r="C1609" t="str">
            <v>ecoCool</v>
          </cell>
          <cell r="D1609" t="str">
            <v>DC Bus-enclosure 165A BMV ready</v>
          </cell>
          <cell r="E1609" t="str">
            <v>PK18.A01</v>
          </cell>
          <cell r="F1609" t="str">
            <v>MPN (Part #)</v>
          </cell>
          <cell r="G1609">
            <v>186.65</v>
          </cell>
          <cell r="H1609">
            <v>169.70000000000002</v>
          </cell>
          <cell r="I1609">
            <v>0</v>
          </cell>
          <cell r="J1609">
            <v>0.84799999999999998</v>
          </cell>
          <cell r="K1609">
            <v>30</v>
          </cell>
          <cell r="L1609">
            <v>22</v>
          </cell>
          <cell r="M1609">
            <v>10</v>
          </cell>
          <cell r="N1609" t="str">
            <v>0-ecoCool</v>
          </cell>
        </row>
        <row r="1610">
          <cell r="A1610" t="str">
            <v>PK18.A02</v>
          </cell>
          <cell r="B1610" t="str">
            <v>DC Bus</v>
          </cell>
          <cell r="C1610" t="str">
            <v>ecoCool</v>
          </cell>
          <cell r="D1610" t="str">
            <v>DC Bus-enclosure 250A BMV ready</v>
          </cell>
          <cell r="E1610" t="str">
            <v>PK18.A02</v>
          </cell>
          <cell r="F1610" t="str">
            <v>MPN (Part #)</v>
          </cell>
          <cell r="G1610">
            <v>194.65</v>
          </cell>
          <cell r="H1610">
            <v>176.95000000000002</v>
          </cell>
          <cell r="I1610">
            <v>0</v>
          </cell>
          <cell r="J1610">
            <v>0.84799999999999998</v>
          </cell>
          <cell r="K1610">
            <v>30</v>
          </cell>
          <cell r="L1610">
            <v>22</v>
          </cell>
          <cell r="M1610">
            <v>10</v>
          </cell>
          <cell r="N1610" t="str">
            <v>0-ecoCool</v>
          </cell>
        </row>
        <row r="1611">
          <cell r="A1611" t="str">
            <v>W0010</v>
          </cell>
          <cell r="B1611" t="str">
            <v>Inverters</v>
          </cell>
          <cell r="C1611" t="str">
            <v>SMA</v>
          </cell>
          <cell r="D1611" t="str">
            <v>Sunny Boy 1.5/2.5 extended warranty</v>
          </cell>
          <cell r="E1611" t="str">
            <v>SMA-EW-1</v>
          </cell>
          <cell r="F1611" t="str">
            <v>SMA-EW-1</v>
          </cell>
          <cell r="G1611">
            <v>262.45</v>
          </cell>
          <cell r="H1611">
            <v>238.60000000000002</v>
          </cell>
          <cell r="I1611">
            <v>0</v>
          </cell>
          <cell r="N1611" t="str">
            <v>2-Krannich</v>
          </cell>
        </row>
        <row r="1612">
          <cell r="A1612" t="str">
            <v>W0011</v>
          </cell>
          <cell r="B1612" t="str">
            <v>Inverters</v>
          </cell>
          <cell r="C1612" t="str">
            <v>SMA</v>
          </cell>
          <cell r="D1612" t="str">
            <v>Sunny Boy 3kW extended warranty</v>
          </cell>
          <cell r="E1612" t="str">
            <v>SMA-EW-2</v>
          </cell>
          <cell r="F1612" t="str">
            <v>SMA-EW-2</v>
          </cell>
          <cell r="G1612">
            <v>333.85</v>
          </cell>
          <cell r="H1612">
            <v>303.5</v>
          </cell>
          <cell r="I1612">
            <v>0</v>
          </cell>
          <cell r="N1612" t="str">
            <v>2-Krannich</v>
          </cell>
        </row>
        <row r="1613">
          <cell r="A1613" t="str">
            <v>W0012</v>
          </cell>
          <cell r="B1613" t="str">
            <v>Inverters</v>
          </cell>
          <cell r="C1613" t="str">
            <v>SMA</v>
          </cell>
          <cell r="D1613" t="str">
            <v>Sunny Boy 4.0kW extended warranty</v>
          </cell>
          <cell r="E1613" t="str">
            <v>SMA-EW-3</v>
          </cell>
          <cell r="F1613" t="str">
            <v>SMA-EW-3</v>
          </cell>
          <cell r="G1613">
            <v>349.3</v>
          </cell>
          <cell r="H1613">
            <v>317.55</v>
          </cell>
          <cell r="I1613">
            <v>0</v>
          </cell>
          <cell r="N1613" t="str">
            <v>2-Krannich</v>
          </cell>
        </row>
        <row r="1614">
          <cell r="A1614" t="str">
            <v>W0013</v>
          </cell>
          <cell r="B1614" t="str">
            <v>Inverters</v>
          </cell>
          <cell r="C1614" t="str">
            <v>SMA</v>
          </cell>
          <cell r="D1614" t="str">
            <v>Sunny Boy 5.0kW extended warranty</v>
          </cell>
          <cell r="E1614" t="str">
            <v>SMA-EW-4</v>
          </cell>
          <cell r="F1614" t="str">
            <v>SMA-EW-4</v>
          </cell>
          <cell r="G1614">
            <v>411.05</v>
          </cell>
          <cell r="H1614">
            <v>373.70000000000005</v>
          </cell>
          <cell r="I1614">
            <v>0</v>
          </cell>
          <cell r="N1614" t="str">
            <v>2-Krannich</v>
          </cell>
        </row>
        <row r="1615">
          <cell r="G1615" t="e">
            <v>#N/A</v>
          </cell>
          <cell r="H1615" t="e">
            <v>#N/A</v>
          </cell>
          <cell r="N1615" t="e">
            <v>#N/A</v>
          </cell>
        </row>
        <row r="1616">
          <cell r="G1616" t="e">
            <v>#N/A</v>
          </cell>
          <cell r="H1616" t="e">
            <v>#N/A</v>
          </cell>
          <cell r="N1616" t="e">
            <v>#N/A</v>
          </cell>
        </row>
        <row r="1617">
          <cell r="G1617" t="e">
            <v>#N/A</v>
          </cell>
          <cell r="H1617" t="e">
            <v>#N/A</v>
          </cell>
          <cell r="N1617" t="e">
            <v>#N/A</v>
          </cell>
        </row>
        <row r="1618">
          <cell r="G1618" t="e">
            <v>#N/A</v>
          </cell>
          <cell r="H1618" t="e">
            <v>#N/A</v>
          </cell>
          <cell r="N1618" t="e">
            <v>#N/A</v>
          </cell>
        </row>
        <row r="1619">
          <cell r="G1619" t="e">
            <v>#N/A</v>
          </cell>
          <cell r="H1619" t="e">
            <v>#N/A</v>
          </cell>
          <cell r="N1619" t="e">
            <v>#N/A</v>
          </cell>
        </row>
        <row r="1620">
          <cell r="G1620" t="e">
            <v>#N/A</v>
          </cell>
          <cell r="H1620" t="e">
            <v>#N/A</v>
          </cell>
          <cell r="N1620" t="e">
            <v>#N/A</v>
          </cell>
        </row>
        <row r="1621">
          <cell r="G1621" t="e">
            <v>#N/A</v>
          </cell>
          <cell r="H1621" t="e">
            <v>#N/A</v>
          </cell>
          <cell r="N1621" t="e">
            <v>#N/A</v>
          </cell>
        </row>
        <row r="1622">
          <cell r="G1622" t="e">
            <v>#N/A</v>
          </cell>
          <cell r="H1622" t="e">
            <v>#N/A</v>
          </cell>
          <cell r="N1622" t="e">
            <v>#N/A</v>
          </cell>
        </row>
        <row r="1623">
          <cell r="G1623" t="e">
            <v>#N/A</v>
          </cell>
          <cell r="H1623" t="e">
            <v>#N/A</v>
          </cell>
          <cell r="N1623" t="e">
            <v>#N/A</v>
          </cell>
        </row>
        <row r="1624">
          <cell r="G1624" t="e">
            <v>#N/A</v>
          </cell>
          <cell r="H1624" t="e">
            <v>#N/A</v>
          </cell>
          <cell r="N1624" t="e">
            <v>#N/A</v>
          </cell>
        </row>
        <row r="1625">
          <cell r="G1625" t="e">
            <v>#N/A</v>
          </cell>
          <cell r="H1625" t="e">
            <v>#N/A</v>
          </cell>
          <cell r="N1625" t="e">
            <v>#N/A</v>
          </cell>
        </row>
        <row r="1627">
          <cell r="A1627" t="str">
            <v>B1401</v>
          </cell>
        </row>
        <row r="1628">
          <cell r="A1628" t="str">
            <v>B1402</v>
          </cell>
        </row>
        <row r="1629">
          <cell r="A1629" t="str">
            <v>B1403</v>
          </cell>
        </row>
        <row r="1630">
          <cell r="A1630" t="str">
            <v>B1404</v>
          </cell>
        </row>
        <row r="1631">
          <cell r="A1631" t="str">
            <v>B1405</v>
          </cell>
        </row>
        <row r="1632">
          <cell r="A1632" t="str">
            <v>B1406</v>
          </cell>
        </row>
        <row r="1633">
          <cell r="A1633" t="str">
            <v>B1407</v>
          </cell>
        </row>
        <row r="1634">
          <cell r="A1634" t="str">
            <v>B1408</v>
          </cell>
        </row>
        <row r="1635">
          <cell r="A1635" t="str">
            <v>B1409</v>
          </cell>
        </row>
        <row r="1636">
          <cell r="A1636" t="str">
            <v>B1410</v>
          </cell>
        </row>
        <row r="1637">
          <cell r="A1637" t="str">
            <v>B1411</v>
          </cell>
        </row>
        <row r="1638">
          <cell r="A1638" t="str">
            <v>B1412</v>
          </cell>
        </row>
        <row r="1639">
          <cell r="A1639" t="str">
            <v>B1413</v>
          </cell>
        </row>
        <row r="1640">
          <cell r="A1640" t="str">
            <v>B1414</v>
          </cell>
        </row>
        <row r="1641">
          <cell r="A1641" t="str">
            <v>B1415</v>
          </cell>
        </row>
        <row r="1642">
          <cell r="A1642" t="str">
            <v>B1416</v>
          </cell>
        </row>
        <row r="1643">
          <cell r="A1643" t="str">
            <v>B1417</v>
          </cell>
        </row>
        <row r="1644">
          <cell r="A1644" t="str">
            <v>B1418</v>
          </cell>
        </row>
        <row r="1645">
          <cell r="A1645" t="str">
            <v>B1419</v>
          </cell>
        </row>
        <row r="1646">
          <cell r="A1646" t="str">
            <v>B1420</v>
          </cell>
        </row>
        <row r="1647">
          <cell r="A1647" t="str">
            <v>B1421</v>
          </cell>
        </row>
        <row r="1648">
          <cell r="A1648" t="str">
            <v>B1422</v>
          </cell>
        </row>
        <row r="1649">
          <cell r="A1649" t="str">
            <v>B1423</v>
          </cell>
        </row>
        <row r="1650">
          <cell r="A1650" t="str">
            <v>B1424</v>
          </cell>
        </row>
        <row r="1651">
          <cell r="A1651" t="str">
            <v>B1425</v>
          </cell>
        </row>
        <row r="1652">
          <cell r="A1652" t="str">
            <v>B1426</v>
          </cell>
        </row>
        <row r="1653">
          <cell r="A1653" t="str">
            <v>B1427</v>
          </cell>
        </row>
        <row r="1654">
          <cell r="A1654" t="str">
            <v>B1428</v>
          </cell>
        </row>
        <row r="1655">
          <cell r="A1655" t="str">
            <v>B1429</v>
          </cell>
        </row>
        <row r="1656">
          <cell r="A1656" t="str">
            <v>B1430</v>
          </cell>
        </row>
        <row r="1657">
          <cell r="A1657" t="str">
            <v>B1431</v>
          </cell>
        </row>
        <row r="1658">
          <cell r="A1658" t="str">
            <v>B1432</v>
          </cell>
        </row>
        <row r="1659">
          <cell r="A1659" t="str">
            <v>B1433</v>
          </cell>
        </row>
        <row r="1660">
          <cell r="A1660" t="str">
            <v>B1434</v>
          </cell>
        </row>
        <row r="1661">
          <cell r="A1661" t="str">
            <v>B1435</v>
          </cell>
        </row>
        <row r="1662">
          <cell r="A1662" t="str">
            <v>B1436</v>
          </cell>
        </row>
        <row r="1663">
          <cell r="A1663" t="str">
            <v>B1437</v>
          </cell>
        </row>
        <row r="1664">
          <cell r="A1664" t="str">
            <v>B1438</v>
          </cell>
        </row>
        <row r="1665">
          <cell r="A1665" t="str">
            <v>B1439</v>
          </cell>
        </row>
        <row r="1666">
          <cell r="A1666" t="str">
            <v>B1440</v>
          </cell>
        </row>
        <row r="1667">
          <cell r="A1667" t="str">
            <v>B1441</v>
          </cell>
        </row>
        <row r="1668">
          <cell r="A1668" t="str">
            <v>B1442</v>
          </cell>
        </row>
        <row r="1669">
          <cell r="A1669" t="str">
            <v>B1443</v>
          </cell>
        </row>
        <row r="1670">
          <cell r="A1670" t="str">
            <v>B1444</v>
          </cell>
        </row>
        <row r="1671">
          <cell r="A1671" t="str">
            <v>B1445</v>
          </cell>
        </row>
        <row r="1672">
          <cell r="A1672" t="str">
            <v>B1446</v>
          </cell>
        </row>
        <row r="1673">
          <cell r="A1673" t="str">
            <v>B1447</v>
          </cell>
        </row>
        <row r="1674">
          <cell r="A1674" t="str">
            <v>B1448</v>
          </cell>
        </row>
        <row r="1675">
          <cell r="A1675" t="str">
            <v>B1449</v>
          </cell>
        </row>
        <row r="1676">
          <cell r="A1676" t="str">
            <v>B1450</v>
          </cell>
        </row>
        <row r="1677">
          <cell r="A1677" t="str">
            <v>B1451</v>
          </cell>
        </row>
        <row r="1678">
          <cell r="A1678" t="str">
            <v>B1452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duct-export"/>
    </sheetNames>
    <sheetDataSet>
      <sheetData sheetId="0">
        <row r="2">
          <cell r="A2" t="str">
            <v>B0101</v>
          </cell>
        </row>
        <row r="3">
          <cell r="A3" t="str">
            <v>B0118</v>
          </cell>
        </row>
        <row r="4">
          <cell r="A4" t="str">
            <v>B0119</v>
          </cell>
        </row>
        <row r="5">
          <cell r="A5" t="str">
            <v>B0120</v>
          </cell>
        </row>
        <row r="6">
          <cell r="A6" t="str">
            <v>B0060</v>
          </cell>
        </row>
        <row r="7">
          <cell r="A7" t="str">
            <v>B0057</v>
          </cell>
        </row>
        <row r="8">
          <cell r="A8" t="str">
            <v>B0072</v>
          </cell>
        </row>
        <row r="9">
          <cell r="A9" t="str">
            <v>B0217</v>
          </cell>
        </row>
        <row r="10">
          <cell r="A10" t="str">
            <v>B0223</v>
          </cell>
        </row>
        <row r="11">
          <cell r="A11" t="str">
            <v>B0039</v>
          </cell>
        </row>
        <row r="12">
          <cell r="A12" t="str">
            <v>B0036</v>
          </cell>
        </row>
        <row r="13">
          <cell r="A13" t="str">
            <v>B0110</v>
          </cell>
        </row>
        <row r="14">
          <cell r="A14" t="str">
            <v>B0111</v>
          </cell>
        </row>
        <row r="15">
          <cell r="A15" t="str">
            <v>B0043</v>
          </cell>
        </row>
        <row r="16">
          <cell r="A16" t="str">
            <v>B0044</v>
          </cell>
        </row>
        <row r="17">
          <cell r="A17" t="str">
            <v>B0045</v>
          </cell>
        </row>
        <row r="18">
          <cell r="A18" t="str">
            <v>B0046</v>
          </cell>
        </row>
        <row r="19">
          <cell r="A19" t="str">
            <v>B0199</v>
          </cell>
        </row>
        <row r="20">
          <cell r="A20" t="str">
            <v>B0215</v>
          </cell>
        </row>
        <row r="21">
          <cell r="A21" t="str">
            <v>B0216</v>
          </cell>
        </row>
        <row r="22">
          <cell r="A22" t="str">
            <v>B0220</v>
          </cell>
        </row>
        <row r="23">
          <cell r="A23" t="str">
            <v>B0047</v>
          </cell>
        </row>
        <row r="24">
          <cell r="A24" t="str">
            <v>B0221</v>
          </cell>
        </row>
        <row r="25">
          <cell r="A25" t="str">
            <v>B0071</v>
          </cell>
        </row>
        <row r="26">
          <cell r="A26" t="str">
            <v>B0222</v>
          </cell>
        </row>
        <row r="27">
          <cell r="A27" t="str">
            <v>B0246</v>
          </cell>
        </row>
        <row r="28">
          <cell r="A28" t="str">
            <v>B0041</v>
          </cell>
        </row>
        <row r="29">
          <cell r="A29" t="str">
            <v>B0042</v>
          </cell>
        </row>
        <row r="30">
          <cell r="A30" t="str">
            <v>B0206</v>
          </cell>
        </row>
        <row r="31">
          <cell r="A31" t="str">
            <v>B0207</v>
          </cell>
        </row>
        <row r="32">
          <cell r="A32" t="str">
            <v>B0208</v>
          </cell>
        </row>
        <row r="33">
          <cell r="A33" t="str">
            <v>B0212</v>
          </cell>
        </row>
        <row r="34">
          <cell r="A34" t="str">
            <v>B0117</v>
          </cell>
        </row>
        <row r="35">
          <cell r="A35" t="str">
            <v>B0135</v>
          </cell>
        </row>
        <row r="36">
          <cell r="A36" t="str">
            <v>B0121</v>
          </cell>
        </row>
        <row r="37">
          <cell r="A37" t="str">
            <v>B0122</v>
          </cell>
        </row>
        <row r="38">
          <cell r="A38" t="str">
            <v>B0134</v>
          </cell>
        </row>
        <row r="39">
          <cell r="A39" t="str">
            <v>B0241</v>
          </cell>
        </row>
        <row r="40">
          <cell r="A40" t="str">
            <v>B0238</v>
          </cell>
        </row>
        <row r="41">
          <cell r="A41" t="str">
            <v>B0054</v>
          </cell>
        </row>
        <row r="42">
          <cell r="A42" t="str">
            <v>B0055</v>
          </cell>
        </row>
        <row r="43">
          <cell r="A43" t="str">
            <v>B0056</v>
          </cell>
        </row>
        <row r="44">
          <cell r="A44" t="str">
            <v>B0058</v>
          </cell>
        </row>
        <row r="45">
          <cell r="A45" t="str">
            <v>B0234</v>
          </cell>
        </row>
        <row r="46">
          <cell r="A46" t="str">
            <v>B0226</v>
          </cell>
        </row>
        <row r="47">
          <cell r="A47" t="str">
            <v>B0227</v>
          </cell>
        </row>
        <row r="48">
          <cell r="A48" t="str">
            <v>B0228</v>
          </cell>
        </row>
        <row r="49">
          <cell r="A49" t="str">
            <v>W0010</v>
          </cell>
        </row>
        <row r="50">
          <cell r="A50" t="str">
            <v>W0011</v>
          </cell>
        </row>
        <row r="51">
          <cell r="A51" t="str">
            <v>W0012</v>
          </cell>
        </row>
        <row r="52">
          <cell r="A52" t="str">
            <v>W0013</v>
          </cell>
        </row>
        <row r="53">
          <cell r="A53" t="str">
            <v>B0224</v>
          </cell>
        </row>
        <row r="54">
          <cell r="A54" t="str">
            <v>B0251</v>
          </cell>
        </row>
        <row r="55">
          <cell r="A55" t="str">
            <v>B0252</v>
          </cell>
        </row>
        <row r="56">
          <cell r="A56" t="str">
            <v>B0267</v>
          </cell>
        </row>
        <row r="57">
          <cell r="A57" t="str">
            <v>B0268</v>
          </cell>
        </row>
        <row r="58">
          <cell r="A58" t="str">
            <v>B0280</v>
          </cell>
        </row>
        <row r="59">
          <cell r="A59" t="str">
            <v>B0253</v>
          </cell>
        </row>
        <row r="60">
          <cell r="A60" t="str">
            <v>B0281</v>
          </cell>
        </row>
        <row r="61">
          <cell r="A61" t="str">
            <v>B0282</v>
          </cell>
        </row>
        <row r="62">
          <cell r="A62" t="str">
            <v>B0283</v>
          </cell>
        </row>
        <row r="63">
          <cell r="A63" t="str">
            <v>B0284</v>
          </cell>
        </row>
        <row r="64">
          <cell r="A64" t="str">
            <v>B0285</v>
          </cell>
        </row>
        <row r="65">
          <cell r="A65" t="str">
            <v>B0286</v>
          </cell>
        </row>
        <row r="66">
          <cell r="A66" t="str">
            <v>B0287</v>
          </cell>
        </row>
        <row r="67">
          <cell r="A67" t="str">
            <v>B0288</v>
          </cell>
        </row>
        <row r="68">
          <cell r="A68" t="str">
            <v>B0289</v>
          </cell>
        </row>
        <row r="69">
          <cell r="A69" t="str">
            <v>B0401</v>
          </cell>
        </row>
        <row r="70">
          <cell r="A70" t="str">
            <v>B0402</v>
          </cell>
        </row>
        <row r="71">
          <cell r="A71" t="str">
            <v>B0396</v>
          </cell>
        </row>
        <row r="72">
          <cell r="A72" t="str">
            <v>B0240</v>
          </cell>
        </row>
        <row r="73">
          <cell r="A73" t="str">
            <v>B0242</v>
          </cell>
        </row>
        <row r="74">
          <cell r="A74" t="str">
            <v>B0243</v>
          </cell>
        </row>
        <row r="75">
          <cell r="A75" t="str">
            <v>B0436</v>
          </cell>
        </row>
        <row r="76">
          <cell r="A76" t="str">
            <v>B0456</v>
          </cell>
        </row>
        <row r="77">
          <cell r="A77" t="str">
            <v>B0457</v>
          </cell>
        </row>
        <row r="78">
          <cell r="A78" t="str">
            <v>B0458</v>
          </cell>
        </row>
        <row r="79">
          <cell r="A79" t="str">
            <v>B0459</v>
          </cell>
        </row>
        <row r="80">
          <cell r="A80" t="str">
            <v>B0379</v>
          </cell>
        </row>
        <row r="81">
          <cell r="A81" t="str">
            <v>B0380</v>
          </cell>
        </row>
        <row r="82">
          <cell r="A82" t="str">
            <v>B0381</v>
          </cell>
        </row>
        <row r="83">
          <cell r="A83" t="str">
            <v>B0382</v>
          </cell>
        </row>
        <row r="84">
          <cell r="A84" t="str">
            <v>B0386</v>
          </cell>
        </row>
        <row r="85">
          <cell r="A85" t="str">
            <v>B0387</v>
          </cell>
        </row>
        <row r="86">
          <cell r="A86" t="str">
            <v>B0388</v>
          </cell>
        </row>
        <row r="87">
          <cell r="A87" t="str">
            <v>B0389</v>
          </cell>
        </row>
        <row r="88">
          <cell r="A88" t="str">
            <v>B0390</v>
          </cell>
        </row>
        <row r="89">
          <cell r="A89" t="str">
            <v>B0460</v>
          </cell>
        </row>
        <row r="90">
          <cell r="A90" t="str">
            <v>B0461</v>
          </cell>
        </row>
        <row r="91">
          <cell r="A91" t="str">
            <v>B0462</v>
          </cell>
        </row>
        <row r="92">
          <cell r="A92" t="str">
            <v>B0463</v>
          </cell>
        </row>
        <row r="93">
          <cell r="A93" t="str">
            <v>B0473</v>
          </cell>
        </row>
        <row r="94">
          <cell r="A94" t="str">
            <v>B0427</v>
          </cell>
        </row>
        <row r="95">
          <cell r="A95" t="str">
            <v>B0355</v>
          </cell>
        </row>
        <row r="96">
          <cell r="A96" t="str">
            <v>B0477</v>
          </cell>
        </row>
        <row r="97">
          <cell r="A97" t="str">
            <v>B0434</v>
          </cell>
        </row>
        <row r="98">
          <cell r="A98" t="str">
            <v>B0483</v>
          </cell>
        </row>
        <row r="99">
          <cell r="A99" t="str">
            <v>B0312</v>
          </cell>
        </row>
        <row r="100">
          <cell r="A100" t="str">
            <v>B0314</v>
          </cell>
        </row>
        <row r="101">
          <cell r="A101" t="str">
            <v>B0316</v>
          </cell>
        </row>
        <row r="102">
          <cell r="A102" t="str">
            <v>B0497</v>
          </cell>
        </row>
        <row r="103">
          <cell r="A103" t="str">
            <v>B0468</v>
          </cell>
        </row>
        <row r="104">
          <cell r="A104" t="str">
            <v>B0474</v>
          </cell>
        </row>
        <row r="105">
          <cell r="A105" t="str">
            <v>B0485</v>
          </cell>
        </row>
        <row r="106">
          <cell r="A106" t="str">
            <v>B0486</v>
          </cell>
        </row>
        <row r="107">
          <cell r="A107" t="str">
            <v>B0361</v>
          </cell>
        </row>
        <row r="108">
          <cell r="A108" t="str">
            <v>B0362</v>
          </cell>
        </row>
        <row r="109">
          <cell r="A109" t="str">
            <v>B0363</v>
          </cell>
        </row>
        <row r="110">
          <cell r="A110" t="str">
            <v>B0368</v>
          </cell>
        </row>
        <row r="111">
          <cell r="A111" t="str">
            <v>B0239</v>
          </cell>
        </row>
        <row r="112">
          <cell r="A112" t="str">
            <v>B0369</v>
          </cell>
        </row>
        <row r="113">
          <cell r="A113" t="str">
            <v>B0367</v>
          </cell>
        </row>
        <row r="114">
          <cell r="A114" t="str">
            <v>B0354</v>
          </cell>
        </row>
        <row r="115">
          <cell r="A115" t="str">
            <v>B0356</v>
          </cell>
        </row>
        <row r="116">
          <cell r="A116" t="str">
            <v>B0370</v>
          </cell>
        </row>
        <row r="117">
          <cell r="A117" t="str">
            <v>B0372</v>
          </cell>
        </row>
        <row r="118">
          <cell r="A118" t="str">
            <v>B0373</v>
          </cell>
        </row>
        <row r="119">
          <cell r="A119" t="str">
            <v>B0374</v>
          </cell>
        </row>
        <row r="120">
          <cell r="A120" t="str">
            <v>B0364</v>
          </cell>
        </row>
        <row r="121">
          <cell r="A121" t="str">
            <v>B0365</v>
          </cell>
        </row>
        <row r="122">
          <cell r="A122" t="str">
            <v>B0366</v>
          </cell>
        </row>
        <row r="123">
          <cell r="A123" t="str">
            <v>B0269</v>
          </cell>
        </row>
        <row r="124">
          <cell r="A124" t="str">
            <v>B0270</v>
          </cell>
        </row>
        <row r="125">
          <cell r="A125" t="str">
            <v>B0271</v>
          </cell>
        </row>
        <row r="126">
          <cell r="A126" t="str">
            <v>B0272</v>
          </cell>
        </row>
        <row r="127">
          <cell r="A127" t="str">
            <v>B0273</v>
          </cell>
        </row>
        <row r="128">
          <cell r="A128" t="str">
            <v>B0274</v>
          </cell>
        </row>
        <row r="129">
          <cell r="A129" t="str">
            <v>B0275</v>
          </cell>
        </row>
        <row r="130">
          <cell r="A130" t="str">
            <v>B0276</v>
          </cell>
        </row>
        <row r="131">
          <cell r="A131" t="str">
            <v>B0277</v>
          </cell>
        </row>
        <row r="132">
          <cell r="A132" t="str">
            <v>B0278</v>
          </cell>
        </row>
        <row r="133">
          <cell r="A133" t="str">
            <v>B0418</v>
          </cell>
        </row>
        <row r="134">
          <cell r="A134" t="str">
            <v>B0279</v>
          </cell>
        </row>
        <row r="135">
          <cell r="A135" t="str">
            <v>B0290</v>
          </cell>
        </row>
        <row r="136">
          <cell r="A136" t="str">
            <v>B0291</v>
          </cell>
        </row>
        <row r="137">
          <cell r="A137" t="str">
            <v>B0292</v>
          </cell>
        </row>
        <row r="138">
          <cell r="A138" t="str">
            <v>B0293</v>
          </cell>
        </row>
        <row r="139">
          <cell r="A139" t="str">
            <v>B1120</v>
          </cell>
        </row>
        <row r="140">
          <cell r="A140" t="str">
            <v>B0962</v>
          </cell>
        </row>
        <row r="141">
          <cell r="A141" t="str">
            <v>B0343</v>
          </cell>
        </row>
        <row r="142">
          <cell r="A142" t="str">
            <v>B0344</v>
          </cell>
        </row>
        <row r="143">
          <cell r="A143" t="str">
            <v>B0345</v>
          </cell>
        </row>
        <row r="144">
          <cell r="A144" t="str">
            <v>B0346</v>
          </cell>
        </row>
        <row r="145">
          <cell r="A145" t="str">
            <v>B0347</v>
          </cell>
        </row>
        <row r="146">
          <cell r="A146" t="str">
            <v>B0348</v>
          </cell>
        </row>
        <row r="147">
          <cell r="A147" t="str">
            <v>B0349</v>
          </cell>
        </row>
        <row r="148">
          <cell r="A148" t="str">
            <v>B0351</v>
          </cell>
        </row>
        <row r="149">
          <cell r="A149" t="str">
            <v>B0352</v>
          </cell>
        </row>
        <row r="150">
          <cell r="A150" t="str">
            <v>B0353</v>
          </cell>
        </row>
        <row r="151">
          <cell r="A151" t="str">
            <v>B0332</v>
          </cell>
        </row>
        <row r="152">
          <cell r="A152" t="str">
            <v>B0333</v>
          </cell>
        </row>
        <row r="153">
          <cell r="A153" t="str">
            <v>B0334</v>
          </cell>
        </row>
        <row r="154">
          <cell r="A154" t="str">
            <v>B0336</v>
          </cell>
        </row>
        <row r="155">
          <cell r="A155" t="str">
            <v>B0337</v>
          </cell>
        </row>
        <row r="156">
          <cell r="A156" t="str">
            <v>B0338</v>
          </cell>
        </row>
        <row r="157">
          <cell r="A157" t="str">
            <v>B0339</v>
          </cell>
        </row>
        <row r="158">
          <cell r="A158" t="str">
            <v>B0340</v>
          </cell>
        </row>
        <row r="159">
          <cell r="A159" t="str">
            <v>B0341</v>
          </cell>
        </row>
        <row r="160">
          <cell r="A160" t="str">
            <v>B0342</v>
          </cell>
        </row>
        <row r="161">
          <cell r="A161" t="str">
            <v>B0335</v>
          </cell>
        </row>
        <row r="162">
          <cell r="A162" t="str">
            <v>B0502</v>
          </cell>
        </row>
        <row r="163">
          <cell r="A163" t="str">
            <v>B0503</v>
          </cell>
        </row>
        <row r="164">
          <cell r="A164" t="str">
            <v>B0504</v>
          </cell>
        </row>
        <row r="165">
          <cell r="A165" t="str">
            <v>B0505</v>
          </cell>
        </row>
        <row r="166">
          <cell r="A166" t="str">
            <v>B0506</v>
          </cell>
        </row>
        <row r="167">
          <cell r="A167" t="str">
            <v>B0310</v>
          </cell>
        </row>
        <row r="168">
          <cell r="A168" t="str">
            <v>B0507</v>
          </cell>
        </row>
        <row r="169">
          <cell r="A169" t="str">
            <v>B0509</v>
          </cell>
        </row>
        <row r="170">
          <cell r="A170" t="str">
            <v>B0511</v>
          </cell>
        </row>
        <row r="171">
          <cell r="A171" t="str">
            <v>B0329</v>
          </cell>
        </row>
        <row r="172">
          <cell r="A172" t="str">
            <v>B0331</v>
          </cell>
        </row>
        <row r="173">
          <cell r="A173" t="str">
            <v>B0300</v>
          </cell>
        </row>
        <row r="174">
          <cell r="A174" t="str">
            <v>B0301</v>
          </cell>
        </row>
        <row r="175">
          <cell r="A175" t="str">
            <v>B0302</v>
          </cell>
        </row>
        <row r="176">
          <cell r="A176" t="str">
            <v>B0303</v>
          </cell>
        </row>
        <row r="177">
          <cell r="A177" t="str">
            <v>B0330</v>
          </cell>
        </row>
        <row r="178">
          <cell r="A178" t="str">
            <v>B0702</v>
          </cell>
        </row>
        <row r="179">
          <cell r="A179" t="str">
            <v>B0534</v>
          </cell>
        </row>
        <row r="180">
          <cell r="A180" t="str">
            <v>B0535</v>
          </cell>
        </row>
        <row r="181">
          <cell r="A181" t="str">
            <v>B0537</v>
          </cell>
        </row>
        <row r="182">
          <cell r="A182" t="str">
            <v>B0422</v>
          </cell>
        </row>
        <row r="183">
          <cell r="A183" t="str">
            <v>B0407</v>
          </cell>
        </row>
        <row r="184">
          <cell r="A184" t="str">
            <v>B0406</v>
          </cell>
        </row>
        <row r="185">
          <cell r="A185" t="str">
            <v>B0538</v>
          </cell>
        </row>
        <row r="186">
          <cell r="A186" t="str">
            <v>B0601</v>
          </cell>
        </row>
        <row r="187">
          <cell r="A187" t="str">
            <v>B0551</v>
          </cell>
        </row>
        <row r="188">
          <cell r="A188" t="str">
            <v>B0552</v>
          </cell>
        </row>
        <row r="189">
          <cell r="A189" t="str">
            <v>B0553</v>
          </cell>
        </row>
        <row r="190">
          <cell r="A190" t="str">
            <v>B0554</v>
          </cell>
        </row>
        <row r="191">
          <cell r="A191" t="str">
            <v>B0555</v>
          </cell>
        </row>
        <row r="192">
          <cell r="A192" t="str">
            <v>B0556</v>
          </cell>
        </row>
        <row r="193">
          <cell r="A193" t="str">
            <v>B0557</v>
          </cell>
        </row>
        <row r="194">
          <cell r="A194" t="str">
            <v>B0558</v>
          </cell>
        </row>
        <row r="195">
          <cell r="A195" t="str">
            <v>B0559</v>
          </cell>
        </row>
        <row r="196">
          <cell r="A196" t="str">
            <v>B0560</v>
          </cell>
        </row>
        <row r="197">
          <cell r="A197" t="str">
            <v>B0561</v>
          </cell>
        </row>
        <row r="198">
          <cell r="A198" t="str">
            <v>B0562</v>
          </cell>
        </row>
        <row r="199">
          <cell r="A199" t="str">
            <v>B0563</v>
          </cell>
        </row>
        <row r="200">
          <cell r="A200" t="str">
            <v>B0564</v>
          </cell>
        </row>
        <row r="201">
          <cell r="A201" t="str">
            <v>B0565</v>
          </cell>
        </row>
        <row r="202">
          <cell r="A202" t="str">
            <v>B0566</v>
          </cell>
        </row>
        <row r="203">
          <cell r="A203" t="str">
            <v>B0567</v>
          </cell>
        </row>
        <row r="204">
          <cell r="A204" t="str">
            <v>B0545</v>
          </cell>
        </row>
        <row r="205">
          <cell r="A205" t="str">
            <v>B0038</v>
          </cell>
        </row>
        <row r="206">
          <cell r="A206" t="str">
            <v>B0568</v>
          </cell>
        </row>
        <row r="207">
          <cell r="A207" t="str">
            <v>B0231</v>
          </cell>
        </row>
        <row r="208">
          <cell r="A208" t="str">
            <v>B0569</v>
          </cell>
        </row>
        <row r="209">
          <cell r="A209" t="str">
            <v>B0570</v>
          </cell>
        </row>
        <row r="210">
          <cell r="A210" t="str">
            <v>B0571</v>
          </cell>
        </row>
        <row r="211">
          <cell r="A211" t="str">
            <v>B0572</v>
          </cell>
        </row>
        <row r="212">
          <cell r="A212" t="str">
            <v>B0546</v>
          </cell>
        </row>
        <row r="213">
          <cell r="A213" t="str">
            <v>B0573</v>
          </cell>
        </row>
        <row r="214">
          <cell r="A214" t="str">
            <v>B0574</v>
          </cell>
        </row>
        <row r="215">
          <cell r="A215" t="str">
            <v>B0575</v>
          </cell>
        </row>
        <row r="216">
          <cell r="A216" t="str">
            <v>B0576</v>
          </cell>
        </row>
        <row r="217">
          <cell r="A217" t="str">
            <v>B0577</v>
          </cell>
        </row>
        <row r="218">
          <cell r="A218" t="str">
            <v>B0578</v>
          </cell>
        </row>
        <row r="219">
          <cell r="A219" t="str">
            <v>B0579</v>
          </cell>
        </row>
        <row r="220">
          <cell r="A220" t="str">
            <v>B0547</v>
          </cell>
        </row>
        <row r="221">
          <cell r="A221" t="str">
            <v>B0580</v>
          </cell>
        </row>
        <row r="222">
          <cell r="A222" t="str">
            <v>B0549</v>
          </cell>
        </row>
        <row r="223">
          <cell r="A223" t="str">
            <v>B0584</v>
          </cell>
        </row>
        <row r="224">
          <cell r="A224" t="str">
            <v>B0585</v>
          </cell>
        </row>
        <row r="225">
          <cell r="A225" t="str">
            <v>B0586</v>
          </cell>
        </row>
        <row r="226">
          <cell r="A226" t="str">
            <v>B0587</v>
          </cell>
        </row>
        <row r="227">
          <cell r="A227" t="str">
            <v>B0588</v>
          </cell>
        </row>
        <row r="228">
          <cell r="A228" t="str">
            <v>B0589</v>
          </cell>
        </row>
        <row r="229">
          <cell r="A229" t="str">
            <v>B0550</v>
          </cell>
        </row>
        <row r="230">
          <cell r="A230" t="str">
            <v>B0590</v>
          </cell>
        </row>
        <row r="231">
          <cell r="A231" t="str">
            <v>B0591</v>
          </cell>
        </row>
        <row r="232">
          <cell r="A232" t="str">
            <v>B0592</v>
          </cell>
        </row>
        <row r="233">
          <cell r="A233" t="str">
            <v>B0629</v>
          </cell>
        </row>
        <row r="234">
          <cell r="A234" t="str">
            <v>B0593</v>
          </cell>
        </row>
        <row r="235">
          <cell r="A235" t="str">
            <v>B0594</v>
          </cell>
        </row>
        <row r="236">
          <cell r="A236" t="str">
            <v>B0595</v>
          </cell>
        </row>
        <row r="237">
          <cell r="A237" t="str">
            <v>B0596</v>
          </cell>
        </row>
        <row r="238">
          <cell r="A238" t="str">
            <v>B0597</v>
          </cell>
        </row>
        <row r="239">
          <cell r="A239" t="str">
            <v>B0598</v>
          </cell>
        </row>
        <row r="240">
          <cell r="A240" t="str">
            <v>B0599</v>
          </cell>
        </row>
        <row r="241">
          <cell r="A241" t="str">
            <v>B0478</v>
          </cell>
        </row>
        <row r="242">
          <cell r="A242" t="str">
            <v>B0260</v>
          </cell>
        </row>
        <row r="243">
          <cell r="A243" t="str">
            <v>B0034</v>
          </cell>
        </row>
        <row r="244">
          <cell r="A244" t="str">
            <v>B0035</v>
          </cell>
        </row>
        <row r="245">
          <cell r="A245" t="str">
            <v>B0115</v>
          </cell>
        </row>
        <row r="246">
          <cell r="A246" t="str">
            <v>B0116</v>
          </cell>
        </row>
        <row r="247">
          <cell r="A247" t="str">
            <v>B0494</v>
          </cell>
        </row>
        <row r="248">
          <cell r="A248" t="str">
            <v>B0495</v>
          </cell>
        </row>
        <row r="249">
          <cell r="A249" t="str">
            <v>B0481</v>
          </cell>
        </row>
        <row r="250">
          <cell r="A250" t="str">
            <v>B0298</v>
          </cell>
        </row>
        <row r="251">
          <cell r="A251" t="str">
            <v>B0603</v>
          </cell>
        </row>
        <row r="252">
          <cell r="A252" t="str">
            <v>B0376</v>
          </cell>
        </row>
        <row r="253">
          <cell r="A253" t="str">
            <v>B0513</v>
          </cell>
        </row>
        <row r="254">
          <cell r="A254" t="str">
            <v>B0544</v>
          </cell>
        </row>
        <row r="255">
          <cell r="A255" t="str">
            <v>B0670</v>
          </cell>
        </row>
        <row r="256">
          <cell r="A256" t="str">
            <v>B0671</v>
          </cell>
        </row>
        <row r="257">
          <cell r="A257" t="str">
            <v>B0673</v>
          </cell>
        </row>
        <row r="258">
          <cell r="A258" t="str">
            <v>B0679</v>
          </cell>
        </row>
        <row r="259">
          <cell r="A259" t="str">
            <v>B0674</v>
          </cell>
        </row>
        <row r="260">
          <cell r="A260" t="str">
            <v>B0675</v>
          </cell>
        </row>
        <row r="261">
          <cell r="A261" t="str">
            <v>B0676</v>
          </cell>
        </row>
        <row r="262">
          <cell r="A262" t="str">
            <v>B0677</v>
          </cell>
        </row>
        <row r="263">
          <cell r="A263" t="str">
            <v>B0678</v>
          </cell>
        </row>
        <row r="264">
          <cell r="A264" t="str">
            <v>B0680</v>
          </cell>
        </row>
        <row r="265">
          <cell r="A265" t="str">
            <v>B0681</v>
          </cell>
        </row>
        <row r="266">
          <cell r="A266" t="str">
            <v>B0682</v>
          </cell>
        </row>
        <row r="267">
          <cell r="A267" t="str">
            <v>B0683</v>
          </cell>
        </row>
        <row r="268">
          <cell r="A268" t="str">
            <v>B0684</v>
          </cell>
        </row>
        <row r="269">
          <cell r="A269" t="str">
            <v>B0685</v>
          </cell>
        </row>
        <row r="270">
          <cell r="A270" t="str">
            <v>B0686</v>
          </cell>
        </row>
        <row r="271">
          <cell r="A271" t="str">
            <v>B0672</v>
          </cell>
        </row>
        <row r="272">
          <cell r="A272" t="str">
            <v>B1175</v>
          </cell>
        </row>
        <row r="273">
          <cell r="A273" t="str">
            <v>B1176</v>
          </cell>
        </row>
        <row r="274">
          <cell r="A274" t="str">
            <v>B1177</v>
          </cell>
        </row>
        <row r="275">
          <cell r="A275" t="str">
            <v>B1178</v>
          </cell>
        </row>
        <row r="276">
          <cell r="A276" t="str">
            <v>B1179</v>
          </cell>
        </row>
        <row r="277">
          <cell r="A277" t="str">
            <v>B1180</v>
          </cell>
        </row>
        <row r="278">
          <cell r="A278" t="str">
            <v>B0710</v>
          </cell>
        </row>
        <row r="279">
          <cell r="A279" t="str">
            <v>B0711</v>
          </cell>
        </row>
        <row r="280">
          <cell r="A280" t="str">
            <v>B0714</v>
          </cell>
        </row>
        <row r="281">
          <cell r="A281" t="str">
            <v>B0712</v>
          </cell>
        </row>
        <row r="282">
          <cell r="A282" t="str">
            <v>B1070</v>
          </cell>
        </row>
        <row r="283">
          <cell r="A283" t="str">
            <v>B1071</v>
          </cell>
        </row>
        <row r="284">
          <cell r="A284" t="str">
            <v>B0632</v>
          </cell>
        </row>
        <row r="285">
          <cell r="A285" t="str">
            <v>B0790</v>
          </cell>
        </row>
        <row r="286">
          <cell r="A286" t="str">
            <v>B1072</v>
          </cell>
        </row>
        <row r="287">
          <cell r="A287" t="str">
            <v>B1073</v>
          </cell>
        </row>
        <row r="288">
          <cell r="A288" t="str">
            <v>B1227</v>
          </cell>
        </row>
        <row r="289">
          <cell r="A289" t="str">
            <v>B1245</v>
          </cell>
        </row>
        <row r="290">
          <cell r="A290" t="str">
            <v>B1246</v>
          </cell>
        </row>
        <row r="291">
          <cell r="A291" t="str">
            <v>B1247</v>
          </cell>
        </row>
        <row r="292">
          <cell r="A292" t="str">
            <v>B1253</v>
          </cell>
        </row>
        <row r="293">
          <cell r="A293" t="str">
            <v>B1318</v>
          </cell>
        </row>
        <row r="294">
          <cell r="A294" t="str">
            <v>B1319</v>
          </cell>
        </row>
        <row r="295">
          <cell r="A295" t="str">
            <v>B0539</v>
          </cell>
        </row>
        <row r="296">
          <cell r="A296" t="str">
            <v>B0838</v>
          </cell>
        </row>
        <row r="297">
          <cell r="A297" t="str">
            <v>B0839</v>
          </cell>
        </row>
        <row r="298">
          <cell r="A298" t="str">
            <v>B0840</v>
          </cell>
        </row>
        <row r="299">
          <cell r="A299" t="str">
            <v>B0844</v>
          </cell>
        </row>
        <row r="300">
          <cell r="A300" t="str">
            <v>B0845</v>
          </cell>
        </row>
        <row r="301">
          <cell r="A301" t="str">
            <v>B0958</v>
          </cell>
        </row>
        <row r="302">
          <cell r="A302" t="str">
            <v>B0959</v>
          </cell>
        </row>
        <row r="303">
          <cell r="A303" t="str">
            <v>B0960</v>
          </cell>
        </row>
        <row r="304">
          <cell r="A304" t="str">
            <v>B1337</v>
          </cell>
        </row>
        <row r="305">
          <cell r="A305" t="str">
            <v>B1338</v>
          </cell>
        </row>
        <row r="306">
          <cell r="A306" t="str">
            <v>B1117</v>
          </cell>
        </row>
        <row r="307">
          <cell r="A307" t="str">
            <v>B1324</v>
          </cell>
        </row>
        <row r="308">
          <cell r="A308" t="str">
            <v>B1330</v>
          </cell>
        </row>
        <row r="309">
          <cell r="A309" t="str">
            <v>B1331</v>
          </cell>
        </row>
        <row r="310">
          <cell r="A310" t="str">
            <v>B1332</v>
          </cell>
        </row>
        <row r="311">
          <cell r="A311" t="str">
            <v>B1333</v>
          </cell>
        </row>
        <row r="312">
          <cell r="A312" t="str">
            <v>B1334</v>
          </cell>
        </row>
        <row r="313">
          <cell r="A313" t="str">
            <v>B0328</v>
          </cell>
        </row>
        <row r="314">
          <cell r="A314" t="str">
            <v>B0395</v>
          </cell>
        </row>
        <row r="315">
          <cell r="A315" t="str">
            <v>B0417</v>
          </cell>
        </row>
        <row r="316">
          <cell r="A316" t="str">
            <v>B1059</v>
          </cell>
        </row>
        <row r="317">
          <cell r="A317" t="str">
            <v>B1060</v>
          </cell>
        </row>
        <row r="318">
          <cell r="A318" t="str">
            <v>B1344</v>
          </cell>
        </row>
        <row r="319">
          <cell r="A319" t="str">
            <v>B1315</v>
          </cell>
        </row>
        <row r="320">
          <cell r="A320" t="str">
            <v>B1346</v>
          </cell>
        </row>
        <row r="321">
          <cell r="A321" t="str">
            <v>B1347</v>
          </cell>
        </row>
        <row r="322">
          <cell r="A322" t="str">
            <v>PK18.A01</v>
          </cell>
        </row>
        <row r="323">
          <cell r="A323" t="str">
            <v>PK18.A02</v>
          </cell>
        </row>
        <row r="324">
          <cell r="A324" t="str">
            <v>B0627</v>
          </cell>
        </row>
        <row r="325">
          <cell r="A325" t="str">
            <v>B0626</v>
          </cell>
        </row>
        <row r="326">
          <cell r="A326" t="str">
            <v>B0095</v>
          </cell>
        </row>
        <row r="327">
          <cell r="A327" t="str">
            <v>B1018</v>
          </cell>
        </row>
        <row r="328">
          <cell r="A328" t="str">
            <v>B1306</v>
          </cell>
        </row>
        <row r="329">
          <cell r="A329" t="str">
            <v>B1307</v>
          </cell>
        </row>
        <row r="330">
          <cell r="A330" t="str">
            <v>B1308</v>
          </cell>
        </row>
        <row r="331">
          <cell r="A331" t="str">
            <v>B1309</v>
          </cell>
        </row>
        <row r="332">
          <cell r="A332" t="str">
            <v>B1310</v>
          </cell>
        </row>
        <row r="333">
          <cell r="A333" t="str">
            <v>B1311</v>
          </cell>
        </row>
        <row r="334">
          <cell r="A334" t="str">
            <v>B0403</v>
          </cell>
        </row>
        <row r="335">
          <cell r="A335" t="str">
            <v>B0491</v>
          </cell>
        </row>
        <row r="336">
          <cell r="A336" t="str">
            <v>B1115</v>
          </cell>
        </row>
        <row r="337">
          <cell r="A337" t="str">
            <v>B1118</v>
          </cell>
        </row>
        <row r="338">
          <cell r="A338" t="str">
            <v>B0419</v>
          </cell>
        </row>
        <row r="339">
          <cell r="A339" t="str">
            <v>B0420</v>
          </cell>
        </row>
        <row r="340">
          <cell r="A340" t="str">
            <v>B0415</v>
          </cell>
        </row>
        <row r="341">
          <cell r="A341" t="str">
            <v>B0416</v>
          </cell>
        </row>
        <row r="342">
          <cell r="A342" t="str">
            <v>B0421</v>
          </cell>
        </row>
        <row r="343">
          <cell r="A343" t="str">
            <v>B0423</v>
          </cell>
        </row>
        <row r="344">
          <cell r="A344" t="str">
            <v>B1108</v>
          </cell>
        </row>
        <row r="345">
          <cell r="A345" t="str">
            <v>K32.3000.G.100</v>
          </cell>
        </row>
        <row r="346">
          <cell r="A346" t="str">
            <v>K32.5000.G.100</v>
          </cell>
        </row>
        <row r="347">
          <cell r="A347" t="str">
            <v>K32.5000.G.150</v>
          </cell>
        </row>
        <row r="348">
          <cell r="A348" t="str">
            <v>K32.3000.G.150-45</v>
          </cell>
        </row>
        <row r="349">
          <cell r="A349" t="str">
            <v>K33.3000.G.120</v>
          </cell>
        </row>
        <row r="350">
          <cell r="A350" t="str">
            <v>K33.5000.G.150</v>
          </cell>
        </row>
        <row r="351">
          <cell r="A351" t="str">
            <v>K33.8000.G.150</v>
          </cell>
        </row>
        <row r="352">
          <cell r="A352" t="str">
            <v>K32.3000.G.50-45</v>
          </cell>
        </row>
        <row r="353">
          <cell r="A353" t="str">
            <v>K32A.2000.100</v>
          </cell>
        </row>
        <row r="354">
          <cell r="A354" t="str">
            <v>K32A.3000.50</v>
          </cell>
        </row>
        <row r="355">
          <cell r="A355" t="str">
            <v>K32A.3000.100</v>
          </cell>
        </row>
        <row r="356">
          <cell r="A356" t="str">
            <v>K32A.3000.150</v>
          </cell>
        </row>
        <row r="357">
          <cell r="A357" t="str">
            <v>K32A.5000.150</v>
          </cell>
        </row>
        <row r="358">
          <cell r="A358" t="str">
            <v>K32C.2000.58</v>
          </cell>
        </row>
        <row r="359">
          <cell r="A359" t="str">
            <v>K32C.3000.58</v>
          </cell>
        </row>
        <row r="360">
          <cell r="A360" t="str">
            <v>K32C.5000.82</v>
          </cell>
        </row>
        <row r="361">
          <cell r="A361" t="str">
            <v>K32C.8000.82</v>
          </cell>
        </row>
        <row r="362">
          <cell r="A362" t="str">
            <v>K33.3000.G.50</v>
          </cell>
        </row>
        <row r="363">
          <cell r="A363" t="str">
            <v>K33.3000.G.100</v>
          </cell>
        </row>
        <row r="364">
          <cell r="A364" t="str">
            <v>K33.5000.G.100</v>
          </cell>
        </row>
        <row r="365">
          <cell r="A365" t="str">
            <v>K33.10000.G.200</v>
          </cell>
        </row>
        <row r="366">
          <cell r="A366" t="str">
            <v>K33.15000.G.250</v>
          </cell>
        </row>
        <row r="367">
          <cell r="A367" t="str">
            <v>K33.15000-3.G.250</v>
          </cell>
        </row>
        <row r="368">
          <cell r="A368" t="str">
            <v>K33.30000-3.G.300</v>
          </cell>
        </row>
        <row r="369">
          <cell r="A369" t="str">
            <v>K33.45000-3.G.500</v>
          </cell>
        </row>
        <row r="370">
          <cell r="A370" t="str">
            <v>K32.EXP.00</v>
          </cell>
        </row>
        <row r="371">
          <cell r="A371" t="str">
            <v>K32.EXP.50</v>
          </cell>
        </row>
        <row r="372">
          <cell r="A372" t="str">
            <v>K32.EXP.100</v>
          </cell>
        </row>
        <row r="373">
          <cell r="A373" t="str">
            <v>K32.EXP.150</v>
          </cell>
        </row>
        <row r="374">
          <cell r="A374" t="str">
            <v>K32A.2000.50</v>
          </cell>
        </row>
        <row r="375">
          <cell r="A375" t="str">
            <v>K32A.5000.100</v>
          </cell>
        </row>
        <row r="376">
          <cell r="A376" t="str">
            <v>K32C.1200.29</v>
          </cell>
        </row>
        <row r="377">
          <cell r="A377" t="str">
            <v>modem</v>
          </cell>
        </row>
        <row r="378">
          <cell r="A378" t="str">
            <v>B0126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raig" id="{7D1F3C90-6869-4042-8943-0FB24F642399}" userId="craig" providerId="None"/>
  <person displayName="Craig Myatt" id="{AEA2744E-D96F-4843-B3EF-966C56DF3A4D}" userId="S::Craig@ecocool.com.au::0aa85cb7-ef7d-4a9e-872b-682369f1aa6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94234A4-CEB1-4129-8574-4920BAA9BE3F}" name="Table1" displayName="Table1" ref="A2:AE417" totalsRowShown="0" headerRowDxfId="20" headerRowBorderDxfId="19">
  <autoFilter ref="A2:AE417" xr:uid="{C94234A4-CEB1-4129-8574-4920BAA9BE3F}"/>
  <sortState xmlns:xlrd2="http://schemas.microsoft.com/office/spreadsheetml/2017/richdata2" ref="A3:AD417">
    <sortCondition ref="A4:A417"/>
  </sortState>
  <tableColumns count="31">
    <tableColumn id="1" xr3:uid="{41CAC4B4-A7C2-4A28-9F74-9DF15760CFAF}" name="*SKU" dataDxfId="18"/>
    <tableColumn id="2" xr3:uid="{14EFBAD2-2B79-4598-9267-A2B76E3B71EB}" name="Category  ⌂"/>
    <tableColumn id="30" xr3:uid="{B7801447-14FE-4E3E-9149-A006A9E807B2}" name="Store-Category" dataDxfId="17"/>
    <tableColumn id="31" xr3:uid="{B0C6A541-661A-491C-8448-E20616287F54}" name="Sub-Category" dataDxfId="16"/>
    <tableColumn id="3" xr3:uid="{A68932B7-06E5-4080-AF80-4E3986E5F8AA}" name="Brand"/>
    <tableColumn id="4" xr3:uid="{A8913263-148C-4FF3-9A4A-52F3FAA984B8}" name="Description    [ nomenclature…]"/>
    <tableColumn id="5" xr3:uid="{36A5134C-5E28-430F-8611-EDEBB84B3E75}" name="MPN"/>
    <tableColumn id="7" xr3:uid="{E5BE234F-F6F4-4A10-A4FE-22B0D0A9EA3A}" name="Special incl."/>
    <tableColumn id="8" xr3:uid="{C975E0B9-C25D-4507-8B02-35B2228B5C44}" name="Sell incl." dataDxfId="15">
      <calculatedColumnFormula>VLOOKUP($A3, [6]!ProductsTable[#Data], 7, FALSE)</calculatedColumnFormula>
    </tableColumn>
    <tableColumn id="9" xr3:uid="{F89EACF0-20B1-486E-A29E-79B507917604}" name="Sell Ex GST" dataDxfId="14">
      <calculatedColumnFormula>VLOOKUP($A3, [6]!ProductsTable[#Data], 8, FALSE)</calculatedColumnFormula>
    </tableColumn>
    <tableColumn id="10" xr3:uid="{1F3B2B2B-86AF-426D-9194-C098F4CB268F}" name="StockQty" dataDxfId="13">
      <calculatedColumnFormula>VLOOKUP($A3, [6]!ProductsTable[#Data], 9, FALSE)</calculatedColumnFormula>
    </tableColumn>
    <tableColumn id="11" xr3:uid="{220CC0E2-6B35-43DC-9DCF-BF2E15B07CFA}" name="Wt (kg)" dataDxfId="12">
      <calculatedColumnFormula>VLOOKUP($A3, [6]!ProductsTable[#Data], 10, FALSE)</calculatedColumnFormula>
    </tableColumn>
    <tableColumn id="12" xr3:uid="{6AA640B9-451F-48DF-B9B0-017A78C574CE}" name="L (cm)" dataDxfId="11">
      <calculatedColumnFormula>VLOOKUP($A3, [6]!ProductsTable[#Data], 11, FALSE)</calculatedColumnFormula>
    </tableColumn>
    <tableColumn id="13" xr3:uid="{EA9B02E0-72CC-4242-9EBB-9314A63CD877}" name="W (cm)" dataDxfId="10">
      <calculatedColumnFormula>VLOOKUP($A3, [6]!ProductsTable[#Data], 12, FALSE)</calculatedColumnFormula>
    </tableColumn>
    <tableColumn id="14" xr3:uid="{6E910610-7185-4558-80C2-A06F9FF8D9F9}" name="H (cm)" dataDxfId="9">
      <calculatedColumnFormula>VLOOKUP($A3, [6]!ProductsTable[#Data], 13, FALSE)</calculatedColumnFormula>
    </tableColumn>
    <tableColumn id="15" xr3:uid="{27A5EC8C-9D4D-4316-B0AE-2DE3BAFFE65B}" name="Shipping1"/>
    <tableColumn id="16" xr3:uid="{02983A7E-8026-4E38-8344-C848AD198D60}" name="Shipping2"/>
    <tableColumn id="17" xr3:uid="{9C8BE688-A3B8-4B06-A0F4-A68F86888292}" name="Supplier1" dataDxfId="8">
      <calculatedColumnFormula>VLOOKUP($A3, [6]!ProductsTable[#Data], 14, FALSE)</calculatedColumnFormula>
    </tableColumn>
    <tableColumn id="18" xr3:uid="{C7EEC5A9-8C4D-470C-B9A6-1729297CF1E3}" name="HTML"/>
    <tableColumn id="19" xr3:uid="{38B0C8CF-231D-4C42-A13F-550E7F6DF4D9}" name="L (mm)"/>
    <tableColumn id="20" xr3:uid="{D2B21628-1D3F-4975-BFC7-29ADAD0CE7F9}" name="W (mm)"/>
    <tableColumn id="21" xr3:uid="{24A736A7-9E65-4510-8789-4ECB5AF3A3F7}" name="H (mm)"/>
    <tableColumn id="22" xr3:uid="{0D8A653F-5781-420D-A6F5-806EEE477824}" name="Warranty"/>
    <tableColumn id="23" xr3:uid="{BB38F4A5-C730-43B6-B718-C6C7ACDE4158}" name="Datasheet"/>
    <tableColumn id="24" xr3:uid="{EF14F479-0599-4F33-89AB-7420011DA251}" name="UPC-GTIN-EAN"/>
    <tableColumn id="25" xr3:uid="{A536082E-F92E-4EEF-A96F-2024A8040C94}" name="Supplier2"/>
    <tableColumn id="26" xr3:uid="{5988B304-C52E-4DD7-B008-7D62AD284C77}" name="Supplier3"/>
    <tableColumn id="27" xr3:uid="{39EBF916-0DF7-482D-B7BE-1AFA2819E2ED}" name="Buy Ex GST"/>
    <tableColumn id="28" xr3:uid="{D9C9C8D0-E295-49E8-92E6-7938E9070419}" name="Margin %"/>
    <tableColumn id="29" xr3:uid="{E13A5902-EA63-405F-8C6F-D09F8995A9C1}" name="Markup.basis"/>
    <tableColumn id="6" xr3:uid="{80BEE24B-837C-4882-8791-0AECB0CADD88}" name="Column1" dataDxfId="7">
      <calculatedColumnFormula>COUNTIF('[7]product-export'!$A$2:$A$379, A3)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44" dT="2020-05-06T05:56:18.70" personId="{00000000-0000-0000-0000-000000000000}" id="{CE3A488D-1E5D-4D22-B0D7-FD4582B45DF7}">
    <text>First year FIT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46" dT="2020-05-06T05:56:18.70" personId="{00000000-0000-0000-0000-000000000000}" id="{9AFE831C-78D7-4E71-B8F4-5647ED27C2AA}">
    <text>First year FIT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" dT="2024-03-05T08:43:31.50" personId="{AEA2744E-D96F-4843-B3EF-966C56DF3A4D}" id="{CEDDCDBA-5BC2-425D-BC0D-0BDD3CA8CF54}">
    <text>Orange: Assets done; Green: Uploaded; Blue: Full Product text</text>
  </threadedComment>
  <threadedComment ref="B1" dT="2024-02-26T04:10:18.26" personId="{AEA2744E-D96F-4843-B3EF-966C56DF3A4D}" id="{879DFF91-A11A-4C07-8078-215695AAA518}">
    <text>LISTS STORE PRODUCTS ONLY:
identical to Products.xlsx, except pulls data from Products., or holds new store specific data, eg shipping/specials/GTIN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M1" dT="2020-03-11T03:47:02.43" personId="{7D1F3C90-6869-4042-8943-0FB24F642399}" id="{5AE89AA4-40E0-4EC2-BEED-948B1AA86839}">
    <text>post_content (per Woo cols)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5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irewizard.bambachcables.com.au/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irewizard.bambachcables.com.au/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ecocool.com.au/" TargetMode="External"/><Relationship Id="rId16" Type="http://schemas.openxmlformats.org/officeDocument/2006/relationships/ctrlProp" Target="../ctrlProps/ctrlProp11.xml"/><Relationship Id="rId1" Type="http://schemas.openxmlformats.org/officeDocument/2006/relationships/hyperlink" Target="mailto:info@ecocool.com.au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3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37BC-B8A5-4992-826E-439F786665D5}">
  <dimension ref="B3:Q62"/>
  <sheetViews>
    <sheetView tabSelected="1" workbookViewId="0">
      <selection activeCell="C4" sqref="C4"/>
    </sheetView>
  </sheetViews>
  <sheetFormatPr defaultRowHeight="15" x14ac:dyDescent="0.25"/>
  <cols>
    <col min="2" max="2" width="19.140625" bestFit="1" customWidth="1"/>
    <col min="3" max="3" width="19.85546875" customWidth="1"/>
    <col min="4" max="7" width="15.7109375" customWidth="1"/>
    <col min="8" max="8" width="22.42578125" bestFit="1" customWidth="1"/>
    <col min="9" max="9" width="29.85546875" bestFit="1" customWidth="1"/>
    <col min="10" max="12" width="15.7109375" customWidth="1"/>
    <col min="14" max="14" width="13.5703125" customWidth="1"/>
    <col min="16" max="16" width="18.5703125" customWidth="1"/>
    <col min="17" max="17" width="49.85546875" customWidth="1"/>
  </cols>
  <sheetData>
    <row r="3" spans="2:17" x14ac:dyDescent="0.25">
      <c r="D3" t="s">
        <v>669</v>
      </c>
      <c r="E3" t="s">
        <v>2987</v>
      </c>
      <c r="F3" t="s">
        <v>2988</v>
      </c>
      <c r="G3" t="s">
        <v>4231</v>
      </c>
      <c r="H3" t="s">
        <v>2989</v>
      </c>
      <c r="I3" t="s">
        <v>4223</v>
      </c>
      <c r="J3" t="s">
        <v>4225</v>
      </c>
    </row>
    <row r="4" spans="2:17" ht="15.75" x14ac:dyDescent="0.25">
      <c r="B4" s="710" t="s">
        <v>677</v>
      </c>
      <c r="C4" s="710">
        <v>3</v>
      </c>
      <c r="D4" t="str">
        <f>IF(C4=1,"5",IF(C4=2,"10",IF(C4=3,"15",IF(C4=4,"20",IF(C4=5,"25",IF(C4=6,"25",IF(C4=7,"30",IF(C4=8,"30","lits"))))))))</f>
        <v>15</v>
      </c>
      <c r="E4" t="str">
        <f>VLOOKUP(C5, SolarRegions!$A$2:$F$2370, 6, FALSE)</f>
        <v>1.6</v>
      </c>
      <c r="F4" s="707">
        <f>FLOOR((D4*0.35*E4), 1)</f>
        <v>8</v>
      </c>
      <c r="G4" s="707">
        <f>IF(F4=11,"12",IF(F4=13,"15",IF(F4=14,"15",F4)))</f>
        <v>8</v>
      </c>
      <c r="H4" t="str">
        <f>IF(C4=1,"3",IF(C4=2,"5",IF(C4=3,"5",IF(C4=4,"5",IF(C4=5,"8",IF(C4=6,"8",IF(C4=7,"8",IF(C4=8,"10","lits"))))))))</f>
        <v>5</v>
      </c>
      <c r="I4" t="str">
        <f>VLOOKUP(VALUE(G4), ArraysBanks!$C$4:$AD$32, 27, FALSE)</f>
        <v>SmartSolar MPPT 450/100 Tr</v>
      </c>
      <c r="J4">
        <f>VLOOKUP(VALUE(G4), ArraysBanks!$C$4:$AD$32, 25, FALSE)</f>
        <v>1</v>
      </c>
    </row>
    <row r="5" spans="2:17" ht="15.75" x14ac:dyDescent="0.25">
      <c r="B5" s="710" t="s">
        <v>645</v>
      </c>
      <c r="C5" s="710">
        <v>7000</v>
      </c>
    </row>
    <row r="6" spans="2:17" ht="15.75" x14ac:dyDescent="0.25">
      <c r="B6" s="710" t="s">
        <v>4232</v>
      </c>
      <c r="C6" s="711" t="s">
        <v>4233</v>
      </c>
    </row>
    <row r="8" spans="2:17" x14ac:dyDescent="0.25">
      <c r="O8" s="103" t="s">
        <v>133</v>
      </c>
      <c r="P8" s="53" t="s">
        <v>645</v>
      </c>
    </row>
    <row r="9" spans="2:17" x14ac:dyDescent="0.25">
      <c r="O9" s="103"/>
      <c r="P9" s="53"/>
    </row>
    <row r="10" spans="2:17" x14ac:dyDescent="0.25">
      <c r="O10" s="103"/>
      <c r="P10" s="53"/>
    </row>
    <row r="11" spans="2:17" x14ac:dyDescent="0.25">
      <c r="O11" s="103"/>
      <c r="P11" s="53"/>
    </row>
    <row r="12" spans="2:17" x14ac:dyDescent="0.25">
      <c r="O12" s="103" t="s">
        <v>131</v>
      </c>
      <c r="P12" s="53" t="s">
        <v>646</v>
      </c>
    </row>
    <row r="13" spans="2:17" ht="15.75" x14ac:dyDescent="0.25">
      <c r="C13" s="100" t="s">
        <v>635</v>
      </c>
      <c r="D13" s="94" t="s">
        <v>668</v>
      </c>
      <c r="E13" s="94" t="s">
        <v>669</v>
      </c>
      <c r="F13" s="94"/>
      <c r="G13" s="94"/>
      <c r="H13" s="94" t="s">
        <v>676</v>
      </c>
      <c r="I13" s="94"/>
      <c r="J13" s="94"/>
      <c r="K13" s="94"/>
      <c r="L13" s="94"/>
      <c r="N13" t="s">
        <v>635</v>
      </c>
      <c r="O13" s="103" t="s">
        <v>129</v>
      </c>
      <c r="P13" s="53" t="s">
        <v>647</v>
      </c>
    </row>
    <row r="14" spans="2:17" x14ac:dyDescent="0.25">
      <c r="B14">
        <v>1</v>
      </c>
      <c r="C14" s="95" t="s">
        <v>585</v>
      </c>
      <c r="D14" s="105">
        <v>3</v>
      </c>
      <c r="E14" s="105">
        <v>5</v>
      </c>
      <c r="F14" s="105"/>
      <c r="G14" s="53"/>
      <c r="H14" s="53">
        <f>E14*0.35</f>
        <v>1.75</v>
      </c>
      <c r="I14" s="53"/>
      <c r="J14" s="53"/>
      <c r="K14" s="53"/>
      <c r="L14" s="53"/>
    </row>
    <row r="15" spans="2:17" x14ac:dyDescent="0.25">
      <c r="B15">
        <v>2</v>
      </c>
      <c r="C15" s="95" t="s">
        <v>586</v>
      </c>
      <c r="D15" s="105">
        <v>3</v>
      </c>
      <c r="E15" s="105">
        <v>10</v>
      </c>
      <c r="F15" s="105"/>
      <c r="G15" s="53"/>
      <c r="H15" s="53">
        <f t="shared" ref="H15:H33" si="0">E15*0.35</f>
        <v>3.5</v>
      </c>
      <c r="I15" s="53"/>
      <c r="J15" s="53"/>
      <c r="K15" s="53"/>
      <c r="L15" s="53"/>
      <c r="Q15" t="s">
        <v>648</v>
      </c>
    </row>
    <row r="16" spans="2:17" x14ac:dyDescent="0.25">
      <c r="B16">
        <v>3</v>
      </c>
      <c r="C16" s="104" t="s">
        <v>659</v>
      </c>
      <c r="D16" s="105">
        <v>3</v>
      </c>
      <c r="E16" s="105">
        <v>15</v>
      </c>
      <c r="F16" s="105"/>
      <c r="G16" s="53"/>
      <c r="H16" s="53">
        <f t="shared" si="0"/>
        <v>5.25</v>
      </c>
      <c r="I16" s="53"/>
      <c r="J16" s="53"/>
      <c r="K16" s="53"/>
      <c r="L16" s="53"/>
      <c r="Q16" t="s">
        <v>649</v>
      </c>
    </row>
    <row r="17" spans="2:17" x14ac:dyDescent="0.25">
      <c r="B17">
        <v>4</v>
      </c>
      <c r="C17" s="95" t="s">
        <v>587</v>
      </c>
      <c r="D17" s="105">
        <v>5</v>
      </c>
      <c r="E17" s="105">
        <v>10</v>
      </c>
      <c r="F17" s="105"/>
      <c r="G17" s="53"/>
      <c r="H17" s="53">
        <f t="shared" si="0"/>
        <v>3.5</v>
      </c>
      <c r="I17" s="53"/>
      <c r="J17" s="53"/>
      <c r="K17" s="53"/>
      <c r="L17" s="53"/>
      <c r="N17" s="107" t="s">
        <v>674</v>
      </c>
      <c r="O17" s="106" t="s">
        <v>673</v>
      </c>
      <c r="P17" s="55" t="s">
        <v>670</v>
      </c>
      <c r="Q17" t="s">
        <v>653</v>
      </c>
    </row>
    <row r="18" spans="2:17" x14ac:dyDescent="0.25">
      <c r="B18">
        <v>5</v>
      </c>
      <c r="C18" s="95" t="s">
        <v>573</v>
      </c>
      <c r="D18" s="105">
        <v>5</v>
      </c>
      <c r="E18" s="105">
        <v>15</v>
      </c>
      <c r="F18" s="105"/>
      <c r="G18" s="53"/>
      <c r="H18" s="53">
        <f t="shared" si="0"/>
        <v>5.25</v>
      </c>
      <c r="I18" s="53"/>
      <c r="J18" s="53"/>
      <c r="K18" s="53"/>
      <c r="L18" s="53"/>
      <c r="P18" s="108" t="s">
        <v>671</v>
      </c>
      <c r="Q18" t="s">
        <v>650</v>
      </c>
    </row>
    <row r="19" spans="2:17" x14ac:dyDescent="0.25">
      <c r="B19">
        <v>6</v>
      </c>
      <c r="C19" s="104" t="s">
        <v>654</v>
      </c>
      <c r="D19" s="105">
        <v>5</v>
      </c>
      <c r="E19" s="105">
        <v>20</v>
      </c>
      <c r="F19" s="105"/>
      <c r="G19" s="53"/>
      <c r="H19" s="53">
        <f t="shared" si="0"/>
        <v>7</v>
      </c>
      <c r="I19" s="53"/>
      <c r="J19" s="53"/>
      <c r="K19" s="53"/>
      <c r="L19" s="53"/>
      <c r="P19" s="107" t="s">
        <v>672</v>
      </c>
      <c r="Q19" t="s">
        <v>651</v>
      </c>
    </row>
    <row r="20" spans="2:17" x14ac:dyDescent="0.25">
      <c r="B20">
        <v>7</v>
      </c>
      <c r="C20" s="104" t="s">
        <v>657</v>
      </c>
      <c r="D20" s="105">
        <v>5</v>
      </c>
      <c r="E20" s="105">
        <v>25</v>
      </c>
      <c r="F20" s="105"/>
      <c r="G20" s="53"/>
      <c r="H20" s="53">
        <f t="shared" si="0"/>
        <v>8.75</v>
      </c>
      <c r="I20" s="53"/>
      <c r="J20" s="53"/>
      <c r="K20" s="53"/>
      <c r="L20" s="53"/>
      <c r="Q20" t="s">
        <v>652</v>
      </c>
    </row>
    <row r="21" spans="2:17" x14ac:dyDescent="0.25">
      <c r="B21">
        <v>8</v>
      </c>
      <c r="C21" s="104" t="s">
        <v>658</v>
      </c>
      <c r="D21" s="105">
        <v>5</v>
      </c>
      <c r="E21" s="105">
        <v>30</v>
      </c>
      <c r="F21" s="105"/>
      <c r="G21" s="53"/>
      <c r="H21" s="53">
        <f t="shared" si="0"/>
        <v>10.5</v>
      </c>
      <c r="I21" s="53"/>
      <c r="J21" s="53"/>
      <c r="K21" s="53"/>
      <c r="L21" s="53"/>
    </row>
    <row r="22" spans="2:17" x14ac:dyDescent="0.25">
      <c r="B22">
        <v>9</v>
      </c>
      <c r="C22" s="95" t="s">
        <v>574</v>
      </c>
      <c r="D22" s="105">
        <v>8</v>
      </c>
      <c r="E22" s="105">
        <v>15</v>
      </c>
      <c r="F22" s="105"/>
      <c r="G22" s="53"/>
      <c r="H22" s="53">
        <f t="shared" si="0"/>
        <v>5.25</v>
      </c>
      <c r="I22" s="53"/>
      <c r="J22" s="53"/>
      <c r="K22" s="53"/>
      <c r="L22" s="53"/>
    </row>
    <row r="23" spans="2:17" x14ac:dyDescent="0.25">
      <c r="B23">
        <v>10</v>
      </c>
      <c r="C23" s="104" t="s">
        <v>655</v>
      </c>
      <c r="D23" s="105">
        <v>8</v>
      </c>
      <c r="E23" s="105">
        <v>20</v>
      </c>
      <c r="F23" s="105"/>
      <c r="G23" s="53"/>
      <c r="H23" s="53">
        <f t="shared" si="0"/>
        <v>7</v>
      </c>
      <c r="I23" s="53"/>
      <c r="J23" s="53"/>
      <c r="K23" s="53"/>
      <c r="L23" s="53"/>
    </row>
    <row r="24" spans="2:17" x14ac:dyDescent="0.25">
      <c r="B24">
        <v>11</v>
      </c>
      <c r="C24" s="104" t="s">
        <v>656</v>
      </c>
      <c r="D24" s="105">
        <v>8</v>
      </c>
      <c r="E24" s="105">
        <v>25</v>
      </c>
      <c r="F24" s="105"/>
      <c r="G24" s="53"/>
      <c r="H24" s="53">
        <f t="shared" si="0"/>
        <v>8.75</v>
      </c>
      <c r="I24" s="53"/>
      <c r="J24" s="53"/>
      <c r="K24" s="53"/>
      <c r="L24" s="53"/>
    </row>
    <row r="25" spans="2:17" x14ac:dyDescent="0.25">
      <c r="B25">
        <v>12</v>
      </c>
      <c r="C25" s="95" t="s">
        <v>588</v>
      </c>
      <c r="D25" s="105">
        <v>10</v>
      </c>
      <c r="E25" s="105">
        <v>20</v>
      </c>
      <c r="F25" s="105"/>
      <c r="G25" s="53"/>
      <c r="H25" s="53">
        <f t="shared" si="0"/>
        <v>7</v>
      </c>
      <c r="I25" s="53"/>
      <c r="J25" s="53"/>
      <c r="K25" s="53"/>
      <c r="L25" s="53"/>
    </row>
    <row r="26" spans="2:17" x14ac:dyDescent="0.25">
      <c r="B26">
        <v>13</v>
      </c>
      <c r="C26" s="104" t="s">
        <v>660</v>
      </c>
      <c r="D26" s="105">
        <v>10</v>
      </c>
      <c r="E26" s="105">
        <v>25</v>
      </c>
      <c r="F26" s="105"/>
      <c r="G26" s="53"/>
      <c r="H26" s="53">
        <f t="shared" si="0"/>
        <v>8.75</v>
      </c>
      <c r="I26" s="53"/>
      <c r="J26" s="53"/>
      <c r="K26" s="53"/>
      <c r="L26" s="53"/>
    </row>
    <row r="27" spans="2:17" x14ac:dyDescent="0.25">
      <c r="B27">
        <v>14</v>
      </c>
      <c r="C27" s="104" t="s">
        <v>661</v>
      </c>
      <c r="D27" s="105">
        <v>10</v>
      </c>
      <c r="E27" s="105">
        <v>30</v>
      </c>
      <c r="F27" s="105"/>
      <c r="G27" s="53"/>
      <c r="H27" s="53">
        <f t="shared" si="0"/>
        <v>10.5</v>
      </c>
      <c r="I27" s="53"/>
      <c r="J27" s="53"/>
      <c r="K27" s="53"/>
      <c r="L27" s="53"/>
    </row>
    <row r="28" spans="2:17" x14ac:dyDescent="0.25">
      <c r="B28">
        <v>15</v>
      </c>
      <c r="C28" s="104" t="s">
        <v>662</v>
      </c>
      <c r="D28" s="105">
        <v>10</v>
      </c>
      <c r="E28" s="105">
        <v>35</v>
      </c>
      <c r="F28" s="105"/>
      <c r="G28" s="53"/>
      <c r="H28" s="53">
        <f t="shared" si="0"/>
        <v>12.25</v>
      </c>
      <c r="I28" s="53"/>
      <c r="J28" s="53"/>
      <c r="K28" s="53"/>
      <c r="L28" s="53"/>
    </row>
    <row r="29" spans="2:17" x14ac:dyDescent="0.25">
      <c r="B29">
        <v>16</v>
      </c>
      <c r="C29" s="95" t="s">
        <v>589</v>
      </c>
      <c r="D29" s="105">
        <v>15</v>
      </c>
      <c r="E29" s="105">
        <v>25</v>
      </c>
      <c r="F29" s="105"/>
      <c r="G29" s="53"/>
      <c r="H29" s="53">
        <f t="shared" si="0"/>
        <v>8.75</v>
      </c>
      <c r="I29" s="53"/>
      <c r="J29" s="53"/>
      <c r="K29" s="53"/>
      <c r="L29" s="53"/>
    </row>
    <row r="30" spans="2:17" x14ac:dyDescent="0.25">
      <c r="B30">
        <v>17</v>
      </c>
      <c r="C30" s="104" t="s">
        <v>663</v>
      </c>
      <c r="D30" s="105">
        <v>15</v>
      </c>
      <c r="E30" s="105">
        <v>30</v>
      </c>
      <c r="F30" s="105"/>
      <c r="G30" s="53"/>
      <c r="H30" s="53">
        <f t="shared" si="0"/>
        <v>10.5</v>
      </c>
      <c r="I30" s="53"/>
      <c r="J30" s="53"/>
      <c r="K30" s="53"/>
      <c r="L30" s="53"/>
    </row>
    <row r="31" spans="2:17" x14ac:dyDescent="0.25">
      <c r="B31">
        <v>18</v>
      </c>
      <c r="C31" s="104" t="s">
        <v>664</v>
      </c>
      <c r="D31" s="105">
        <v>15</v>
      </c>
      <c r="E31" s="105">
        <v>35</v>
      </c>
      <c r="F31" s="105"/>
      <c r="G31" s="53"/>
      <c r="H31" s="53">
        <f t="shared" si="0"/>
        <v>12.25</v>
      </c>
      <c r="I31" s="53"/>
      <c r="J31" s="53"/>
      <c r="K31" s="53"/>
      <c r="L31" s="53"/>
    </row>
    <row r="32" spans="2:17" x14ac:dyDescent="0.25">
      <c r="B32">
        <v>19</v>
      </c>
      <c r="C32" s="104" t="s">
        <v>665</v>
      </c>
      <c r="D32" s="105">
        <v>15</v>
      </c>
      <c r="E32" s="105">
        <v>40</v>
      </c>
      <c r="F32" s="105"/>
      <c r="G32" s="53"/>
      <c r="H32" s="53">
        <f t="shared" si="0"/>
        <v>14</v>
      </c>
      <c r="I32" s="53"/>
      <c r="J32" s="53"/>
      <c r="K32" s="53"/>
      <c r="L32" s="53"/>
    </row>
    <row r="33" spans="2:17" x14ac:dyDescent="0.25">
      <c r="B33">
        <v>20</v>
      </c>
      <c r="C33" s="104" t="s">
        <v>666</v>
      </c>
      <c r="D33" s="105">
        <v>15</v>
      </c>
      <c r="E33" s="105">
        <v>45</v>
      </c>
      <c r="F33" s="105"/>
      <c r="G33" s="53"/>
      <c r="H33" s="53">
        <f t="shared" si="0"/>
        <v>15.749999999999998</v>
      </c>
      <c r="I33" s="53"/>
      <c r="J33" s="53"/>
      <c r="K33" s="53"/>
      <c r="L33" s="53"/>
    </row>
    <row r="36" spans="2:17" ht="15.75" x14ac:dyDescent="0.25">
      <c r="C36" s="101" t="s">
        <v>636</v>
      </c>
      <c r="D36" s="96"/>
      <c r="E36" s="96"/>
      <c r="F36" s="96"/>
      <c r="G36" s="96" t="s">
        <v>675</v>
      </c>
      <c r="H36" s="96"/>
      <c r="I36" s="96"/>
      <c r="J36" s="96"/>
      <c r="K36" s="96"/>
      <c r="L36" s="96"/>
      <c r="N36" t="s">
        <v>636</v>
      </c>
    </row>
    <row r="37" spans="2:17" x14ac:dyDescent="0.25">
      <c r="B37">
        <v>1</v>
      </c>
      <c r="C37" s="97"/>
      <c r="D37" s="53"/>
      <c r="E37" s="53"/>
      <c r="F37" s="53"/>
      <c r="G37" s="53"/>
      <c r="H37" s="53"/>
      <c r="I37" s="53"/>
      <c r="J37" s="53"/>
      <c r="K37" s="53"/>
      <c r="L37" s="53"/>
    </row>
    <row r="38" spans="2:17" x14ac:dyDescent="0.25">
      <c r="B38">
        <v>2</v>
      </c>
      <c r="C38" s="97">
        <f>D38*E38</f>
        <v>2000</v>
      </c>
      <c r="D38" s="53">
        <v>4</v>
      </c>
      <c r="E38" s="53">
        <v>500</v>
      </c>
      <c r="F38" s="53"/>
      <c r="G38" s="53"/>
      <c r="H38" s="53"/>
      <c r="I38" s="53"/>
      <c r="J38" s="53"/>
      <c r="K38" s="53"/>
      <c r="L38" s="53"/>
      <c r="O38">
        <v>1</v>
      </c>
      <c r="P38" s="95" t="s">
        <v>585</v>
      </c>
      <c r="Q38" t="s">
        <v>638</v>
      </c>
    </row>
    <row r="39" spans="2:17" x14ac:dyDescent="0.25">
      <c r="B39">
        <v>3</v>
      </c>
      <c r="C39" s="97"/>
      <c r="D39" s="53"/>
      <c r="E39" s="53"/>
      <c r="F39" s="53"/>
      <c r="G39" s="53"/>
      <c r="H39" s="53"/>
      <c r="I39" s="53"/>
      <c r="J39" s="53"/>
      <c r="K39" s="53"/>
      <c r="L39" s="53"/>
      <c r="O39">
        <v>2</v>
      </c>
      <c r="P39" s="95" t="s">
        <v>586</v>
      </c>
      <c r="Q39" t="s">
        <v>639</v>
      </c>
    </row>
    <row r="40" spans="2:17" x14ac:dyDescent="0.25">
      <c r="B40">
        <v>4</v>
      </c>
      <c r="C40" s="97"/>
      <c r="D40" s="53"/>
      <c r="E40" s="53"/>
      <c r="F40" s="53"/>
      <c r="G40" s="53"/>
      <c r="H40" s="53"/>
      <c r="I40" s="53"/>
      <c r="J40" s="53"/>
      <c r="K40" s="53"/>
      <c r="L40" s="53"/>
      <c r="O40">
        <v>3</v>
      </c>
      <c r="P40" s="104" t="s">
        <v>659</v>
      </c>
    </row>
    <row r="41" spans="2:17" x14ac:dyDescent="0.25">
      <c r="B41">
        <v>5</v>
      </c>
      <c r="C41" s="97"/>
      <c r="D41" s="53"/>
      <c r="E41" s="53"/>
      <c r="F41" s="53"/>
      <c r="G41" s="53"/>
      <c r="H41" s="53"/>
      <c r="I41" s="53"/>
      <c r="J41" s="53"/>
      <c r="K41" s="53"/>
      <c r="L41" s="53"/>
      <c r="O41">
        <v>4</v>
      </c>
      <c r="P41" s="95" t="s">
        <v>587</v>
      </c>
      <c r="Q41" t="s">
        <v>640</v>
      </c>
    </row>
    <row r="42" spans="2:17" x14ac:dyDescent="0.25">
      <c r="B42">
        <v>6</v>
      </c>
      <c r="C42" s="97"/>
      <c r="D42" s="53"/>
      <c r="E42" s="53"/>
      <c r="F42" s="53"/>
      <c r="G42" s="53"/>
      <c r="H42" s="53"/>
      <c r="I42" s="53"/>
      <c r="J42" s="53"/>
      <c r="K42" s="53"/>
      <c r="L42" s="53"/>
      <c r="O42">
        <v>5</v>
      </c>
      <c r="P42" s="95" t="s">
        <v>573</v>
      </c>
      <c r="Q42" t="s">
        <v>641</v>
      </c>
    </row>
    <row r="43" spans="2:17" x14ac:dyDescent="0.25">
      <c r="B43">
        <v>7</v>
      </c>
      <c r="C43" s="97">
        <f>D43*E43</f>
        <v>7000</v>
      </c>
      <c r="D43" s="53">
        <v>14</v>
      </c>
      <c r="E43" s="53">
        <v>500</v>
      </c>
      <c r="F43" s="53"/>
      <c r="G43" s="53"/>
      <c r="H43" s="53"/>
      <c r="I43" s="53"/>
      <c r="J43" s="53"/>
      <c r="K43" s="53"/>
      <c r="L43" s="53"/>
      <c r="O43">
        <v>6</v>
      </c>
      <c r="P43" s="104" t="s">
        <v>654</v>
      </c>
    </row>
    <row r="44" spans="2:17" x14ac:dyDescent="0.25">
      <c r="B44">
        <v>8</v>
      </c>
      <c r="C44" s="97"/>
      <c r="D44" s="53"/>
      <c r="E44" s="53"/>
      <c r="F44" s="53"/>
      <c r="G44" s="53"/>
      <c r="H44" s="53"/>
      <c r="I44" s="53"/>
      <c r="J44" s="53"/>
      <c r="K44" s="53"/>
      <c r="L44" s="53"/>
      <c r="O44">
        <v>7</v>
      </c>
      <c r="P44" s="104" t="s">
        <v>657</v>
      </c>
    </row>
    <row r="45" spans="2:17" x14ac:dyDescent="0.25">
      <c r="B45">
        <v>9</v>
      </c>
      <c r="C45" s="97"/>
      <c r="D45" s="53"/>
      <c r="E45" s="53"/>
      <c r="F45" s="53"/>
      <c r="G45" s="53"/>
      <c r="H45" s="53"/>
      <c r="I45" s="53"/>
      <c r="J45" s="53"/>
      <c r="K45" s="53"/>
      <c r="L45" s="53"/>
      <c r="O45">
        <v>8</v>
      </c>
      <c r="P45" s="104" t="s">
        <v>658</v>
      </c>
    </row>
    <row r="46" spans="2:17" x14ac:dyDescent="0.25">
      <c r="B46">
        <v>10</v>
      </c>
      <c r="C46" s="97"/>
      <c r="D46" s="53"/>
      <c r="E46" s="53"/>
      <c r="F46" s="53"/>
      <c r="G46" s="53"/>
      <c r="H46" s="53"/>
      <c r="I46" s="53"/>
      <c r="J46" s="53"/>
      <c r="K46" s="53"/>
      <c r="L46" s="53"/>
      <c r="O46">
        <v>9</v>
      </c>
      <c r="P46" s="95" t="s">
        <v>574</v>
      </c>
      <c r="Q46" t="s">
        <v>642</v>
      </c>
    </row>
    <row r="47" spans="2:17" x14ac:dyDescent="0.25">
      <c r="B47">
        <v>11</v>
      </c>
      <c r="C47" s="97"/>
      <c r="D47" s="53"/>
      <c r="E47" s="53"/>
      <c r="F47" s="53"/>
      <c r="G47" s="53"/>
      <c r="H47" s="53"/>
      <c r="I47" s="53"/>
      <c r="J47" s="53"/>
      <c r="K47" s="53"/>
      <c r="L47" s="53"/>
      <c r="N47" t="s">
        <v>637</v>
      </c>
      <c r="O47">
        <v>10</v>
      </c>
      <c r="P47" s="104" t="s">
        <v>655</v>
      </c>
    </row>
    <row r="48" spans="2:17" x14ac:dyDescent="0.25">
      <c r="B48">
        <v>12</v>
      </c>
      <c r="C48" s="97"/>
      <c r="D48" s="53"/>
      <c r="E48" s="53"/>
      <c r="F48" s="53"/>
      <c r="G48" s="53"/>
      <c r="H48" s="53"/>
      <c r="I48" s="53"/>
      <c r="J48" s="53"/>
      <c r="K48" s="53"/>
      <c r="L48" s="53"/>
      <c r="O48">
        <v>11</v>
      </c>
      <c r="P48" s="104" t="s">
        <v>656</v>
      </c>
    </row>
    <row r="49" spans="2:17" x14ac:dyDescent="0.25">
      <c r="B49">
        <v>13</v>
      </c>
      <c r="C49" s="97"/>
      <c r="D49" s="53"/>
      <c r="E49" s="53"/>
      <c r="F49" s="53"/>
      <c r="G49" s="53"/>
      <c r="H49" s="53"/>
      <c r="I49" s="53"/>
      <c r="J49" s="53"/>
      <c r="K49" s="53"/>
      <c r="L49" s="53"/>
      <c r="O49">
        <v>12</v>
      </c>
      <c r="P49" s="95" t="s">
        <v>588</v>
      </c>
      <c r="Q49" t="s">
        <v>643</v>
      </c>
    </row>
    <row r="50" spans="2:17" x14ac:dyDescent="0.25">
      <c r="B50">
        <v>14</v>
      </c>
      <c r="C50" s="97"/>
      <c r="D50" s="53"/>
      <c r="E50" s="53"/>
      <c r="F50" s="53"/>
      <c r="G50" s="53"/>
      <c r="H50" s="53"/>
      <c r="I50" s="53"/>
      <c r="J50" s="53"/>
      <c r="K50" s="53"/>
      <c r="L50" s="53"/>
      <c r="O50">
        <v>13</v>
      </c>
      <c r="P50" s="104" t="s">
        <v>660</v>
      </c>
    </row>
    <row r="51" spans="2:17" x14ac:dyDescent="0.25">
      <c r="B51">
        <v>15</v>
      </c>
      <c r="C51" s="97"/>
      <c r="D51" s="53"/>
      <c r="E51" s="53"/>
      <c r="F51" s="53"/>
      <c r="G51" s="53"/>
      <c r="H51" s="53"/>
      <c r="I51" s="53"/>
      <c r="J51" s="53"/>
      <c r="K51" s="53"/>
      <c r="L51" s="53"/>
      <c r="O51">
        <v>14</v>
      </c>
      <c r="P51" s="104" t="s">
        <v>661</v>
      </c>
    </row>
    <row r="52" spans="2:17" x14ac:dyDescent="0.25">
      <c r="O52">
        <v>15</v>
      </c>
      <c r="P52" s="104" t="s">
        <v>662</v>
      </c>
    </row>
    <row r="53" spans="2:17" x14ac:dyDescent="0.25">
      <c r="O53">
        <v>16</v>
      </c>
      <c r="P53" s="95" t="s">
        <v>589</v>
      </c>
      <c r="Q53" t="s">
        <v>644</v>
      </c>
    </row>
    <row r="54" spans="2:17" ht="15.75" x14ac:dyDescent="0.25">
      <c r="C54" s="102" t="s">
        <v>637</v>
      </c>
      <c r="D54" s="98"/>
      <c r="E54" s="98"/>
      <c r="F54" s="98"/>
      <c r="G54" s="98"/>
      <c r="H54" s="98"/>
      <c r="I54" s="98"/>
      <c r="J54" s="98"/>
      <c r="K54" s="98"/>
      <c r="L54" s="98"/>
      <c r="O54">
        <v>17</v>
      </c>
      <c r="P54" s="104" t="s">
        <v>663</v>
      </c>
    </row>
    <row r="55" spans="2:17" x14ac:dyDescent="0.25">
      <c r="C55" s="99"/>
      <c r="D55" s="53"/>
      <c r="E55" s="53"/>
      <c r="F55" s="53"/>
      <c r="G55" s="53"/>
      <c r="H55" s="53"/>
      <c r="I55" s="53"/>
      <c r="J55" s="53"/>
      <c r="K55" s="53"/>
      <c r="L55" s="53"/>
      <c r="O55">
        <v>18</v>
      </c>
      <c r="P55" s="104" t="s">
        <v>664</v>
      </c>
    </row>
    <row r="56" spans="2:17" x14ac:dyDescent="0.25">
      <c r="C56" s="99"/>
      <c r="D56" s="53"/>
      <c r="E56" s="53"/>
      <c r="F56" s="53"/>
      <c r="G56" s="53"/>
      <c r="H56" s="53"/>
      <c r="I56" s="53"/>
      <c r="J56" s="53"/>
      <c r="K56" s="53"/>
      <c r="L56" s="53"/>
      <c r="O56">
        <v>19</v>
      </c>
      <c r="P56" s="104" t="s">
        <v>665</v>
      </c>
    </row>
    <row r="57" spans="2:17" x14ac:dyDescent="0.25">
      <c r="C57" s="99"/>
      <c r="D57" s="53"/>
      <c r="E57" s="53"/>
      <c r="F57" s="53"/>
      <c r="G57" s="53"/>
      <c r="H57" s="53"/>
      <c r="I57" s="53"/>
      <c r="J57" s="53"/>
      <c r="K57" s="53"/>
      <c r="L57" s="53"/>
      <c r="O57">
        <v>20</v>
      </c>
      <c r="P57" s="104" t="s">
        <v>666</v>
      </c>
    </row>
    <row r="58" spans="2:17" x14ac:dyDescent="0.25">
      <c r="C58" s="99"/>
      <c r="D58" s="53"/>
      <c r="E58" s="53"/>
      <c r="F58" s="53"/>
      <c r="G58" s="53"/>
      <c r="H58" s="53"/>
      <c r="I58" s="53"/>
      <c r="J58" s="53"/>
      <c r="K58" s="53"/>
      <c r="L58" s="53"/>
      <c r="Q58" t="s">
        <v>667</v>
      </c>
    </row>
    <row r="59" spans="2:17" x14ac:dyDescent="0.25">
      <c r="C59" s="99"/>
      <c r="D59" s="53"/>
      <c r="E59" s="53"/>
      <c r="F59" s="53"/>
      <c r="G59" s="53"/>
      <c r="H59" s="53"/>
      <c r="I59" s="53"/>
      <c r="J59" s="53"/>
      <c r="K59" s="53"/>
      <c r="L59" s="53"/>
    </row>
    <row r="60" spans="2:17" x14ac:dyDescent="0.25">
      <c r="C60" s="99"/>
      <c r="D60" s="53"/>
      <c r="E60" s="53"/>
      <c r="F60" s="53"/>
      <c r="G60" s="53"/>
      <c r="H60" s="53"/>
      <c r="I60" s="53"/>
      <c r="J60" s="53"/>
      <c r="K60" s="53"/>
      <c r="L60" s="53"/>
    </row>
    <row r="61" spans="2:17" x14ac:dyDescent="0.25">
      <c r="C61" s="99"/>
      <c r="D61" s="53"/>
      <c r="E61" s="53"/>
      <c r="F61" s="53"/>
      <c r="G61" s="53"/>
      <c r="H61" s="53"/>
      <c r="I61" s="53"/>
      <c r="J61" s="53"/>
      <c r="K61" s="53"/>
      <c r="L61" s="53"/>
    </row>
    <row r="62" spans="2:17" x14ac:dyDescent="0.25">
      <c r="C62" s="99"/>
      <c r="D62" s="53"/>
      <c r="E62" s="53"/>
      <c r="F62" s="53"/>
      <c r="G62" s="53"/>
      <c r="H62" s="53"/>
      <c r="I62" s="53"/>
      <c r="J62" s="53"/>
      <c r="K62" s="53"/>
      <c r="L62" s="53"/>
    </row>
  </sheetData>
  <phoneticPr fontId="8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EFB9F-0A82-4FBB-B6A6-1E34A651CBC9}">
  <sheetPr>
    <tabColor rgb="FF92D050"/>
  </sheetPr>
  <dimension ref="A4:T83"/>
  <sheetViews>
    <sheetView workbookViewId="0">
      <selection activeCell="B20" sqref="B20"/>
    </sheetView>
  </sheetViews>
  <sheetFormatPr defaultRowHeight="15" x14ac:dyDescent="0.25"/>
  <cols>
    <col min="1" max="1" width="9.140625" style="144"/>
    <col min="2" max="2" width="47.5703125" style="144" customWidth="1"/>
    <col min="3" max="3" width="10.7109375" style="144" customWidth="1"/>
    <col min="4" max="4" width="14.5703125" style="144" customWidth="1"/>
    <col min="5" max="6" width="10.7109375" style="144" customWidth="1"/>
    <col min="7" max="12" width="9.140625" style="144" customWidth="1"/>
    <col min="13" max="16384" width="9.140625" style="144"/>
  </cols>
  <sheetData>
    <row r="4" spans="1:20" x14ac:dyDescent="0.25">
      <c r="B4" s="326" t="s">
        <v>3445</v>
      </c>
      <c r="C4" s="324" t="s">
        <v>2</v>
      </c>
      <c r="D4" s="326" t="s">
        <v>3444</v>
      </c>
      <c r="E4" s="326" t="s">
        <v>3443</v>
      </c>
      <c r="F4" s="326" t="s">
        <v>3442</v>
      </c>
      <c r="G4" s="326" t="s">
        <v>3441</v>
      </c>
      <c r="H4" s="326" t="s">
        <v>3440</v>
      </c>
      <c r="I4" s="326" t="s">
        <v>3439</v>
      </c>
      <c r="J4" s="326" t="s">
        <v>3438</v>
      </c>
      <c r="K4" s="737" t="s">
        <v>3437</v>
      </c>
      <c r="L4" s="737"/>
      <c r="M4" s="737"/>
      <c r="N4" s="737"/>
      <c r="O4" s="326" t="s">
        <v>4227</v>
      </c>
      <c r="P4" s="326" t="s">
        <v>3435</v>
      </c>
      <c r="Q4" s="324" t="s">
        <v>3434</v>
      </c>
      <c r="R4" s="324" t="s">
        <v>3433</v>
      </c>
      <c r="S4" s="324" t="s">
        <v>3432</v>
      </c>
      <c r="T4" s="324" t="s">
        <v>3431</v>
      </c>
    </row>
    <row r="5" spans="1:20" x14ac:dyDescent="0.25">
      <c r="A5" s="330">
        <v>1</v>
      </c>
      <c r="B5" s="320" t="s">
        <v>3430</v>
      </c>
      <c r="C5" s="319" t="s">
        <v>197</v>
      </c>
      <c r="D5" s="320">
        <v>135</v>
      </c>
      <c r="E5" s="320">
        <v>270</v>
      </c>
      <c r="F5" s="319">
        <v>0</v>
      </c>
      <c r="G5" s="319">
        <v>0</v>
      </c>
      <c r="H5" s="320">
        <v>75</v>
      </c>
      <c r="I5" s="322">
        <v>5</v>
      </c>
      <c r="J5" s="322">
        <v>1</v>
      </c>
      <c r="K5" s="320">
        <v>12</v>
      </c>
      <c r="L5" s="320">
        <v>24</v>
      </c>
      <c r="M5" s="319" t="s">
        <v>3423</v>
      </c>
      <c r="N5" s="319" t="s">
        <v>3423</v>
      </c>
      <c r="O5" s="319">
        <v>13</v>
      </c>
      <c r="P5" s="320">
        <v>10</v>
      </c>
      <c r="Q5" s="320">
        <v>0.98</v>
      </c>
      <c r="R5" s="320">
        <v>0.98</v>
      </c>
      <c r="S5" s="319">
        <v>0</v>
      </c>
      <c r="T5" s="319">
        <v>0</v>
      </c>
    </row>
    <row r="6" spans="1:20" x14ac:dyDescent="0.25">
      <c r="A6" s="330">
        <v>2</v>
      </c>
      <c r="B6" s="320" t="s">
        <v>3429</v>
      </c>
      <c r="C6" s="319" t="s">
        <v>197</v>
      </c>
      <c r="D6" s="320">
        <v>200</v>
      </c>
      <c r="E6" s="320">
        <v>400</v>
      </c>
      <c r="F6" s="319">
        <v>0</v>
      </c>
      <c r="G6" s="319">
        <v>0</v>
      </c>
      <c r="H6" s="320">
        <v>75</v>
      </c>
      <c r="I6" s="322">
        <v>5</v>
      </c>
      <c r="J6" s="322">
        <v>1</v>
      </c>
      <c r="K6" s="320">
        <v>12</v>
      </c>
      <c r="L6" s="320">
        <v>24</v>
      </c>
      <c r="M6" s="319" t="s">
        <v>3423</v>
      </c>
      <c r="N6" s="319" t="s">
        <v>3423</v>
      </c>
      <c r="O6" s="319">
        <v>15</v>
      </c>
      <c r="P6" s="320">
        <v>15</v>
      </c>
      <c r="Q6" s="320">
        <v>0.98</v>
      </c>
      <c r="R6" s="320">
        <v>0.98</v>
      </c>
      <c r="S6" s="319">
        <v>0</v>
      </c>
      <c r="T6" s="319">
        <v>0</v>
      </c>
    </row>
    <row r="7" spans="1:20" x14ac:dyDescent="0.25">
      <c r="A7" s="330">
        <v>3</v>
      </c>
      <c r="B7" s="320" t="s">
        <v>3428</v>
      </c>
      <c r="C7" s="319" t="s">
        <v>197</v>
      </c>
      <c r="D7" s="320">
        <v>200</v>
      </c>
      <c r="E7" s="320">
        <v>400</v>
      </c>
      <c r="F7" s="319">
        <v>0</v>
      </c>
      <c r="G7" s="319">
        <v>0</v>
      </c>
      <c r="H7" s="320">
        <v>100</v>
      </c>
      <c r="I7" s="322">
        <v>5</v>
      </c>
      <c r="J7" s="322">
        <v>1</v>
      </c>
      <c r="K7" s="320">
        <v>12</v>
      </c>
      <c r="L7" s="320">
        <v>24</v>
      </c>
      <c r="M7" s="319" t="s">
        <v>3423</v>
      </c>
      <c r="N7" s="319" t="s">
        <v>3423</v>
      </c>
      <c r="O7" s="319">
        <v>15</v>
      </c>
      <c r="P7" s="320">
        <v>15</v>
      </c>
      <c r="Q7" s="320">
        <v>0.98</v>
      </c>
      <c r="R7" s="320">
        <v>0.98</v>
      </c>
      <c r="S7" s="319">
        <v>0</v>
      </c>
      <c r="T7" s="319">
        <v>0</v>
      </c>
    </row>
    <row r="8" spans="1:20" x14ac:dyDescent="0.25">
      <c r="A8" s="330">
        <v>4</v>
      </c>
      <c r="B8" s="320" t="s">
        <v>3427</v>
      </c>
      <c r="C8" s="319" t="s">
        <v>197</v>
      </c>
      <c r="D8" s="320">
        <v>560</v>
      </c>
      <c r="E8" s="320">
        <v>580</v>
      </c>
      <c r="F8" s="319">
        <v>0</v>
      </c>
      <c r="G8" s="319">
        <v>0</v>
      </c>
      <c r="H8" s="320">
        <v>100</v>
      </c>
      <c r="I8" s="322">
        <v>5</v>
      </c>
      <c r="J8" s="322">
        <v>1</v>
      </c>
      <c r="K8" s="320">
        <v>12</v>
      </c>
      <c r="L8" s="320">
        <v>24</v>
      </c>
      <c r="M8" s="319" t="s">
        <v>3423</v>
      </c>
      <c r="N8" s="319" t="s">
        <v>3423</v>
      </c>
      <c r="O8" s="319">
        <v>20</v>
      </c>
      <c r="P8" s="320">
        <v>20</v>
      </c>
      <c r="Q8" s="320">
        <v>0.98</v>
      </c>
      <c r="R8" s="320">
        <v>0.98</v>
      </c>
      <c r="S8" s="319">
        <v>0</v>
      </c>
      <c r="T8" s="319">
        <v>0</v>
      </c>
    </row>
    <row r="9" spans="1:20" x14ac:dyDescent="0.25">
      <c r="A9" s="330">
        <v>5</v>
      </c>
      <c r="B9" s="320" t="s">
        <v>3426</v>
      </c>
      <c r="C9" s="319" t="s">
        <v>197</v>
      </c>
      <c r="D9" s="320">
        <v>1180</v>
      </c>
      <c r="E9" s="320">
        <v>0</v>
      </c>
      <c r="F9" s="319">
        <v>0</v>
      </c>
      <c r="G9" s="319">
        <v>1160</v>
      </c>
      <c r="H9" s="320">
        <v>100</v>
      </c>
      <c r="I9" s="322">
        <v>5</v>
      </c>
      <c r="J9" s="322">
        <v>1</v>
      </c>
      <c r="K9" s="320" t="s">
        <v>3423</v>
      </c>
      <c r="L9" s="320" t="s">
        <v>3423</v>
      </c>
      <c r="M9" s="319" t="s">
        <v>3423</v>
      </c>
      <c r="N9" s="319">
        <v>48</v>
      </c>
      <c r="O9" s="319">
        <v>20</v>
      </c>
      <c r="P9" s="320">
        <v>20</v>
      </c>
      <c r="Q9" s="320">
        <v>0</v>
      </c>
      <c r="R9" s="320">
        <v>0</v>
      </c>
      <c r="S9" s="319">
        <v>0</v>
      </c>
      <c r="T9" s="319">
        <v>0.98</v>
      </c>
    </row>
    <row r="10" spans="1:20" x14ac:dyDescent="0.25">
      <c r="A10" s="330">
        <v>6</v>
      </c>
      <c r="B10" s="320" t="s">
        <v>3425</v>
      </c>
      <c r="C10" s="319" t="s">
        <v>197</v>
      </c>
      <c r="D10" s="320">
        <v>440</v>
      </c>
      <c r="E10" s="320">
        <v>880</v>
      </c>
      <c r="F10" s="319">
        <v>0</v>
      </c>
      <c r="G10" s="319">
        <v>0</v>
      </c>
      <c r="H10" s="320">
        <v>100</v>
      </c>
      <c r="I10" s="322">
        <v>5</v>
      </c>
      <c r="J10" s="322">
        <v>1</v>
      </c>
      <c r="K10" s="320">
        <v>12</v>
      </c>
      <c r="L10" s="320">
        <v>24</v>
      </c>
      <c r="M10" s="319" t="s">
        <v>3423</v>
      </c>
      <c r="N10" s="319" t="s">
        <v>3423</v>
      </c>
      <c r="O10" s="319">
        <v>30</v>
      </c>
      <c r="P10" s="320">
        <v>30</v>
      </c>
      <c r="Q10" s="320">
        <v>0.98</v>
      </c>
      <c r="R10" s="320">
        <v>0.98</v>
      </c>
      <c r="S10" s="319">
        <v>0</v>
      </c>
      <c r="T10" s="319">
        <v>0</v>
      </c>
    </row>
    <row r="11" spans="1:20" x14ac:dyDescent="0.25">
      <c r="A11" s="330">
        <v>7</v>
      </c>
      <c r="B11" s="320" t="s">
        <v>3424</v>
      </c>
      <c r="C11" s="319" t="s">
        <v>197</v>
      </c>
      <c r="D11" s="320">
        <v>700</v>
      </c>
      <c r="E11" s="320">
        <v>1400</v>
      </c>
      <c r="F11" s="319">
        <v>0</v>
      </c>
      <c r="G11" s="319">
        <v>0</v>
      </c>
      <c r="H11" s="320">
        <v>100</v>
      </c>
      <c r="I11" s="322">
        <v>5</v>
      </c>
      <c r="J11" s="322">
        <v>1</v>
      </c>
      <c r="K11" s="320">
        <v>12</v>
      </c>
      <c r="L11" s="320">
        <v>24</v>
      </c>
      <c r="M11" s="319" t="s">
        <v>3423</v>
      </c>
      <c r="N11" s="319" t="s">
        <v>3423</v>
      </c>
      <c r="O11" s="319">
        <v>50</v>
      </c>
      <c r="P11" s="320">
        <v>50</v>
      </c>
      <c r="Q11" s="320">
        <v>0.98</v>
      </c>
      <c r="R11" s="320">
        <v>0.98</v>
      </c>
      <c r="S11" s="319">
        <v>0</v>
      </c>
      <c r="T11" s="319">
        <v>0</v>
      </c>
    </row>
    <row r="12" spans="1:20" x14ac:dyDescent="0.25">
      <c r="A12" s="330">
        <v>8</v>
      </c>
      <c r="B12" s="320" t="s">
        <v>3422</v>
      </c>
      <c r="C12" s="319" t="s">
        <v>197</v>
      </c>
      <c r="D12" s="320">
        <v>2000</v>
      </c>
      <c r="E12" s="320">
        <v>1000</v>
      </c>
      <c r="F12" s="320">
        <v>1500</v>
      </c>
      <c r="G12" s="320">
        <v>2000</v>
      </c>
      <c r="H12" s="320">
        <v>150</v>
      </c>
      <c r="I12" s="322">
        <v>5</v>
      </c>
      <c r="J12" s="322">
        <v>1</v>
      </c>
      <c r="K12" s="320">
        <v>12</v>
      </c>
      <c r="L12" s="320">
        <v>24</v>
      </c>
      <c r="M12" s="320">
        <v>36</v>
      </c>
      <c r="N12" s="320">
        <v>48</v>
      </c>
      <c r="O12" s="320">
        <v>40</v>
      </c>
      <c r="P12" s="320">
        <v>35</v>
      </c>
      <c r="Q12" s="320">
        <v>0.98</v>
      </c>
      <c r="R12" s="320">
        <v>0.98</v>
      </c>
      <c r="S12" s="320">
        <v>0.98</v>
      </c>
      <c r="T12" s="320">
        <v>0.98</v>
      </c>
    </row>
    <row r="13" spans="1:20" x14ac:dyDescent="0.25">
      <c r="A13" s="330">
        <v>9</v>
      </c>
      <c r="B13" s="320" t="s">
        <v>3421</v>
      </c>
      <c r="C13" s="319" t="s">
        <v>197</v>
      </c>
      <c r="D13" s="320">
        <v>2600</v>
      </c>
      <c r="E13" s="320">
        <v>1300</v>
      </c>
      <c r="F13" s="320"/>
      <c r="G13" s="320">
        <v>2600</v>
      </c>
      <c r="H13" s="320">
        <v>150</v>
      </c>
      <c r="I13" s="322">
        <v>5</v>
      </c>
      <c r="J13" s="322">
        <v>1</v>
      </c>
      <c r="K13" s="320">
        <v>12</v>
      </c>
      <c r="L13" s="320">
        <v>24</v>
      </c>
      <c r="M13" s="320">
        <v>36</v>
      </c>
      <c r="N13" s="320">
        <v>48</v>
      </c>
      <c r="O13" s="320">
        <v>2600</v>
      </c>
      <c r="P13" s="320">
        <v>45</v>
      </c>
      <c r="Q13" s="320">
        <v>0.98</v>
      </c>
      <c r="R13" s="320">
        <v>0.98</v>
      </c>
      <c r="S13" s="320">
        <v>0.98</v>
      </c>
      <c r="T13" s="320">
        <v>0.98</v>
      </c>
    </row>
    <row r="14" spans="1:20" x14ac:dyDescent="0.25">
      <c r="A14" s="330">
        <v>10</v>
      </c>
      <c r="B14" s="320" t="s">
        <v>3420</v>
      </c>
      <c r="C14" s="319" t="s">
        <v>197</v>
      </c>
      <c r="D14" s="320">
        <v>3400</v>
      </c>
      <c r="E14" s="320">
        <v>1720</v>
      </c>
      <c r="F14" s="320"/>
      <c r="G14" s="320">
        <v>3440</v>
      </c>
      <c r="H14" s="320">
        <v>150</v>
      </c>
      <c r="I14" s="322">
        <v>5</v>
      </c>
      <c r="J14" s="322">
        <v>1</v>
      </c>
      <c r="K14" s="320">
        <v>12</v>
      </c>
      <c r="L14" s="320">
        <v>24</v>
      </c>
      <c r="M14" s="320">
        <v>36</v>
      </c>
      <c r="N14" s="320">
        <v>48</v>
      </c>
      <c r="O14" s="320">
        <v>50</v>
      </c>
      <c r="P14" s="320">
        <v>60</v>
      </c>
      <c r="Q14" s="320">
        <v>0.98</v>
      </c>
      <c r="R14" s="320">
        <v>0.98</v>
      </c>
      <c r="S14" s="320">
        <v>0.98</v>
      </c>
      <c r="T14" s="320">
        <v>0.98</v>
      </c>
    </row>
    <row r="15" spans="1:20" x14ac:dyDescent="0.25">
      <c r="A15" s="330">
        <v>11</v>
      </c>
      <c r="B15" s="320" t="s">
        <v>3419</v>
      </c>
      <c r="C15" s="319" t="s">
        <v>197</v>
      </c>
      <c r="D15" s="320">
        <v>4000</v>
      </c>
      <c r="E15" s="320">
        <v>2000</v>
      </c>
      <c r="F15" s="320"/>
      <c r="G15" s="320">
        <v>4000</v>
      </c>
      <c r="H15" s="320">
        <v>150</v>
      </c>
      <c r="I15" s="322">
        <v>5</v>
      </c>
      <c r="J15" s="322">
        <v>1</v>
      </c>
      <c r="K15" s="320">
        <v>12</v>
      </c>
      <c r="L15" s="320">
        <v>24</v>
      </c>
      <c r="M15" s="320">
        <v>36</v>
      </c>
      <c r="N15" s="320">
        <v>48</v>
      </c>
      <c r="O15" s="320">
        <v>50</v>
      </c>
      <c r="P15" s="320">
        <v>70</v>
      </c>
      <c r="Q15" s="320">
        <v>0.98</v>
      </c>
      <c r="R15" s="320">
        <v>0.98</v>
      </c>
      <c r="S15" s="320">
        <v>0.98</v>
      </c>
      <c r="T15" s="320">
        <v>0.98</v>
      </c>
    </row>
    <row r="16" spans="1:20" x14ac:dyDescent="0.25">
      <c r="A16" s="330">
        <v>12</v>
      </c>
      <c r="B16" s="320" t="s">
        <v>3418</v>
      </c>
      <c r="C16" s="319" t="s">
        <v>197</v>
      </c>
      <c r="D16" s="320">
        <v>4900</v>
      </c>
      <c r="E16" s="320">
        <v>2400</v>
      </c>
      <c r="F16" s="320"/>
      <c r="G16" s="320">
        <v>4900</v>
      </c>
      <c r="H16" s="320">
        <v>150</v>
      </c>
      <c r="I16" s="322">
        <v>5</v>
      </c>
      <c r="J16" s="322">
        <v>1</v>
      </c>
      <c r="K16" s="320">
        <v>12</v>
      </c>
      <c r="L16" s="320">
        <v>24</v>
      </c>
      <c r="M16" s="320">
        <v>36</v>
      </c>
      <c r="N16" s="320">
        <v>48</v>
      </c>
      <c r="O16" s="320">
        <v>70</v>
      </c>
      <c r="P16" s="320">
        <v>85</v>
      </c>
      <c r="Q16" s="320">
        <v>0.98</v>
      </c>
      <c r="R16" s="320">
        <v>0.98</v>
      </c>
      <c r="S16" s="320">
        <v>0.98</v>
      </c>
      <c r="T16" s="320">
        <v>0.98</v>
      </c>
    </row>
    <row r="17" spans="1:20" x14ac:dyDescent="0.25">
      <c r="A17" s="330">
        <v>13</v>
      </c>
      <c r="B17" s="320" t="s">
        <v>3417</v>
      </c>
      <c r="C17" s="319" t="s">
        <v>197</v>
      </c>
      <c r="D17" s="320">
        <v>5800</v>
      </c>
      <c r="E17" s="320">
        <v>2900</v>
      </c>
      <c r="F17" s="320"/>
      <c r="G17" s="320">
        <v>5800</v>
      </c>
      <c r="H17" s="320">
        <v>150</v>
      </c>
      <c r="I17" s="322">
        <v>5</v>
      </c>
      <c r="J17" s="322">
        <v>1</v>
      </c>
      <c r="K17" s="320">
        <v>12</v>
      </c>
      <c r="L17" s="320">
        <v>24</v>
      </c>
      <c r="M17" s="320">
        <v>36</v>
      </c>
      <c r="N17" s="320">
        <v>48</v>
      </c>
      <c r="O17" s="320">
        <v>70</v>
      </c>
      <c r="P17" s="320">
        <v>100</v>
      </c>
      <c r="Q17" s="320">
        <v>0.98</v>
      </c>
      <c r="R17" s="320">
        <v>0.98</v>
      </c>
      <c r="S17" s="320">
        <v>0.98</v>
      </c>
      <c r="T17" s="320">
        <v>0.98</v>
      </c>
    </row>
    <row r="18" spans="1:20" x14ac:dyDescent="0.25">
      <c r="A18" s="330">
        <v>14</v>
      </c>
      <c r="B18" s="320" t="s">
        <v>3416</v>
      </c>
      <c r="C18" s="319" t="s">
        <v>197</v>
      </c>
      <c r="D18" s="320">
        <v>3400</v>
      </c>
      <c r="E18" s="320">
        <v>1720</v>
      </c>
      <c r="F18" s="320"/>
      <c r="G18" s="320">
        <v>3440</v>
      </c>
      <c r="H18" s="320">
        <v>250</v>
      </c>
      <c r="I18" s="322">
        <v>5</v>
      </c>
      <c r="J18" s="322">
        <v>1</v>
      </c>
      <c r="K18" s="320">
        <v>12</v>
      </c>
      <c r="L18" s="320">
        <v>24</v>
      </c>
      <c r="M18" s="320">
        <v>36</v>
      </c>
      <c r="N18" s="320">
        <v>48</v>
      </c>
      <c r="O18" s="320">
        <v>35</v>
      </c>
      <c r="P18" s="320">
        <v>60</v>
      </c>
      <c r="Q18" s="320">
        <v>0.99</v>
      </c>
      <c r="R18" s="320">
        <v>0.99</v>
      </c>
      <c r="S18" s="320">
        <v>0.99</v>
      </c>
      <c r="T18" s="320">
        <v>0.99</v>
      </c>
    </row>
    <row r="19" spans="1:20" x14ac:dyDescent="0.25">
      <c r="A19" s="330">
        <v>15</v>
      </c>
      <c r="B19" s="320" t="s">
        <v>3415</v>
      </c>
      <c r="C19" s="319" t="s">
        <v>197</v>
      </c>
      <c r="D19" s="320">
        <v>4000</v>
      </c>
      <c r="E19" s="320">
        <v>2000</v>
      </c>
      <c r="F19" s="320"/>
      <c r="G19" s="320">
        <v>4000</v>
      </c>
      <c r="H19" s="320">
        <v>250</v>
      </c>
      <c r="I19" s="322">
        <v>5</v>
      </c>
      <c r="J19" s="322">
        <v>1</v>
      </c>
      <c r="K19" s="320">
        <v>12</v>
      </c>
      <c r="L19" s="320">
        <v>24</v>
      </c>
      <c r="M19" s="320">
        <v>36</v>
      </c>
      <c r="N19" s="320">
        <v>48</v>
      </c>
      <c r="O19" s="320">
        <v>35</v>
      </c>
      <c r="P19" s="320">
        <v>70</v>
      </c>
      <c r="Q19" s="320">
        <v>0.99</v>
      </c>
      <c r="R19" s="320">
        <v>0.99</v>
      </c>
      <c r="S19" s="320">
        <v>0.99</v>
      </c>
      <c r="T19" s="320">
        <v>0.99</v>
      </c>
    </row>
    <row r="20" spans="1:20" x14ac:dyDescent="0.25">
      <c r="A20" s="330">
        <v>16</v>
      </c>
      <c r="B20" s="320" t="s">
        <v>3414</v>
      </c>
      <c r="C20" s="319" t="s">
        <v>197</v>
      </c>
      <c r="D20" s="320">
        <v>4900</v>
      </c>
      <c r="E20" s="320">
        <v>2400</v>
      </c>
      <c r="F20" s="320"/>
      <c r="G20" s="320">
        <v>4900</v>
      </c>
      <c r="H20" s="320">
        <v>250</v>
      </c>
      <c r="I20" s="322">
        <v>5</v>
      </c>
      <c r="J20" s="322">
        <v>1</v>
      </c>
      <c r="K20" s="320">
        <v>12</v>
      </c>
      <c r="L20" s="320">
        <v>24</v>
      </c>
      <c r="M20" s="320">
        <v>36</v>
      </c>
      <c r="N20" s="320">
        <v>48</v>
      </c>
      <c r="O20" s="320">
        <v>70</v>
      </c>
      <c r="P20" s="320">
        <v>85</v>
      </c>
      <c r="Q20" s="320">
        <v>0.99</v>
      </c>
      <c r="R20" s="320">
        <v>0.99</v>
      </c>
      <c r="S20" s="320">
        <v>0.99</v>
      </c>
      <c r="T20" s="320">
        <v>0.99</v>
      </c>
    </row>
    <row r="21" spans="1:20" x14ac:dyDescent="0.25">
      <c r="A21" s="330">
        <v>17</v>
      </c>
      <c r="B21" s="320" t="s">
        <v>3413</v>
      </c>
      <c r="C21" s="319" t="s">
        <v>197</v>
      </c>
      <c r="D21" s="320">
        <v>1450</v>
      </c>
      <c r="E21" s="320">
        <v>2900</v>
      </c>
      <c r="F21" s="320"/>
      <c r="G21" s="320">
        <v>5800</v>
      </c>
      <c r="H21" s="320">
        <v>250</v>
      </c>
      <c r="I21" s="322">
        <v>5</v>
      </c>
      <c r="J21" s="322">
        <v>1</v>
      </c>
      <c r="K21" s="320">
        <v>12</v>
      </c>
      <c r="L21" s="320">
        <v>24</v>
      </c>
      <c r="M21" s="320">
        <v>36</v>
      </c>
      <c r="N21" s="320">
        <v>48</v>
      </c>
      <c r="O21" s="320">
        <v>70</v>
      </c>
      <c r="P21" s="320">
        <v>100</v>
      </c>
      <c r="Q21" s="320">
        <v>0.99</v>
      </c>
      <c r="R21" s="320">
        <v>0.99</v>
      </c>
      <c r="S21" s="320">
        <v>0.99</v>
      </c>
      <c r="T21" s="320">
        <v>0.99</v>
      </c>
    </row>
    <row r="22" spans="1:20" x14ac:dyDescent="0.25">
      <c r="A22" s="330">
        <v>18</v>
      </c>
      <c r="B22" s="320" t="s">
        <v>3412</v>
      </c>
      <c r="C22" s="320" t="s">
        <v>210</v>
      </c>
      <c r="D22" s="320">
        <v>5000</v>
      </c>
      <c r="E22" s="320"/>
      <c r="F22" s="320"/>
      <c r="G22" s="320">
        <v>6600</v>
      </c>
      <c r="H22" s="320">
        <v>600</v>
      </c>
      <c r="I22" s="322"/>
      <c r="J22" s="322"/>
      <c r="K22" s="320"/>
      <c r="L22" s="320"/>
      <c r="M22" s="320"/>
      <c r="N22" s="320"/>
      <c r="O22" s="320">
        <v>7500</v>
      </c>
      <c r="P22" s="320"/>
      <c r="Q22" s="320"/>
      <c r="R22" s="320"/>
      <c r="S22" s="320"/>
      <c r="T22" s="320"/>
    </row>
    <row r="23" spans="1:20" x14ac:dyDescent="0.25">
      <c r="A23" s="330">
        <v>19</v>
      </c>
      <c r="B23" s="320" t="s">
        <v>3411</v>
      </c>
      <c r="C23" s="320" t="s">
        <v>210</v>
      </c>
      <c r="D23" s="320">
        <v>6000</v>
      </c>
      <c r="E23" s="320"/>
      <c r="F23" s="320"/>
      <c r="G23" s="320">
        <v>6600</v>
      </c>
      <c r="H23" s="320">
        <v>600</v>
      </c>
      <c r="I23" s="337"/>
      <c r="J23" s="337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1:20" x14ac:dyDescent="0.25">
      <c r="A24" s="330">
        <v>20</v>
      </c>
      <c r="B24" s="320" t="s">
        <v>3410</v>
      </c>
      <c r="C24" s="319" t="s">
        <v>197</v>
      </c>
      <c r="D24" s="320">
        <v>5800</v>
      </c>
      <c r="E24" s="320">
        <v>2900</v>
      </c>
      <c r="F24" s="320"/>
      <c r="G24" s="320">
        <v>11600</v>
      </c>
      <c r="H24" s="320">
        <v>450</v>
      </c>
      <c r="I24" s="322">
        <v>5</v>
      </c>
      <c r="J24" s="322">
        <v>1</v>
      </c>
      <c r="K24" s="320">
        <v>12</v>
      </c>
      <c r="L24" s="320">
        <v>24</v>
      </c>
      <c r="M24" s="320">
        <v>36</v>
      </c>
      <c r="N24" s="320">
        <v>48</v>
      </c>
      <c r="O24" s="320">
        <v>70</v>
      </c>
      <c r="P24" s="320">
        <v>100</v>
      </c>
      <c r="Q24" s="320">
        <v>0.96</v>
      </c>
      <c r="R24" s="320">
        <v>0.96</v>
      </c>
      <c r="S24" s="320">
        <v>0.96</v>
      </c>
      <c r="T24" s="320">
        <v>0.96</v>
      </c>
    </row>
    <row r="25" spans="1:20" x14ac:dyDescent="0.25">
      <c r="A25" s="330">
        <v>21</v>
      </c>
      <c r="B25" s="320" t="s">
        <v>3409</v>
      </c>
      <c r="C25" s="319" t="s">
        <v>197</v>
      </c>
      <c r="D25" s="320">
        <v>11600</v>
      </c>
      <c r="E25" s="320"/>
      <c r="F25" s="320"/>
      <c r="G25" s="320">
        <v>5800</v>
      </c>
      <c r="H25" s="320">
        <v>450</v>
      </c>
      <c r="I25" s="322">
        <v>5</v>
      </c>
      <c r="J25" s="322">
        <v>1</v>
      </c>
      <c r="K25" s="320"/>
      <c r="L25" s="320"/>
      <c r="M25" s="320"/>
      <c r="N25" s="320">
        <v>48</v>
      </c>
      <c r="O25" s="320">
        <f>G25*1.4</f>
        <v>8119.9999999999991</v>
      </c>
      <c r="P25" s="320">
        <v>100</v>
      </c>
      <c r="Q25" s="320">
        <v>0.96</v>
      </c>
      <c r="R25" s="320">
        <v>0.96</v>
      </c>
      <c r="S25" s="320">
        <v>0.96</v>
      </c>
      <c r="T25" s="320">
        <v>0.96</v>
      </c>
    </row>
    <row r="26" spans="1:20" x14ac:dyDescent="0.25">
      <c r="A26" s="330">
        <v>22</v>
      </c>
      <c r="B26" s="320" t="s">
        <v>3408</v>
      </c>
      <c r="C26" s="320" t="s">
        <v>210</v>
      </c>
      <c r="D26" s="320">
        <v>5000</v>
      </c>
      <c r="E26" s="320"/>
      <c r="F26" s="320"/>
      <c r="G26" s="320">
        <v>5000</v>
      </c>
      <c r="H26" s="320">
        <v>600</v>
      </c>
      <c r="I26" s="322"/>
      <c r="J26" s="322"/>
      <c r="K26" s="320"/>
      <c r="L26" s="320"/>
      <c r="M26" s="320"/>
      <c r="N26" s="320"/>
      <c r="O26" s="320">
        <v>10000</v>
      </c>
      <c r="P26" s="320"/>
      <c r="Q26" s="320">
        <v>0.98</v>
      </c>
      <c r="R26" s="320">
        <v>0.98</v>
      </c>
      <c r="S26" s="320">
        <v>0.98</v>
      </c>
      <c r="T26" s="320">
        <v>0.98</v>
      </c>
    </row>
    <row r="27" spans="1:20" x14ac:dyDescent="0.25">
      <c r="A27" s="330">
        <v>23</v>
      </c>
      <c r="B27" s="320" t="s">
        <v>4226</v>
      </c>
      <c r="C27" s="320" t="s">
        <v>210</v>
      </c>
      <c r="D27" s="320">
        <v>12500</v>
      </c>
      <c r="E27" s="320"/>
      <c r="F27" s="320"/>
      <c r="G27" s="320"/>
      <c r="H27" s="320"/>
      <c r="I27" s="322">
        <v>200</v>
      </c>
      <c r="J27" s="322">
        <v>800</v>
      </c>
      <c r="K27" s="320"/>
      <c r="L27" s="320"/>
      <c r="M27" s="320"/>
      <c r="N27" s="320"/>
      <c r="O27" s="320" t="s">
        <v>4228</v>
      </c>
      <c r="P27" s="320"/>
      <c r="Q27" s="320">
        <v>0.98</v>
      </c>
      <c r="R27" s="320"/>
      <c r="S27" s="320"/>
      <c r="T27" s="320"/>
    </row>
    <row r="28" spans="1:20" x14ac:dyDescent="0.25">
      <c r="A28" s="330">
        <v>24</v>
      </c>
      <c r="B28" s="320" t="s">
        <v>4229</v>
      </c>
      <c r="C28" s="320" t="s">
        <v>210</v>
      </c>
      <c r="D28" s="320">
        <v>15000</v>
      </c>
      <c r="E28" s="320"/>
      <c r="F28" s="320"/>
      <c r="G28" s="320"/>
      <c r="H28" s="320"/>
      <c r="I28" s="322">
        <v>200</v>
      </c>
      <c r="J28" s="322">
        <v>800</v>
      </c>
      <c r="K28" s="320"/>
      <c r="L28" s="320"/>
      <c r="M28" s="320"/>
      <c r="N28" s="320"/>
      <c r="O28" s="320" t="s">
        <v>4230</v>
      </c>
      <c r="P28" s="320"/>
      <c r="Q28" s="320"/>
      <c r="R28" s="320"/>
      <c r="S28" s="320"/>
      <c r="T28" s="320"/>
    </row>
    <row r="29" spans="1:20" x14ac:dyDescent="0.25">
      <c r="A29" s="330">
        <v>25</v>
      </c>
      <c r="B29" s="704"/>
      <c r="C29" s="704"/>
      <c r="D29" s="704"/>
      <c r="E29" s="704"/>
      <c r="F29" s="704"/>
      <c r="G29" s="704"/>
      <c r="H29" s="704"/>
      <c r="I29" s="709"/>
      <c r="J29" s="709"/>
      <c r="K29" s="704"/>
      <c r="L29" s="704"/>
      <c r="M29" s="704"/>
      <c r="N29" s="704"/>
      <c r="O29" s="704"/>
      <c r="P29" s="704"/>
      <c r="Q29" s="704"/>
      <c r="R29" s="704"/>
      <c r="S29" s="704"/>
      <c r="T29" s="704"/>
    </row>
    <row r="30" spans="1:20" x14ac:dyDescent="0.25">
      <c r="A30" s="330">
        <v>25</v>
      </c>
    </row>
    <row r="35" spans="1:20" x14ac:dyDescent="0.25">
      <c r="B35" s="326" t="s">
        <v>3407</v>
      </c>
      <c r="C35" s="324" t="s">
        <v>2</v>
      </c>
      <c r="D35" s="326" t="s">
        <v>3380</v>
      </c>
      <c r="E35" s="326" t="s">
        <v>3406</v>
      </c>
      <c r="F35" s="326" t="s">
        <v>3405</v>
      </c>
      <c r="G35" s="326" t="s">
        <v>3404</v>
      </c>
      <c r="H35" s="326" t="s">
        <v>3403</v>
      </c>
      <c r="I35" s="326" t="s">
        <v>3402</v>
      </c>
      <c r="J35" s="326" t="s">
        <v>3338</v>
      </c>
      <c r="K35" s="326" t="s">
        <v>3401</v>
      </c>
      <c r="L35" s="326" t="s">
        <v>3400</v>
      </c>
      <c r="M35" s="326" t="s">
        <v>3399</v>
      </c>
      <c r="N35" s="326" t="s">
        <v>3398</v>
      </c>
      <c r="O35" s="326" t="s">
        <v>3397</v>
      </c>
      <c r="P35" s="324" t="s">
        <v>14</v>
      </c>
      <c r="Q35" s="324" t="s">
        <v>3332</v>
      </c>
      <c r="R35" s="324" t="s">
        <v>3396</v>
      </c>
      <c r="S35" s="326" t="s">
        <v>3395</v>
      </c>
      <c r="T35" s="324" t="s">
        <v>3394</v>
      </c>
    </row>
    <row r="36" spans="1:20" x14ac:dyDescent="0.25">
      <c r="A36" s="336">
        <f t="shared" ref="A36:A46" si="0">F36</f>
        <v>2.4</v>
      </c>
      <c r="B36" s="320" t="s">
        <v>3393</v>
      </c>
      <c r="C36" s="319" t="s">
        <v>197</v>
      </c>
      <c r="D36" s="320">
        <v>48</v>
      </c>
      <c r="E36" s="320">
        <v>3000</v>
      </c>
      <c r="F36" s="319">
        <v>2.4</v>
      </c>
      <c r="G36" s="319">
        <v>5.5</v>
      </c>
      <c r="H36" s="319">
        <v>35</v>
      </c>
      <c r="I36" s="319">
        <v>32</v>
      </c>
      <c r="J36" s="320">
        <v>0.95</v>
      </c>
      <c r="K36" s="319">
        <v>11</v>
      </c>
      <c r="L36" s="320">
        <v>7</v>
      </c>
      <c r="M36" s="320">
        <v>2</v>
      </c>
      <c r="N36" s="319" t="s">
        <v>3112</v>
      </c>
      <c r="O36" s="319" t="s">
        <v>3112</v>
      </c>
      <c r="P36" s="319">
        <v>499</v>
      </c>
      <c r="Q36" s="320">
        <v>268</v>
      </c>
      <c r="R36" s="320">
        <v>141</v>
      </c>
      <c r="S36" s="319">
        <v>18</v>
      </c>
      <c r="T36" s="319">
        <v>1</v>
      </c>
    </row>
    <row r="37" spans="1:20" x14ac:dyDescent="0.25">
      <c r="A37" s="336">
        <f t="shared" si="0"/>
        <v>4</v>
      </c>
      <c r="B37" s="320" t="s">
        <v>3392</v>
      </c>
      <c r="C37" s="319" t="s">
        <v>197</v>
      </c>
      <c r="D37" s="320">
        <v>48</v>
      </c>
      <c r="E37" s="320">
        <v>5000</v>
      </c>
      <c r="F37" s="319">
        <v>4</v>
      </c>
      <c r="G37" s="319">
        <v>9</v>
      </c>
      <c r="H37" s="319">
        <v>35</v>
      </c>
      <c r="I37" s="319">
        <v>50</v>
      </c>
      <c r="J37" s="320">
        <v>0.96</v>
      </c>
      <c r="K37" s="319">
        <v>18</v>
      </c>
      <c r="L37" s="320">
        <v>12</v>
      </c>
      <c r="M37" s="320">
        <v>2</v>
      </c>
      <c r="N37" s="319" t="s">
        <v>3112</v>
      </c>
      <c r="O37" s="319" t="s">
        <v>3112</v>
      </c>
      <c r="P37" s="319">
        <v>560</v>
      </c>
      <c r="Q37" s="320">
        <v>320</v>
      </c>
      <c r="R37" s="320">
        <v>141</v>
      </c>
      <c r="S37" s="319">
        <v>29</v>
      </c>
      <c r="T37" s="319">
        <v>1</v>
      </c>
    </row>
    <row r="38" spans="1:20" x14ac:dyDescent="0.25">
      <c r="A38" s="336">
        <f t="shared" si="0"/>
        <v>4.8</v>
      </c>
      <c r="B38" s="320" t="s">
        <v>3391</v>
      </c>
      <c r="C38" s="319" t="s">
        <v>197</v>
      </c>
      <c r="D38" s="320">
        <v>48</v>
      </c>
      <c r="E38" s="320">
        <v>6000</v>
      </c>
      <c r="F38" s="319">
        <v>4.8</v>
      </c>
      <c r="G38" s="319">
        <v>11</v>
      </c>
      <c r="H38" s="319">
        <v>70</v>
      </c>
      <c r="I38" s="319">
        <v>64</v>
      </c>
      <c r="J38" s="320">
        <v>0.95</v>
      </c>
      <c r="K38" s="319">
        <v>22</v>
      </c>
      <c r="L38" s="320">
        <v>14</v>
      </c>
      <c r="M38" s="320">
        <v>4</v>
      </c>
      <c r="N38" s="319" t="s">
        <v>3112</v>
      </c>
      <c r="O38" s="319" t="s">
        <v>3112</v>
      </c>
      <c r="P38" s="319">
        <v>499</v>
      </c>
      <c r="Q38" s="320">
        <f>268*2+100</f>
        <v>636</v>
      </c>
      <c r="R38" s="320">
        <v>141</v>
      </c>
      <c r="S38" s="319">
        <f>18*2</f>
        <v>36</v>
      </c>
      <c r="T38" s="319">
        <v>2</v>
      </c>
    </row>
    <row r="39" spans="1:20" x14ac:dyDescent="0.25">
      <c r="A39" s="336">
        <f t="shared" si="0"/>
        <v>6.4</v>
      </c>
      <c r="B39" s="320" t="s">
        <v>3390</v>
      </c>
      <c r="C39" s="319" t="s">
        <v>197</v>
      </c>
      <c r="D39" s="320">
        <v>48</v>
      </c>
      <c r="E39" s="320">
        <v>8000</v>
      </c>
      <c r="F39" s="319">
        <v>6.4</v>
      </c>
      <c r="G39" s="319">
        <v>15</v>
      </c>
      <c r="H39" s="331">
        <v>110</v>
      </c>
      <c r="I39" s="331">
        <v>100</v>
      </c>
      <c r="J39" s="329">
        <v>0.96</v>
      </c>
      <c r="K39" s="331">
        <v>29</v>
      </c>
      <c r="L39" s="329">
        <v>19</v>
      </c>
      <c r="M39" s="329">
        <v>3</v>
      </c>
      <c r="N39" s="331" t="s">
        <v>3112</v>
      </c>
      <c r="O39" s="319" t="s">
        <v>3383</v>
      </c>
      <c r="P39" s="331">
        <v>642</v>
      </c>
      <c r="Q39" s="329">
        <v>363</v>
      </c>
      <c r="R39" s="329">
        <v>260</v>
      </c>
      <c r="S39" s="331">
        <v>49</v>
      </c>
      <c r="T39" s="319">
        <v>1</v>
      </c>
    </row>
    <row r="40" spans="1:20" x14ac:dyDescent="0.25">
      <c r="A40" s="336">
        <f t="shared" si="0"/>
        <v>8</v>
      </c>
      <c r="B40" s="320" t="s">
        <v>3389</v>
      </c>
      <c r="C40" s="319" t="s">
        <v>197</v>
      </c>
      <c r="D40" s="320">
        <v>48</v>
      </c>
      <c r="E40" s="320">
        <v>10000</v>
      </c>
      <c r="F40" s="319">
        <v>8</v>
      </c>
      <c r="G40" s="319">
        <v>18</v>
      </c>
      <c r="H40" s="319">
        <v>140</v>
      </c>
      <c r="I40" s="319">
        <v>100</v>
      </c>
      <c r="J40" s="320">
        <v>0.96</v>
      </c>
      <c r="K40" s="319">
        <v>38</v>
      </c>
      <c r="L40" s="320">
        <v>27</v>
      </c>
      <c r="M40" s="320">
        <v>4</v>
      </c>
      <c r="N40" s="319" t="s">
        <v>3112</v>
      </c>
      <c r="O40" s="319" t="s">
        <v>3112</v>
      </c>
      <c r="P40" s="319">
        <v>677</v>
      </c>
      <c r="Q40" s="320">
        <v>363</v>
      </c>
      <c r="R40" s="320">
        <v>206</v>
      </c>
      <c r="S40" s="319">
        <v>49</v>
      </c>
      <c r="T40" s="319">
        <v>1</v>
      </c>
    </row>
    <row r="41" spans="1:20" x14ac:dyDescent="0.25">
      <c r="A41" s="336">
        <f t="shared" si="0"/>
        <v>7.5</v>
      </c>
      <c r="B41" s="320" t="s">
        <v>3388</v>
      </c>
      <c r="C41" s="319" t="s">
        <v>208</v>
      </c>
      <c r="D41" s="320">
        <v>48</v>
      </c>
      <c r="E41" s="320">
        <v>7500</v>
      </c>
      <c r="F41" s="319">
        <v>7.5</v>
      </c>
      <c r="G41" s="319">
        <v>18</v>
      </c>
      <c r="H41" s="319">
        <v>156</v>
      </c>
      <c r="I41" s="319">
        <v>32.6</v>
      </c>
      <c r="J41" s="322">
        <v>0.96</v>
      </c>
      <c r="K41" s="319">
        <v>6</v>
      </c>
      <c r="L41" s="320"/>
      <c r="M41" s="320"/>
      <c r="N41" s="319"/>
      <c r="O41" s="319" t="s">
        <v>3112</v>
      </c>
      <c r="P41" s="319">
        <v>690</v>
      </c>
      <c r="Q41" s="320">
        <v>375</v>
      </c>
      <c r="R41" s="320">
        <v>220</v>
      </c>
      <c r="S41" s="320">
        <v>42</v>
      </c>
      <c r="T41" s="319">
        <v>1</v>
      </c>
    </row>
    <row r="42" spans="1:20" x14ac:dyDescent="0.25">
      <c r="A42" s="336">
        <f t="shared" si="0"/>
        <v>7.1999999999999993</v>
      </c>
      <c r="B42" s="320" t="s">
        <v>3387</v>
      </c>
      <c r="C42" s="319" t="s">
        <v>197</v>
      </c>
      <c r="D42" s="320">
        <v>48</v>
      </c>
      <c r="E42" s="320">
        <v>9000</v>
      </c>
      <c r="F42" s="319">
        <f>2.4*3</f>
        <v>7.1999999999999993</v>
      </c>
      <c r="G42" s="319">
        <v>11</v>
      </c>
      <c r="H42" s="319">
        <v>70</v>
      </c>
      <c r="I42" s="319">
        <v>64</v>
      </c>
      <c r="J42" s="320">
        <v>0.95</v>
      </c>
      <c r="K42" s="319">
        <v>22</v>
      </c>
      <c r="L42" s="320">
        <v>14</v>
      </c>
      <c r="M42" s="320">
        <v>4</v>
      </c>
      <c r="N42" s="319" t="s">
        <v>3112</v>
      </c>
      <c r="O42" s="319" t="s">
        <v>3112</v>
      </c>
      <c r="P42" s="319">
        <v>499</v>
      </c>
      <c r="Q42" s="320">
        <f>268*2+100</f>
        <v>636</v>
      </c>
      <c r="R42" s="320">
        <v>141</v>
      </c>
      <c r="S42" s="319">
        <f>18*2</f>
        <v>36</v>
      </c>
      <c r="T42" s="319">
        <v>3</v>
      </c>
    </row>
    <row r="43" spans="1:20" x14ac:dyDescent="0.25">
      <c r="A43" s="336">
        <f t="shared" si="0"/>
        <v>12</v>
      </c>
      <c r="B43" s="320" t="s">
        <v>3386</v>
      </c>
      <c r="C43" s="319" t="s">
        <v>197</v>
      </c>
      <c r="D43" s="320">
        <v>48</v>
      </c>
      <c r="E43" s="320">
        <v>15000</v>
      </c>
      <c r="F43" s="319">
        <v>12</v>
      </c>
      <c r="G43" s="319">
        <v>27</v>
      </c>
      <c r="H43" s="331">
        <v>210</v>
      </c>
      <c r="I43" s="331">
        <v>150</v>
      </c>
      <c r="J43" s="329">
        <v>0.96</v>
      </c>
      <c r="K43" s="331">
        <v>36</v>
      </c>
      <c r="L43" s="329">
        <v>24</v>
      </c>
      <c r="M43" s="329">
        <v>4</v>
      </c>
      <c r="N43" s="331" t="s">
        <v>3112</v>
      </c>
      <c r="O43" s="331" t="s">
        <v>3112</v>
      </c>
      <c r="P43" s="331">
        <v>560</v>
      </c>
      <c r="Q43" s="329">
        <f>320*2+100</f>
        <v>740</v>
      </c>
      <c r="R43" s="329">
        <v>141</v>
      </c>
      <c r="S43" s="331">
        <f>29*3</f>
        <v>87</v>
      </c>
      <c r="T43" s="319">
        <v>3</v>
      </c>
    </row>
    <row r="44" spans="1:20" x14ac:dyDescent="0.25">
      <c r="A44" s="336">
        <f t="shared" si="0"/>
        <v>6.4</v>
      </c>
      <c r="B44" s="320" t="s">
        <v>3385</v>
      </c>
      <c r="C44" s="319" t="s">
        <v>197</v>
      </c>
      <c r="D44" s="320">
        <v>48</v>
      </c>
      <c r="E44" s="320">
        <v>8000</v>
      </c>
      <c r="F44" s="319">
        <v>6.4</v>
      </c>
      <c r="G44" s="319">
        <v>16</v>
      </c>
      <c r="H44" s="331">
        <v>110</v>
      </c>
      <c r="I44" s="331">
        <v>100</v>
      </c>
      <c r="J44" s="329">
        <v>0.96</v>
      </c>
      <c r="K44" s="331">
        <v>29</v>
      </c>
      <c r="L44" s="329">
        <v>19</v>
      </c>
      <c r="M44" s="329">
        <v>3</v>
      </c>
      <c r="N44" s="331" t="s">
        <v>3112</v>
      </c>
      <c r="O44" s="319" t="s">
        <v>3383</v>
      </c>
      <c r="P44" s="331">
        <v>642</v>
      </c>
      <c r="Q44" s="329">
        <v>363</v>
      </c>
      <c r="R44" s="329">
        <v>260</v>
      </c>
      <c r="S44" s="331">
        <v>49</v>
      </c>
      <c r="T44" s="319">
        <v>1</v>
      </c>
    </row>
    <row r="45" spans="1:20" x14ac:dyDescent="0.25">
      <c r="A45" s="336">
        <f t="shared" si="0"/>
        <v>12</v>
      </c>
      <c r="B45" s="320" t="s">
        <v>3384</v>
      </c>
      <c r="C45" s="319" t="s">
        <v>197</v>
      </c>
      <c r="D45" s="320">
        <v>48</v>
      </c>
      <c r="E45" s="320">
        <v>15000</v>
      </c>
      <c r="F45" s="319">
        <v>12</v>
      </c>
      <c r="G45" s="319">
        <v>25</v>
      </c>
      <c r="H45" s="331">
        <v>200</v>
      </c>
      <c r="I45" s="331">
        <v>100</v>
      </c>
      <c r="J45" s="329">
        <v>0.96</v>
      </c>
      <c r="K45" s="331">
        <v>110</v>
      </c>
      <c r="L45" s="329">
        <v>75</v>
      </c>
      <c r="M45" s="329">
        <v>20</v>
      </c>
      <c r="N45" s="331" t="s">
        <v>3112</v>
      </c>
      <c r="O45" s="331" t="s">
        <v>3383</v>
      </c>
      <c r="P45" s="321">
        <v>560</v>
      </c>
      <c r="Q45" s="332">
        <v>320</v>
      </c>
      <c r="R45" s="332">
        <v>141</v>
      </c>
      <c r="S45" s="331">
        <v>72</v>
      </c>
      <c r="T45" s="319">
        <v>1</v>
      </c>
    </row>
    <row r="46" spans="1:20" x14ac:dyDescent="0.25">
      <c r="A46" s="336">
        <f t="shared" si="0"/>
        <v>6</v>
      </c>
      <c r="B46" s="320" t="s">
        <v>3382</v>
      </c>
      <c r="C46" s="319" t="s">
        <v>212</v>
      </c>
      <c r="D46" s="320">
        <v>48</v>
      </c>
      <c r="E46" s="320">
        <v>8000</v>
      </c>
      <c r="F46" s="319">
        <v>6</v>
      </c>
      <c r="G46" s="319">
        <v>11.5</v>
      </c>
      <c r="H46" s="331">
        <v>140</v>
      </c>
      <c r="I46" s="331">
        <v>100</v>
      </c>
      <c r="J46" s="329">
        <v>0.96</v>
      </c>
      <c r="K46" s="331">
        <v>29</v>
      </c>
      <c r="L46" s="329"/>
      <c r="M46" s="329"/>
      <c r="N46" s="331" t="s">
        <v>3112</v>
      </c>
      <c r="O46" s="331" t="s">
        <v>3112</v>
      </c>
      <c r="P46" s="331">
        <v>612</v>
      </c>
      <c r="Q46" s="329">
        <v>467</v>
      </c>
      <c r="R46" s="329">
        <v>242</v>
      </c>
      <c r="S46" s="331">
        <v>63</v>
      </c>
      <c r="T46" s="319">
        <v>1</v>
      </c>
    </row>
    <row r="49" spans="1:20" x14ac:dyDescent="0.25">
      <c r="B49" s="326" t="s">
        <v>3381</v>
      </c>
      <c r="C49" s="326" t="s">
        <v>3380</v>
      </c>
      <c r="D49" s="326" t="s">
        <v>3379</v>
      </c>
      <c r="E49" s="326" t="s">
        <v>3378</v>
      </c>
      <c r="F49" s="326" t="s">
        <v>3377</v>
      </c>
      <c r="G49" s="326" t="s">
        <v>3376</v>
      </c>
      <c r="H49" s="335" t="s">
        <v>3375</v>
      </c>
      <c r="I49" s="335" t="s">
        <v>3374</v>
      </c>
      <c r="J49" s="335" t="s">
        <v>3373</v>
      </c>
      <c r="K49" s="324" t="s">
        <v>14</v>
      </c>
      <c r="L49" s="324" t="s">
        <v>3332</v>
      </c>
      <c r="M49" s="324" t="s">
        <v>16</v>
      </c>
      <c r="N49" s="324" t="s">
        <v>3331</v>
      </c>
      <c r="O49" s="324" t="s">
        <v>3160</v>
      </c>
      <c r="P49" s="324" t="s">
        <v>3372</v>
      </c>
      <c r="Q49" s="324" t="s">
        <v>3371</v>
      </c>
      <c r="R49" s="324" t="s">
        <v>3370</v>
      </c>
      <c r="S49" s="324" t="s">
        <v>3248</v>
      </c>
      <c r="T49" s="324" t="s">
        <v>3369</v>
      </c>
    </row>
    <row r="50" spans="1:20" x14ac:dyDescent="0.25">
      <c r="A50" s="330">
        <v>1</v>
      </c>
      <c r="B50" s="320" t="s">
        <v>3368</v>
      </c>
      <c r="C50" s="320">
        <v>12</v>
      </c>
      <c r="D50" s="320">
        <v>60</v>
      </c>
      <c r="E50" s="331">
        <v>52</v>
      </c>
      <c r="F50" s="331">
        <v>56</v>
      </c>
      <c r="G50" s="329" t="s">
        <v>3367</v>
      </c>
      <c r="H50" s="329">
        <v>1200</v>
      </c>
      <c r="I50" s="329">
        <v>850</v>
      </c>
      <c r="J50" s="329">
        <v>300</v>
      </c>
      <c r="K50" s="332">
        <v>336</v>
      </c>
      <c r="L50" s="321">
        <v>172</v>
      </c>
      <c r="M50" s="321">
        <v>280</v>
      </c>
      <c r="N50" s="321">
        <v>45</v>
      </c>
      <c r="O50" s="328">
        <v>1</v>
      </c>
      <c r="P50" s="331">
        <v>14.6</v>
      </c>
      <c r="Q50" s="331">
        <v>0.2</v>
      </c>
      <c r="R50" s="331">
        <v>0.5</v>
      </c>
      <c r="S50" s="331">
        <f>MROUND(E50*0.98*35, 5)</f>
        <v>1785</v>
      </c>
      <c r="T50" s="319" t="s">
        <v>163</v>
      </c>
    </row>
    <row r="51" spans="1:20" x14ac:dyDescent="0.25">
      <c r="A51" s="330">
        <v>2</v>
      </c>
      <c r="B51" s="320" t="s">
        <v>3366</v>
      </c>
      <c r="C51" s="320">
        <v>12</v>
      </c>
      <c r="D51" s="320">
        <v>100</v>
      </c>
      <c r="E51" s="331">
        <v>82</v>
      </c>
      <c r="F51" s="331">
        <v>90</v>
      </c>
      <c r="G51" s="332" t="s">
        <v>3347</v>
      </c>
      <c r="H51" s="329">
        <v>1200</v>
      </c>
      <c r="I51" s="329">
        <v>850</v>
      </c>
      <c r="J51" s="329">
        <v>300</v>
      </c>
      <c r="K51" s="332">
        <v>336</v>
      </c>
      <c r="L51" s="321">
        <v>172</v>
      </c>
      <c r="M51" s="321">
        <v>280</v>
      </c>
      <c r="N51" s="321">
        <v>45</v>
      </c>
      <c r="O51" s="328">
        <v>1</v>
      </c>
      <c r="P51" s="331">
        <v>14.6</v>
      </c>
      <c r="Q51" s="331">
        <v>0.2</v>
      </c>
      <c r="R51" s="331">
        <v>0.5</v>
      </c>
      <c r="S51" s="331">
        <f>MROUND(E51*0.98*35, 5)</f>
        <v>2815</v>
      </c>
      <c r="T51" s="319" t="s">
        <v>163</v>
      </c>
    </row>
    <row r="52" spans="1:20" x14ac:dyDescent="0.25">
      <c r="A52" s="330">
        <v>3</v>
      </c>
      <c r="B52" s="320" t="s">
        <v>3365</v>
      </c>
      <c r="C52" s="320">
        <v>12</v>
      </c>
      <c r="D52" s="320">
        <v>160</v>
      </c>
      <c r="E52" s="331">
        <v>150</v>
      </c>
      <c r="F52" s="331">
        <v>114</v>
      </c>
      <c r="G52" s="332" t="s">
        <v>3347</v>
      </c>
      <c r="H52" s="329">
        <v>1200</v>
      </c>
      <c r="I52" s="329">
        <v>850</v>
      </c>
      <c r="J52" s="329">
        <v>300</v>
      </c>
      <c r="K52" s="332">
        <v>336</v>
      </c>
      <c r="L52" s="321">
        <v>172</v>
      </c>
      <c r="M52" s="321">
        <v>280</v>
      </c>
      <c r="N52" s="321">
        <v>45</v>
      </c>
      <c r="O52" s="328">
        <v>1</v>
      </c>
      <c r="P52" s="331">
        <v>14.6</v>
      </c>
      <c r="Q52" s="331">
        <v>0.2</v>
      </c>
      <c r="R52" s="331">
        <v>0.5</v>
      </c>
      <c r="S52" s="331">
        <f>MROUND(E52*0.98*35, 5)</f>
        <v>5145</v>
      </c>
      <c r="T52" s="319" t="s">
        <v>3355</v>
      </c>
    </row>
    <row r="53" spans="1:20" x14ac:dyDescent="0.25">
      <c r="A53" s="330">
        <v>4</v>
      </c>
      <c r="B53" s="320" t="s">
        <v>3364</v>
      </c>
      <c r="C53" s="320">
        <v>12</v>
      </c>
      <c r="D53" s="320">
        <v>170</v>
      </c>
      <c r="E53" s="331">
        <v>145</v>
      </c>
      <c r="F53" s="331">
        <v>153</v>
      </c>
      <c r="G53" s="320" t="s">
        <v>3347</v>
      </c>
      <c r="H53" s="320">
        <v>1200</v>
      </c>
      <c r="I53" s="320">
        <v>850</v>
      </c>
      <c r="J53" s="320">
        <v>300</v>
      </c>
      <c r="K53" s="320">
        <v>336</v>
      </c>
      <c r="L53" s="319">
        <v>172</v>
      </c>
      <c r="M53" s="319">
        <v>280</v>
      </c>
      <c r="N53" s="319">
        <v>45</v>
      </c>
      <c r="O53" s="328">
        <v>1</v>
      </c>
      <c r="P53" s="331">
        <v>14.6</v>
      </c>
      <c r="Q53" s="331">
        <v>0.2</v>
      </c>
      <c r="R53" s="331">
        <v>0.5</v>
      </c>
      <c r="S53" s="331">
        <f>MROUND(E53*0.98*35, 5)</f>
        <v>4975</v>
      </c>
      <c r="T53" s="319" t="s">
        <v>163</v>
      </c>
    </row>
    <row r="54" spans="1:20" x14ac:dyDescent="0.25">
      <c r="A54" s="330">
        <v>5</v>
      </c>
      <c r="B54" s="320" t="s">
        <v>3363</v>
      </c>
      <c r="C54" s="320">
        <v>12</v>
      </c>
      <c r="D54" s="320">
        <v>230</v>
      </c>
      <c r="E54" s="331">
        <v>200</v>
      </c>
      <c r="F54" s="331">
        <v>210</v>
      </c>
      <c r="G54" s="329" t="s">
        <v>3347</v>
      </c>
      <c r="H54" s="329">
        <v>1200</v>
      </c>
      <c r="I54" s="329">
        <v>850</v>
      </c>
      <c r="J54" s="329">
        <v>300</v>
      </c>
      <c r="K54" s="332">
        <v>336</v>
      </c>
      <c r="L54" s="321">
        <v>172</v>
      </c>
      <c r="M54" s="321">
        <v>280</v>
      </c>
      <c r="N54" s="321">
        <v>45</v>
      </c>
      <c r="O54" s="328">
        <v>1</v>
      </c>
      <c r="P54" s="331">
        <v>14.6</v>
      </c>
      <c r="Q54" s="331">
        <v>0.2</v>
      </c>
      <c r="R54" s="331">
        <v>0.5</v>
      </c>
      <c r="S54" s="331">
        <f>MROUND(E54*0.98*35, 5)</f>
        <v>6860</v>
      </c>
      <c r="T54" s="319" t="s">
        <v>163</v>
      </c>
    </row>
    <row r="55" spans="1:20" x14ac:dyDescent="0.25">
      <c r="A55" s="330">
        <v>6</v>
      </c>
      <c r="B55" s="320" t="s">
        <v>3362</v>
      </c>
      <c r="C55" s="320">
        <v>2</v>
      </c>
      <c r="D55" s="320">
        <v>624</v>
      </c>
      <c r="E55" s="331">
        <v>524</v>
      </c>
      <c r="F55" s="331">
        <v>543</v>
      </c>
      <c r="G55" s="329" t="s">
        <v>3350</v>
      </c>
      <c r="H55" s="329">
        <v>4000</v>
      </c>
      <c r="I55" s="329">
        <v>3200</v>
      </c>
      <c r="J55" s="329">
        <v>2500</v>
      </c>
      <c r="K55" s="332">
        <v>336</v>
      </c>
      <c r="L55" s="321">
        <v>172</v>
      </c>
      <c r="M55" s="321">
        <v>280</v>
      </c>
      <c r="N55" s="321">
        <v>60</v>
      </c>
      <c r="O55" s="328">
        <v>1</v>
      </c>
      <c r="P55" s="331">
        <v>2.4</v>
      </c>
      <c r="Q55" s="331">
        <v>0.2</v>
      </c>
      <c r="R55" s="331">
        <v>0.4</v>
      </c>
      <c r="S55" s="331">
        <v>4050</v>
      </c>
      <c r="T55" s="319" t="s">
        <v>162</v>
      </c>
    </row>
    <row r="56" spans="1:20" x14ac:dyDescent="0.25">
      <c r="A56" s="330">
        <v>7</v>
      </c>
      <c r="B56" s="320" t="s">
        <v>199</v>
      </c>
      <c r="C56" s="320">
        <v>51</v>
      </c>
      <c r="D56" s="320">
        <v>100</v>
      </c>
      <c r="E56" s="331">
        <v>100</v>
      </c>
      <c r="F56" s="331">
        <v>100</v>
      </c>
      <c r="G56" s="329" t="s">
        <v>3347</v>
      </c>
      <c r="H56" s="329">
        <v>1000</v>
      </c>
      <c r="I56" s="329">
        <v>6000</v>
      </c>
      <c r="J56" s="329">
        <v>6000</v>
      </c>
      <c r="K56" s="329">
        <v>570</v>
      </c>
      <c r="L56" s="331">
        <v>420</v>
      </c>
      <c r="M56" s="331">
        <v>132</v>
      </c>
      <c r="N56" s="331">
        <v>38</v>
      </c>
      <c r="O56" s="328">
        <v>1</v>
      </c>
      <c r="P56" s="331">
        <v>58</v>
      </c>
      <c r="Q56" s="331">
        <v>0.5</v>
      </c>
      <c r="R56" s="331">
        <v>1</v>
      </c>
      <c r="S56" s="331">
        <v>200</v>
      </c>
      <c r="T56" s="319" t="s">
        <v>161</v>
      </c>
    </row>
    <row r="57" spans="1:20" x14ac:dyDescent="0.25">
      <c r="A57" s="330">
        <v>8</v>
      </c>
      <c r="B57" s="320" t="s">
        <v>3361</v>
      </c>
      <c r="C57" s="320">
        <v>2</v>
      </c>
      <c r="D57" s="320">
        <v>820</v>
      </c>
      <c r="E57" s="331">
        <v>650</v>
      </c>
      <c r="F57" s="331">
        <v>750</v>
      </c>
      <c r="G57" s="329" t="s">
        <v>3350</v>
      </c>
      <c r="H57" s="329">
        <v>3200</v>
      </c>
      <c r="I57" s="329">
        <v>2500</v>
      </c>
      <c r="J57" s="329">
        <v>1500</v>
      </c>
      <c r="K57" s="329">
        <v>206</v>
      </c>
      <c r="L57" s="331">
        <v>145</v>
      </c>
      <c r="M57" s="331">
        <v>698</v>
      </c>
      <c r="N57" s="331">
        <v>49</v>
      </c>
      <c r="O57" s="328">
        <v>1</v>
      </c>
      <c r="P57" s="331">
        <v>2.4</v>
      </c>
      <c r="Q57" s="331">
        <v>0.2</v>
      </c>
      <c r="R57" s="331">
        <v>0.4</v>
      </c>
      <c r="S57" s="331">
        <v>6200</v>
      </c>
      <c r="T57" s="319" t="s">
        <v>162</v>
      </c>
    </row>
    <row r="58" spans="1:20" x14ac:dyDescent="0.25">
      <c r="A58" s="330">
        <v>9</v>
      </c>
      <c r="B58" s="320" t="s">
        <v>3360</v>
      </c>
      <c r="C58" s="320">
        <v>12</v>
      </c>
      <c r="D58" s="320">
        <v>120</v>
      </c>
      <c r="E58" s="319">
        <v>95</v>
      </c>
      <c r="F58" s="319">
        <v>90</v>
      </c>
      <c r="G58" s="320" t="s">
        <v>3359</v>
      </c>
      <c r="H58" s="329">
        <v>1800</v>
      </c>
      <c r="I58" s="329">
        <v>1500</v>
      </c>
      <c r="J58" s="320">
        <v>1300</v>
      </c>
      <c r="K58" s="320">
        <v>306</v>
      </c>
      <c r="L58" s="319">
        <v>168</v>
      </c>
      <c r="M58" s="319">
        <v>211</v>
      </c>
      <c r="N58" s="319">
        <v>28</v>
      </c>
      <c r="O58" s="328">
        <v>1</v>
      </c>
      <c r="P58" s="319">
        <v>14.4</v>
      </c>
      <c r="Q58" s="319">
        <v>0.2</v>
      </c>
      <c r="R58" s="319">
        <v>0.3</v>
      </c>
      <c r="S58" s="319">
        <f>35*D58</f>
        <v>4200</v>
      </c>
      <c r="T58" s="319" t="s">
        <v>3355</v>
      </c>
    </row>
    <row r="59" spans="1:20" x14ac:dyDescent="0.25">
      <c r="A59" s="330">
        <v>10</v>
      </c>
      <c r="B59" s="320" t="s">
        <v>3358</v>
      </c>
      <c r="C59" s="320">
        <v>12</v>
      </c>
      <c r="D59" s="320">
        <v>218</v>
      </c>
      <c r="E59" s="319">
        <v>184</v>
      </c>
      <c r="F59" s="319">
        <v>200</v>
      </c>
      <c r="G59" s="320" t="s">
        <v>3347</v>
      </c>
      <c r="H59" s="329">
        <v>1800</v>
      </c>
      <c r="I59" s="329">
        <v>1500</v>
      </c>
      <c r="J59" s="320">
        <v>1300</v>
      </c>
      <c r="K59" s="320">
        <v>522</v>
      </c>
      <c r="L59" s="319">
        <v>240</v>
      </c>
      <c r="M59" s="319">
        <v>219</v>
      </c>
      <c r="N59" s="319">
        <v>61</v>
      </c>
      <c r="O59" s="328">
        <v>1</v>
      </c>
      <c r="P59" s="319">
        <v>14.4</v>
      </c>
      <c r="Q59" s="319">
        <v>0.2</v>
      </c>
      <c r="R59" s="319">
        <v>0.3</v>
      </c>
      <c r="S59" s="319">
        <v>7000</v>
      </c>
      <c r="T59" s="319" t="s">
        <v>3355</v>
      </c>
    </row>
    <row r="60" spans="1:20" x14ac:dyDescent="0.25">
      <c r="A60" s="330">
        <v>11</v>
      </c>
      <c r="B60" s="320" t="s">
        <v>3357</v>
      </c>
      <c r="C60" s="320">
        <v>52</v>
      </c>
      <c r="D60" s="320">
        <v>57.8</v>
      </c>
      <c r="E60" s="319"/>
      <c r="F60" s="319"/>
      <c r="G60" s="320" t="s">
        <v>3356</v>
      </c>
      <c r="H60" s="329">
        <v>10000</v>
      </c>
      <c r="I60" s="329">
        <v>10000</v>
      </c>
      <c r="J60" s="320">
        <v>2500</v>
      </c>
      <c r="K60" s="320">
        <v>570</v>
      </c>
      <c r="L60" s="319">
        <v>420</v>
      </c>
      <c r="M60" s="319">
        <v>88</v>
      </c>
      <c r="N60" s="319">
        <v>35</v>
      </c>
      <c r="O60" s="333">
        <v>1</v>
      </c>
      <c r="P60" s="319">
        <v>58</v>
      </c>
      <c r="Q60" s="319">
        <v>0.5</v>
      </c>
      <c r="R60" s="319">
        <v>1</v>
      </c>
      <c r="S60" s="319">
        <v>200</v>
      </c>
      <c r="T60" s="319" t="s">
        <v>3355</v>
      </c>
    </row>
    <row r="61" spans="1:20" x14ac:dyDescent="0.25">
      <c r="A61" s="330">
        <v>12</v>
      </c>
      <c r="B61" s="320" t="s">
        <v>3354</v>
      </c>
      <c r="C61" s="320">
        <v>51.2</v>
      </c>
      <c r="D61" s="320">
        <v>78</v>
      </c>
      <c r="E61" s="319">
        <v>78</v>
      </c>
      <c r="F61" s="319">
        <v>78</v>
      </c>
      <c r="G61" s="320" t="s">
        <v>3352</v>
      </c>
      <c r="H61" s="329"/>
      <c r="I61" s="329">
        <v>10000</v>
      </c>
      <c r="J61" s="329">
        <v>2700</v>
      </c>
      <c r="K61" s="329">
        <v>635</v>
      </c>
      <c r="L61" s="329">
        <v>434</v>
      </c>
      <c r="M61" s="329">
        <v>88</v>
      </c>
      <c r="N61" s="329">
        <v>41</v>
      </c>
      <c r="O61" s="333">
        <v>0.8</v>
      </c>
      <c r="P61" s="319">
        <v>56</v>
      </c>
      <c r="Q61" s="319">
        <v>0.5</v>
      </c>
      <c r="R61" s="334">
        <v>0.80769230769230771</v>
      </c>
      <c r="S61" s="319">
        <v>200</v>
      </c>
      <c r="T61" s="319" t="s">
        <v>161</v>
      </c>
    </row>
    <row r="62" spans="1:20" x14ac:dyDescent="0.25">
      <c r="A62" s="330">
        <v>13</v>
      </c>
      <c r="B62" s="320" t="s">
        <v>3353</v>
      </c>
      <c r="C62" s="320">
        <v>51.2</v>
      </c>
      <c r="D62" s="320">
        <v>64</v>
      </c>
      <c r="E62" s="319">
        <v>64</v>
      </c>
      <c r="F62" s="319">
        <v>64</v>
      </c>
      <c r="G62" s="320" t="s">
        <v>3352</v>
      </c>
      <c r="H62" s="329"/>
      <c r="I62" s="329">
        <v>10000</v>
      </c>
      <c r="J62" s="329">
        <v>2700</v>
      </c>
      <c r="K62" s="329">
        <v>635</v>
      </c>
      <c r="L62" s="329">
        <v>434</v>
      </c>
      <c r="M62" s="329">
        <v>88</v>
      </c>
      <c r="N62" s="329">
        <v>41</v>
      </c>
      <c r="O62" s="333">
        <v>0.8</v>
      </c>
      <c r="P62" s="319">
        <v>56</v>
      </c>
      <c r="Q62" s="319">
        <v>0.93</v>
      </c>
      <c r="R62" s="319">
        <v>1.07</v>
      </c>
      <c r="S62" s="319">
        <v>200</v>
      </c>
      <c r="T62" s="319" t="s">
        <v>161</v>
      </c>
    </row>
    <row r="63" spans="1:20" x14ac:dyDescent="0.25">
      <c r="A63" s="330">
        <v>14</v>
      </c>
      <c r="B63" s="320" t="s">
        <v>3351</v>
      </c>
      <c r="C63" s="320">
        <v>2</v>
      </c>
      <c r="D63" s="320">
        <v>958</v>
      </c>
      <c r="E63" s="331">
        <v>795</v>
      </c>
      <c r="F63" s="331">
        <v>895</v>
      </c>
      <c r="G63" s="329" t="s">
        <v>3350</v>
      </c>
      <c r="H63" s="329">
        <v>4000</v>
      </c>
      <c r="I63" s="329">
        <v>2600</v>
      </c>
      <c r="J63" s="329">
        <v>1200</v>
      </c>
      <c r="K63" s="332">
        <v>210</v>
      </c>
      <c r="L63" s="321">
        <v>191</v>
      </c>
      <c r="M63" s="321">
        <v>657</v>
      </c>
      <c r="N63" s="321">
        <v>66.5</v>
      </c>
      <c r="O63" s="328">
        <v>1</v>
      </c>
      <c r="P63" s="331">
        <v>2.4</v>
      </c>
      <c r="Q63" s="331">
        <v>0.2</v>
      </c>
      <c r="R63" s="331">
        <v>0.4</v>
      </c>
      <c r="S63" s="331">
        <v>4550</v>
      </c>
      <c r="T63" s="319" t="s">
        <v>162</v>
      </c>
    </row>
    <row r="64" spans="1:20" x14ac:dyDescent="0.25">
      <c r="A64" s="330">
        <v>15</v>
      </c>
      <c r="B64" s="320" t="s">
        <v>3349</v>
      </c>
      <c r="C64" s="320">
        <v>2</v>
      </c>
      <c r="D64" s="320">
        <v>636</v>
      </c>
      <c r="E64" s="331">
        <v>517</v>
      </c>
      <c r="F64" s="331">
        <v>600</v>
      </c>
      <c r="G64" s="329" t="s">
        <v>3347</v>
      </c>
      <c r="H64" s="329">
        <v>4000</v>
      </c>
      <c r="I64" s="329">
        <v>2500</v>
      </c>
      <c r="J64" s="329">
        <v>900</v>
      </c>
      <c r="K64" s="329">
        <v>191</v>
      </c>
      <c r="L64" s="331">
        <v>210</v>
      </c>
      <c r="M64" s="331">
        <v>681</v>
      </c>
      <c r="N64" s="331">
        <v>60</v>
      </c>
      <c r="O64" s="328">
        <v>0.95</v>
      </c>
      <c r="P64" s="331">
        <v>2.4</v>
      </c>
      <c r="Q64" s="331">
        <v>0.2</v>
      </c>
      <c r="R64" s="331">
        <v>0.4</v>
      </c>
      <c r="S64" s="331">
        <v>4300</v>
      </c>
      <c r="T64" s="319" t="s">
        <v>162</v>
      </c>
    </row>
    <row r="65" spans="1:20" x14ac:dyDescent="0.25">
      <c r="A65" s="330">
        <v>16</v>
      </c>
      <c r="B65" s="320" t="s">
        <v>3348</v>
      </c>
      <c r="C65" s="320">
        <v>48</v>
      </c>
      <c r="D65" s="320">
        <v>100</v>
      </c>
      <c r="E65" s="319">
        <v>100</v>
      </c>
      <c r="F65" s="319">
        <v>100</v>
      </c>
      <c r="G65" s="320" t="s">
        <v>3347</v>
      </c>
      <c r="H65" s="329">
        <v>10000</v>
      </c>
      <c r="I65" s="329">
        <v>3500</v>
      </c>
      <c r="J65" s="320">
        <v>2000</v>
      </c>
      <c r="K65" s="320">
        <v>442</v>
      </c>
      <c r="L65" s="319">
        <v>450</v>
      </c>
      <c r="M65" s="319">
        <v>132</v>
      </c>
      <c r="N65" s="319">
        <v>32</v>
      </c>
      <c r="O65" s="328">
        <v>0.98</v>
      </c>
      <c r="P65" s="319">
        <v>54</v>
      </c>
      <c r="Q65" s="319">
        <v>0.5</v>
      </c>
      <c r="R65" s="319">
        <v>1</v>
      </c>
      <c r="S65" s="319">
        <v>2500</v>
      </c>
      <c r="T65" s="319" t="s">
        <v>161</v>
      </c>
    </row>
    <row r="66" spans="1:20" x14ac:dyDescent="0.25"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</row>
    <row r="68" spans="1:20" x14ac:dyDescent="0.25">
      <c r="A68" s="327" t="s">
        <v>3106</v>
      </c>
      <c r="B68" s="326" t="s">
        <v>3346</v>
      </c>
      <c r="C68" s="326" t="s">
        <v>3345</v>
      </c>
      <c r="D68" s="326" t="s">
        <v>3344</v>
      </c>
      <c r="E68" s="326" t="s">
        <v>3343</v>
      </c>
      <c r="F68" s="326" t="s">
        <v>3342</v>
      </c>
      <c r="G68" s="326" t="s">
        <v>3341</v>
      </c>
      <c r="H68" s="326" t="s">
        <v>3340</v>
      </c>
      <c r="I68" s="326" t="s">
        <v>3339</v>
      </c>
      <c r="J68" s="326" t="s">
        <v>3338</v>
      </c>
      <c r="K68" s="326" t="s">
        <v>3337</v>
      </c>
      <c r="L68" s="326" t="s">
        <v>3336</v>
      </c>
      <c r="M68" s="325" t="s">
        <v>3335</v>
      </c>
      <c r="N68" s="325" t="s">
        <v>3334</v>
      </c>
      <c r="O68" s="325" t="s">
        <v>3139</v>
      </c>
      <c r="P68" s="325" t="s">
        <v>3333</v>
      </c>
      <c r="Q68" s="324" t="s">
        <v>14</v>
      </c>
      <c r="R68" s="324" t="s">
        <v>3332</v>
      </c>
      <c r="S68" s="324" t="s">
        <v>3063</v>
      </c>
      <c r="T68" s="324" t="s">
        <v>3331</v>
      </c>
    </row>
    <row r="69" spans="1:20" x14ac:dyDescent="0.25">
      <c r="A69" s="323">
        <v>1</v>
      </c>
      <c r="B69" s="320" t="str">
        <f>C69&amp;" "&amp;E69&amp;"W "&amp;O69&amp;" "&amp;P69</f>
        <v>Trina 415W Mono PERC</v>
      </c>
      <c r="C69" s="320" t="s">
        <v>205</v>
      </c>
      <c r="D69" s="320" t="s">
        <v>3330</v>
      </c>
      <c r="E69" s="319">
        <v>415</v>
      </c>
      <c r="F69" s="322">
        <v>41.7</v>
      </c>
      <c r="G69" s="320">
        <v>9.94</v>
      </c>
      <c r="H69" s="322">
        <v>50</v>
      </c>
      <c r="I69" s="320">
        <v>10.55</v>
      </c>
      <c r="J69" s="320">
        <v>20.8</v>
      </c>
      <c r="K69" s="320">
        <v>20</v>
      </c>
      <c r="L69" s="319">
        <v>5</v>
      </c>
      <c r="M69" s="319">
        <v>-0.25</v>
      </c>
      <c r="N69" s="321">
        <v>-0.34</v>
      </c>
      <c r="O69" s="320" t="s">
        <v>3318</v>
      </c>
      <c r="P69" s="320" t="s">
        <v>3317</v>
      </c>
      <c r="Q69" s="320">
        <v>1762</v>
      </c>
      <c r="R69" s="319">
        <v>1134</v>
      </c>
      <c r="S69" s="319">
        <v>30</v>
      </c>
      <c r="T69" s="319">
        <v>21.8</v>
      </c>
    </row>
    <row r="70" spans="1:20" x14ac:dyDescent="0.25">
      <c r="A70" s="323">
        <v>2</v>
      </c>
      <c r="B70" s="320" t="s">
        <v>3329</v>
      </c>
      <c r="C70" s="320" t="s">
        <v>205</v>
      </c>
      <c r="D70" s="320" t="s">
        <v>3328</v>
      </c>
      <c r="E70" s="319">
        <v>500</v>
      </c>
      <c r="F70" s="322" t="s">
        <v>3327</v>
      </c>
      <c r="G70" s="320">
        <v>11.69</v>
      </c>
      <c r="H70" s="322">
        <v>51.7</v>
      </c>
      <c r="I70" s="320">
        <v>12.28</v>
      </c>
      <c r="J70" s="320">
        <v>15.67</v>
      </c>
      <c r="K70" s="320">
        <v>15</v>
      </c>
      <c r="L70" s="319">
        <v>5</v>
      </c>
      <c r="M70" s="319">
        <v>-0.26</v>
      </c>
      <c r="N70" s="321">
        <v>-0.36</v>
      </c>
      <c r="O70" s="320" t="s">
        <v>3318</v>
      </c>
      <c r="P70" s="320" t="s">
        <v>3317</v>
      </c>
      <c r="Q70" s="320">
        <v>2176</v>
      </c>
      <c r="R70" s="319">
        <v>1098</v>
      </c>
      <c r="S70" s="319">
        <v>35</v>
      </c>
      <c r="T70" s="319">
        <v>26.3</v>
      </c>
    </row>
    <row r="71" spans="1:20" x14ac:dyDescent="0.25">
      <c r="A71" s="323">
        <v>3</v>
      </c>
      <c r="B71" s="320" t="s">
        <v>3329</v>
      </c>
      <c r="C71" s="320" t="s">
        <v>205</v>
      </c>
      <c r="D71" s="320" t="s">
        <v>3328</v>
      </c>
      <c r="E71" s="319">
        <v>500</v>
      </c>
      <c r="F71" s="322" t="s">
        <v>3327</v>
      </c>
      <c r="G71" s="320">
        <v>11.69</v>
      </c>
      <c r="H71" s="322">
        <v>51.7</v>
      </c>
      <c r="I71" s="320">
        <v>12.28</v>
      </c>
      <c r="J71" s="320">
        <v>15.67</v>
      </c>
      <c r="K71" s="320">
        <v>15</v>
      </c>
      <c r="L71" s="319">
        <v>5</v>
      </c>
      <c r="M71" s="319">
        <v>-0.26</v>
      </c>
      <c r="N71" s="321">
        <v>-0.36</v>
      </c>
      <c r="O71" s="320" t="s">
        <v>3318</v>
      </c>
      <c r="P71" s="320" t="s">
        <v>3317</v>
      </c>
      <c r="Q71" s="320">
        <v>2176</v>
      </c>
      <c r="R71" s="319">
        <v>1098</v>
      </c>
      <c r="S71" s="319">
        <v>35</v>
      </c>
      <c r="T71" s="319">
        <v>26.3</v>
      </c>
    </row>
    <row r="72" spans="1:20" x14ac:dyDescent="0.25">
      <c r="A72" s="323">
        <v>4</v>
      </c>
      <c r="B72" s="320" t="s">
        <v>3329</v>
      </c>
      <c r="C72" s="320" t="s">
        <v>205</v>
      </c>
      <c r="D72" s="320" t="s">
        <v>3328</v>
      </c>
      <c r="E72" s="319">
        <v>500</v>
      </c>
      <c r="F72" s="322" t="s">
        <v>3327</v>
      </c>
      <c r="G72" s="320">
        <v>11.69</v>
      </c>
      <c r="H72" s="322">
        <v>51.7</v>
      </c>
      <c r="I72" s="320">
        <v>12.28</v>
      </c>
      <c r="J72" s="320">
        <v>15.67</v>
      </c>
      <c r="K72" s="320">
        <v>15</v>
      </c>
      <c r="L72" s="319">
        <v>5</v>
      </c>
      <c r="M72" s="319">
        <v>-0.26</v>
      </c>
      <c r="N72" s="321">
        <v>-0.36</v>
      </c>
      <c r="O72" s="320" t="s">
        <v>3318</v>
      </c>
      <c r="P72" s="320" t="s">
        <v>3317</v>
      </c>
      <c r="Q72" s="320">
        <v>2176</v>
      </c>
      <c r="R72" s="319">
        <v>1098</v>
      </c>
      <c r="S72" s="319">
        <v>35</v>
      </c>
      <c r="T72" s="319">
        <v>26.3</v>
      </c>
    </row>
    <row r="73" spans="1:20" x14ac:dyDescent="0.25">
      <c r="A73" s="323">
        <v>5</v>
      </c>
      <c r="B73" s="320" t="s">
        <v>3329</v>
      </c>
      <c r="C73" s="320" t="s">
        <v>205</v>
      </c>
      <c r="D73" s="320" t="s">
        <v>3328</v>
      </c>
      <c r="E73" s="319">
        <v>500</v>
      </c>
      <c r="F73" s="322" t="s">
        <v>3327</v>
      </c>
      <c r="G73" s="320">
        <v>11.69</v>
      </c>
      <c r="H73" s="322">
        <v>51.7</v>
      </c>
      <c r="I73" s="320">
        <v>12.28</v>
      </c>
      <c r="J73" s="320">
        <v>15.67</v>
      </c>
      <c r="K73" s="320">
        <v>15</v>
      </c>
      <c r="L73" s="319">
        <v>5</v>
      </c>
      <c r="M73" s="319">
        <v>-0.26</v>
      </c>
      <c r="N73" s="321">
        <v>-0.36</v>
      </c>
      <c r="O73" s="320" t="s">
        <v>3318</v>
      </c>
      <c r="P73" s="320" t="s">
        <v>3317</v>
      </c>
      <c r="Q73" s="320">
        <v>2176</v>
      </c>
      <c r="R73" s="319">
        <v>1098</v>
      </c>
      <c r="S73" s="319">
        <v>35</v>
      </c>
      <c r="T73" s="319">
        <v>26.3</v>
      </c>
    </row>
    <row r="74" spans="1:20" x14ac:dyDescent="0.25">
      <c r="A74" s="323">
        <v>6</v>
      </c>
      <c r="B74" s="320" t="s">
        <v>3329</v>
      </c>
      <c r="C74" s="320" t="s">
        <v>205</v>
      </c>
      <c r="D74" s="320" t="s">
        <v>3328</v>
      </c>
      <c r="E74" s="319">
        <v>500</v>
      </c>
      <c r="F74" s="322" t="s">
        <v>3327</v>
      </c>
      <c r="G74" s="320">
        <v>11.69</v>
      </c>
      <c r="H74" s="322">
        <v>51.7</v>
      </c>
      <c r="I74" s="320">
        <v>12.28</v>
      </c>
      <c r="J74" s="320">
        <v>15.67</v>
      </c>
      <c r="K74" s="320">
        <v>15</v>
      </c>
      <c r="L74" s="319">
        <v>5</v>
      </c>
      <c r="M74" s="319">
        <v>-0.26</v>
      </c>
      <c r="N74" s="321">
        <v>-0.36</v>
      </c>
      <c r="O74" s="320" t="s">
        <v>3318</v>
      </c>
      <c r="P74" s="320" t="s">
        <v>3317</v>
      </c>
      <c r="Q74" s="320">
        <v>2176</v>
      </c>
      <c r="R74" s="319">
        <v>1098</v>
      </c>
      <c r="S74" s="319">
        <v>35</v>
      </c>
      <c r="T74" s="319">
        <v>26.3</v>
      </c>
    </row>
    <row r="75" spans="1:20" x14ac:dyDescent="0.25">
      <c r="A75" s="323">
        <v>7</v>
      </c>
      <c r="B75" s="320" t="s">
        <v>3329</v>
      </c>
      <c r="C75" s="320" t="s">
        <v>205</v>
      </c>
      <c r="D75" s="320" t="s">
        <v>3328</v>
      </c>
      <c r="E75" s="319">
        <v>500</v>
      </c>
      <c r="F75" s="322" t="s">
        <v>3327</v>
      </c>
      <c r="G75" s="320">
        <v>11.69</v>
      </c>
      <c r="H75" s="322">
        <v>51.7</v>
      </c>
      <c r="I75" s="320">
        <v>12.28</v>
      </c>
      <c r="J75" s="320">
        <v>15.67</v>
      </c>
      <c r="K75" s="320">
        <v>15</v>
      </c>
      <c r="L75" s="319">
        <v>5</v>
      </c>
      <c r="M75" s="319">
        <v>-0.26</v>
      </c>
      <c r="N75" s="321">
        <v>-0.36</v>
      </c>
      <c r="O75" s="320" t="s">
        <v>3318</v>
      </c>
      <c r="P75" s="320" t="s">
        <v>3317</v>
      </c>
      <c r="Q75" s="320">
        <v>2176</v>
      </c>
      <c r="R75" s="319">
        <v>1098</v>
      </c>
      <c r="S75" s="319">
        <v>35</v>
      </c>
      <c r="T75" s="319">
        <v>26.3</v>
      </c>
    </row>
    <row r="76" spans="1:20" x14ac:dyDescent="0.25">
      <c r="A76" s="323">
        <v>8</v>
      </c>
      <c r="B76" s="320" t="str">
        <f>C76&amp;" "&amp;E76&amp;"W "&amp;O76&amp;" "&amp;P76</f>
        <v>Trina 415W Mono PERC</v>
      </c>
      <c r="C76" s="320" t="s">
        <v>205</v>
      </c>
      <c r="D76" s="320" t="s">
        <v>3326</v>
      </c>
      <c r="E76" s="319">
        <v>415</v>
      </c>
      <c r="F76" s="322">
        <v>41.7</v>
      </c>
      <c r="G76" s="320">
        <v>9.94</v>
      </c>
      <c r="H76" s="322">
        <v>50</v>
      </c>
      <c r="I76" s="320">
        <v>10.55</v>
      </c>
      <c r="J76" s="320">
        <v>20.8</v>
      </c>
      <c r="K76" s="320">
        <v>20</v>
      </c>
      <c r="L76" s="319">
        <v>5</v>
      </c>
      <c r="M76" s="319">
        <v>-0.25</v>
      </c>
      <c r="N76" s="319">
        <v>-0.34</v>
      </c>
      <c r="O76" s="320" t="s">
        <v>3318</v>
      </c>
      <c r="P76" s="320" t="s">
        <v>3317</v>
      </c>
      <c r="Q76" s="320">
        <v>1762</v>
      </c>
      <c r="R76" s="319">
        <v>1134</v>
      </c>
      <c r="S76" s="319">
        <v>30</v>
      </c>
      <c r="T76" s="319">
        <v>22</v>
      </c>
    </row>
    <row r="77" spans="1:20" x14ac:dyDescent="0.25">
      <c r="A77" s="323">
        <v>9</v>
      </c>
      <c r="B77" s="320" t="str">
        <f>C77&amp;" "&amp;E77&amp;"W "&amp;O77&amp;" "&amp;P77</f>
        <v>Trina 430W Mono PERC</v>
      </c>
      <c r="C77" s="320" t="s">
        <v>205</v>
      </c>
      <c r="D77" s="320" t="s">
        <v>3325</v>
      </c>
      <c r="E77" s="319">
        <v>430</v>
      </c>
      <c r="F77" s="322">
        <v>43.2</v>
      </c>
      <c r="G77" s="320">
        <v>9.9600000000000009</v>
      </c>
      <c r="H77" s="322">
        <v>51.4</v>
      </c>
      <c r="I77" s="320">
        <v>10.59</v>
      </c>
      <c r="J77" s="320">
        <v>21.5</v>
      </c>
      <c r="K77" s="320">
        <v>20</v>
      </c>
      <c r="L77" s="319">
        <v>5</v>
      </c>
      <c r="M77" s="319">
        <v>-0.24</v>
      </c>
      <c r="N77" s="319">
        <v>-0.3</v>
      </c>
      <c r="O77" s="320" t="s">
        <v>3318</v>
      </c>
      <c r="P77" s="320" t="s">
        <v>3317</v>
      </c>
      <c r="Q77" s="320">
        <v>1754</v>
      </c>
      <c r="R77" s="319">
        <v>1096</v>
      </c>
      <c r="S77" s="319">
        <v>30</v>
      </c>
      <c r="T77" s="319">
        <v>21</v>
      </c>
    </row>
    <row r="78" spans="1:20" x14ac:dyDescent="0.25">
      <c r="A78" s="323">
        <v>10</v>
      </c>
      <c r="B78" s="320" t="str">
        <f>C78&amp;" "&amp;E78&amp;"W "&amp;O78&amp;" "&amp;P78</f>
        <v>Trina 510W Mono PERC</v>
      </c>
      <c r="C78" s="320" t="s">
        <v>205</v>
      </c>
      <c r="D78" s="320" t="s">
        <v>3324</v>
      </c>
      <c r="E78" s="319">
        <v>510</v>
      </c>
      <c r="F78" s="319">
        <v>43.2</v>
      </c>
      <c r="G78" s="320">
        <v>11.81</v>
      </c>
      <c r="H78" s="322">
        <v>52.1</v>
      </c>
      <c r="I78" s="322">
        <v>12.42</v>
      </c>
      <c r="J78" s="320">
        <v>21.2</v>
      </c>
      <c r="K78" s="320">
        <v>20</v>
      </c>
      <c r="L78" s="319">
        <v>5</v>
      </c>
      <c r="M78" s="319">
        <v>-0.25</v>
      </c>
      <c r="N78" s="321">
        <v>-0.34</v>
      </c>
      <c r="O78" s="320" t="s">
        <v>3318</v>
      </c>
      <c r="P78" s="320" t="s">
        <v>3317</v>
      </c>
      <c r="Q78" s="320">
        <v>2187</v>
      </c>
      <c r="R78" s="319">
        <v>1060</v>
      </c>
      <c r="S78" s="319">
        <v>35</v>
      </c>
      <c r="T78" s="319">
        <v>26.5</v>
      </c>
    </row>
    <row r="79" spans="1:20" x14ac:dyDescent="0.25">
      <c r="A79" s="323">
        <v>11</v>
      </c>
      <c r="B79" s="320" t="s">
        <v>3323</v>
      </c>
      <c r="C79" s="320" t="s">
        <v>3321</v>
      </c>
      <c r="D79" s="320" t="s">
        <v>3320</v>
      </c>
      <c r="E79" s="319">
        <v>400</v>
      </c>
      <c r="F79" s="319">
        <v>41.6</v>
      </c>
      <c r="G79" s="320">
        <v>9.6199999999999992</v>
      </c>
      <c r="H79" s="322">
        <v>49.1</v>
      </c>
      <c r="I79" s="322">
        <v>10.1</v>
      </c>
      <c r="J79" s="320">
        <v>19.809999999999999</v>
      </c>
      <c r="K79" s="320">
        <v>20</v>
      </c>
      <c r="L79" s="319">
        <v>5</v>
      </c>
      <c r="M79" s="319">
        <v>-0.28000000000000003</v>
      </c>
      <c r="N79" s="321">
        <v>-0.3</v>
      </c>
      <c r="O79" s="320" t="s">
        <v>3318</v>
      </c>
      <c r="P79" s="320" t="s">
        <v>3317</v>
      </c>
      <c r="Q79" s="320">
        <v>2015</v>
      </c>
      <c r="R79" s="319">
        <v>1002</v>
      </c>
      <c r="S79" s="319">
        <v>40</v>
      </c>
      <c r="T79" s="319">
        <v>23</v>
      </c>
    </row>
    <row r="80" spans="1:20" x14ac:dyDescent="0.25">
      <c r="A80" s="323">
        <v>12</v>
      </c>
      <c r="B80" s="320" t="s">
        <v>3322</v>
      </c>
      <c r="C80" s="320" t="s">
        <v>3321</v>
      </c>
      <c r="D80" s="320" t="s">
        <v>3320</v>
      </c>
      <c r="E80" s="319">
        <v>330</v>
      </c>
      <c r="F80" s="319">
        <v>34.4</v>
      </c>
      <c r="G80" s="320">
        <v>9.6</v>
      </c>
      <c r="H80" s="322">
        <v>40.799999999999997</v>
      </c>
      <c r="I80" s="322">
        <v>10.11</v>
      </c>
      <c r="J80" s="320">
        <v>19.489999999999998</v>
      </c>
      <c r="K80" s="320">
        <v>20</v>
      </c>
      <c r="L80" s="319">
        <v>5</v>
      </c>
      <c r="M80" s="319">
        <v>-0.28000000000000003</v>
      </c>
      <c r="N80" s="321">
        <v>-0.3</v>
      </c>
      <c r="O80" s="320" t="s">
        <v>3318</v>
      </c>
      <c r="P80" s="320" t="s">
        <v>3317</v>
      </c>
      <c r="Q80" s="320">
        <v>1690</v>
      </c>
      <c r="R80" s="319">
        <v>1002</v>
      </c>
      <c r="S80" s="319">
        <v>35</v>
      </c>
      <c r="T80" s="319">
        <v>19</v>
      </c>
    </row>
    <row r="81" spans="1:20" x14ac:dyDescent="0.25">
      <c r="A81" s="323">
        <v>13</v>
      </c>
      <c r="B81" s="320" t="str">
        <f>C81&amp;" "&amp;E81&amp;"W "&amp;O81&amp;" "&amp;P81</f>
        <v>Longi 555W Mono PERC</v>
      </c>
      <c r="C81" s="320" t="s">
        <v>206</v>
      </c>
      <c r="D81" s="320" t="s">
        <v>3319</v>
      </c>
      <c r="E81" s="319">
        <v>555</v>
      </c>
      <c r="F81" s="319">
        <v>44.5</v>
      </c>
      <c r="G81" s="320">
        <v>9.2100000000000009</v>
      </c>
      <c r="H81" s="322">
        <v>49.5</v>
      </c>
      <c r="I81" s="322">
        <v>13</v>
      </c>
      <c r="J81" s="320">
        <v>19.899999999999999</v>
      </c>
      <c r="K81" s="320">
        <v>18</v>
      </c>
      <c r="L81" s="319">
        <v>5</v>
      </c>
      <c r="M81" s="319">
        <v>-0.28999999999999998</v>
      </c>
      <c r="N81" s="321">
        <v>-0.3</v>
      </c>
      <c r="O81" s="320" t="s">
        <v>3318</v>
      </c>
      <c r="P81" s="320" t="s">
        <v>3317</v>
      </c>
      <c r="Q81" s="320">
        <v>2066</v>
      </c>
      <c r="R81" s="319">
        <v>998</v>
      </c>
      <c r="S81" s="319">
        <v>40</v>
      </c>
      <c r="T81" s="319">
        <v>22.3</v>
      </c>
    </row>
    <row r="82" spans="1:20" x14ac:dyDescent="0.25">
      <c r="A82" s="323">
        <v>14</v>
      </c>
      <c r="B82" s="320" t="str">
        <f>C82&amp;" "&amp;E82&amp;"W "&amp;O82&amp;" "&amp;P82</f>
        <v>Longi 440W Mono PERC</v>
      </c>
      <c r="C82" s="320" t="s">
        <v>206</v>
      </c>
      <c r="D82" s="320" t="s">
        <v>3319</v>
      </c>
      <c r="E82" s="319">
        <v>440</v>
      </c>
      <c r="F82" s="322">
        <v>44.5</v>
      </c>
      <c r="G82" s="320">
        <v>9.2100000000000009</v>
      </c>
      <c r="H82" s="322">
        <v>39.5</v>
      </c>
      <c r="I82" s="320">
        <v>9.89</v>
      </c>
      <c r="J82" s="320">
        <v>19.899999999999999</v>
      </c>
      <c r="K82" s="320">
        <v>18</v>
      </c>
      <c r="L82" s="319">
        <v>5</v>
      </c>
      <c r="M82" s="319">
        <v>-0.28999999999999998</v>
      </c>
      <c r="N82" s="321">
        <v>-0.3</v>
      </c>
      <c r="O82" s="320" t="s">
        <v>3318</v>
      </c>
      <c r="P82" s="320" t="s">
        <v>3317</v>
      </c>
      <c r="Q82" s="320">
        <v>2066</v>
      </c>
      <c r="R82" s="319">
        <v>998</v>
      </c>
      <c r="S82" s="319">
        <v>40</v>
      </c>
      <c r="T82" s="319">
        <v>22.3</v>
      </c>
    </row>
    <row r="83" spans="1:20" x14ac:dyDescent="0.25"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</row>
  </sheetData>
  <sheetProtection selectLockedCells="1" selectUnlockedCells="1"/>
  <mergeCells count="1">
    <mergeCell ref="K4:N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3EC-EC54-488A-9FCD-1915D311BDDE}">
  <dimension ref="A1:AE422"/>
  <sheetViews>
    <sheetView topLeftCell="A351" zoomScale="90" zoomScaleNormal="90" workbookViewId="0">
      <selection activeCell="A66" sqref="A66"/>
    </sheetView>
  </sheetViews>
  <sheetFormatPr defaultRowHeight="15" x14ac:dyDescent="0.25"/>
  <cols>
    <col min="1" max="1" width="12.5703125" customWidth="1"/>
    <col min="2" max="2" width="17.5703125" customWidth="1"/>
    <col min="3" max="3" width="16.140625" style="8" customWidth="1"/>
    <col min="4" max="4" width="21.7109375" style="8" customWidth="1"/>
    <col min="5" max="5" width="14.85546875" customWidth="1"/>
    <col min="6" max="6" width="51.7109375" customWidth="1"/>
    <col min="7" max="7" width="13.85546875" customWidth="1"/>
    <col min="8" max="8" width="12.140625" customWidth="1"/>
    <col min="9" max="9" width="10.5703125" customWidth="1"/>
    <col min="10" max="10" width="12.7109375" customWidth="1"/>
    <col min="11" max="11" width="11" customWidth="1"/>
    <col min="12" max="12" width="9.7109375" customWidth="1"/>
    <col min="16" max="17" width="10.7109375" customWidth="1"/>
    <col min="18" max="18" width="11.5703125" customWidth="1"/>
    <col min="19" max="19" width="17.140625" customWidth="1"/>
    <col min="21" max="21" width="9.5703125" customWidth="1"/>
    <col min="23" max="23" width="10.5703125" customWidth="1"/>
    <col min="24" max="24" width="11.140625" customWidth="1"/>
    <col min="25" max="25" width="16.42578125" customWidth="1"/>
    <col min="26" max="27" width="11.5703125" customWidth="1"/>
    <col min="28" max="28" width="12.7109375" customWidth="1"/>
    <col min="29" max="29" width="11.42578125" customWidth="1"/>
    <col min="30" max="30" width="15" customWidth="1"/>
  </cols>
  <sheetData>
    <row r="1" spans="1:31" ht="19.5" x14ac:dyDescent="0.3">
      <c r="A1" s="14" t="s">
        <v>36</v>
      </c>
      <c r="B1" s="762" t="s">
        <v>37</v>
      </c>
      <c r="C1" s="762"/>
      <c r="D1" s="762"/>
      <c r="E1" s="762"/>
      <c r="F1" s="762"/>
      <c r="G1" s="15" t="s">
        <v>38</v>
      </c>
      <c r="H1" s="763" t="s">
        <v>12</v>
      </c>
      <c r="I1" s="764"/>
      <c r="J1" s="765"/>
      <c r="K1" s="766" t="s">
        <v>39</v>
      </c>
      <c r="L1" s="766"/>
      <c r="M1" s="767" t="s">
        <v>42</v>
      </c>
      <c r="N1" s="768"/>
      <c r="O1" s="769"/>
      <c r="P1" s="770" t="s">
        <v>41</v>
      </c>
      <c r="Q1" s="771"/>
      <c r="R1" s="16"/>
      <c r="S1" s="35" t="s">
        <v>70</v>
      </c>
      <c r="T1" s="759" t="s">
        <v>40</v>
      </c>
      <c r="U1" s="760"/>
      <c r="V1" s="761"/>
      <c r="W1" s="17"/>
      <c r="X1" s="18"/>
      <c r="Y1" s="19"/>
      <c r="Z1" s="20"/>
      <c r="AA1" s="20"/>
      <c r="AB1" s="21" t="s">
        <v>43</v>
      </c>
      <c r="AC1" s="20"/>
      <c r="AD1" s="20"/>
    </row>
    <row r="2" spans="1:31" x14ac:dyDescent="0.25">
      <c r="A2" s="22" t="s">
        <v>44</v>
      </c>
      <c r="B2" s="23" t="s">
        <v>45</v>
      </c>
      <c r="C2" s="51" t="s">
        <v>148</v>
      </c>
      <c r="D2" s="51" t="s">
        <v>147</v>
      </c>
      <c r="E2" s="23" t="s">
        <v>2</v>
      </c>
      <c r="F2" s="23" t="s">
        <v>46</v>
      </c>
      <c r="G2" s="33" t="s">
        <v>47</v>
      </c>
      <c r="H2" s="34" t="s">
        <v>48</v>
      </c>
      <c r="I2" s="24" t="s">
        <v>49</v>
      </c>
      <c r="J2" s="24" t="s">
        <v>50</v>
      </c>
      <c r="K2" s="25" t="s">
        <v>51</v>
      </c>
      <c r="L2" s="25" t="s">
        <v>52</v>
      </c>
      <c r="M2" s="26" t="s">
        <v>53</v>
      </c>
      <c r="N2" s="26" t="s">
        <v>54</v>
      </c>
      <c r="O2" s="26" t="s">
        <v>55</v>
      </c>
      <c r="P2" s="42" t="s">
        <v>56</v>
      </c>
      <c r="Q2" s="42" t="s">
        <v>57</v>
      </c>
      <c r="R2" s="27" t="s">
        <v>58</v>
      </c>
      <c r="S2" s="36" t="s">
        <v>71</v>
      </c>
      <c r="T2" s="28" t="s">
        <v>59</v>
      </c>
      <c r="U2" s="28" t="s">
        <v>60</v>
      </c>
      <c r="V2" s="28" t="s">
        <v>61</v>
      </c>
      <c r="W2" s="29" t="s">
        <v>62</v>
      </c>
      <c r="X2" s="29" t="s">
        <v>63</v>
      </c>
      <c r="Y2" s="30" t="s">
        <v>64</v>
      </c>
      <c r="Z2" s="31" t="s">
        <v>65</v>
      </c>
      <c r="AA2" s="31" t="s">
        <v>66</v>
      </c>
      <c r="AB2" s="32" t="s">
        <v>67</v>
      </c>
      <c r="AC2" s="31" t="s">
        <v>68</v>
      </c>
      <c r="AD2" s="31" t="s">
        <v>69</v>
      </c>
      <c r="AE2" s="87" t="s">
        <v>621</v>
      </c>
    </row>
    <row r="3" spans="1:31" x14ac:dyDescent="0.25">
      <c r="A3" s="76" t="s">
        <v>472</v>
      </c>
      <c r="B3" s="38" t="str">
        <f>VLOOKUP($A3, [6]!ProductsTable[#Data], 2, FALSE)</f>
        <v>Solar Controllers</v>
      </c>
      <c r="C3" s="8" t="s">
        <v>217</v>
      </c>
      <c r="D3" s="8" t="s">
        <v>167</v>
      </c>
      <c r="E3" s="38" t="str">
        <f>VLOOKUP($A3, [6]!ProductsTable[#Data], 3, FALSE)</f>
        <v>Plasmatronics</v>
      </c>
      <c r="F3" s="38" t="str">
        <f>VLOOKUP($A3, [6]!ProductsTable[#Data], 4, FALSE)</f>
        <v>10A 12V Solar Charge Controller (LA)</v>
      </c>
      <c r="G3" s="38" t="str">
        <f>VLOOKUP($A3, [6]!ProductsTable[#Data], 5, FALSE)</f>
        <v>PR1210</v>
      </c>
      <c r="I3" s="41" t="e">
        <f>VLOOKUP($A3, [6]!ProductsTable[#Data], 7, FALSE)</f>
        <v>#REF!</v>
      </c>
      <c r="J3" s="39" t="e">
        <f>VLOOKUP($A3, [6]!ProductsTable[#Data], 8, FALSE)</f>
        <v>#REF!</v>
      </c>
      <c r="K3">
        <f>VLOOKUP($A3, [6]!ProductsTable[#Data], 9, FALSE)</f>
        <v>0</v>
      </c>
      <c r="L3" s="38">
        <f>VLOOKUP($A3, [6]!ProductsTable[#Data], 10, FALSE)</f>
        <v>0.3</v>
      </c>
      <c r="M3" s="38">
        <f>VLOOKUP($A3, [6]!ProductsTable[#Data], 11, FALSE)</f>
        <v>10</v>
      </c>
      <c r="N3" s="38">
        <f>VLOOKUP($A3, [6]!ProductsTable[#Data], 12, FALSE)</f>
        <v>5</v>
      </c>
      <c r="O3" s="38">
        <f>VLOOKUP($A3, [6]!ProductsTable[#Data], 13, FALSE)</f>
        <v>3</v>
      </c>
      <c r="R3" s="38" t="str">
        <f>VLOOKUP($A3, [6]!ProductsTable[#Data], 14, FALSE)</f>
        <v>4-Plasmatronics</v>
      </c>
      <c r="AE3" t="e">
        <f>COUNTIF('[7]product-export'!$A$2:$A$379, A3)</f>
        <v>#VALUE!</v>
      </c>
    </row>
    <row r="4" spans="1:31" x14ac:dyDescent="0.25">
      <c r="A4" s="76" t="s">
        <v>473</v>
      </c>
      <c r="B4" s="38" t="str">
        <f>VLOOKUP($A4, [6]!ProductsTable[#Data], 2, FALSE)</f>
        <v>Solar Controllers</v>
      </c>
      <c r="C4" s="8" t="s">
        <v>217</v>
      </c>
      <c r="D4" s="8" t="s">
        <v>167</v>
      </c>
      <c r="E4" s="38" t="str">
        <f>VLOOKUP($A4, [6]!ProductsTable[#Data], 3, FALSE)</f>
        <v>Plasmatronics</v>
      </c>
      <c r="F4" s="38" t="str">
        <f>VLOOKUP($A4, [6]!ProductsTable[#Data], 4, FALSE)</f>
        <v>10A 12V Solar Charge Controller (Gel)</v>
      </c>
      <c r="G4" s="38" t="str">
        <f>VLOOKUP($A4, [6]!ProductsTable[#Data], 5, FALSE)</f>
        <v>PR1210L</v>
      </c>
      <c r="I4" s="41" t="e">
        <f>VLOOKUP($A4, [6]!ProductsTable[#Data], 7, FALSE)</f>
        <v>#REF!</v>
      </c>
      <c r="J4" s="39" t="e">
        <f>VLOOKUP($A4, [6]!ProductsTable[#Data], 8, FALSE)</f>
        <v>#REF!</v>
      </c>
      <c r="K4">
        <f>VLOOKUP($A4, [6]!ProductsTable[#Data], 9, FALSE)</f>
        <v>0</v>
      </c>
      <c r="L4" s="38">
        <f>VLOOKUP($A4, [6]!ProductsTable[#Data], 10, FALSE)</f>
        <v>0.3</v>
      </c>
      <c r="M4" s="38">
        <f>VLOOKUP($A4, [6]!ProductsTable[#Data], 11, FALSE)</f>
        <v>10</v>
      </c>
      <c r="N4" s="38">
        <f>VLOOKUP($A4, [6]!ProductsTable[#Data], 12, FALSE)</f>
        <v>5</v>
      </c>
      <c r="O4" s="38">
        <f>VLOOKUP($A4, [6]!ProductsTable[#Data], 13, FALSE)</f>
        <v>3</v>
      </c>
      <c r="R4" s="38" t="str">
        <f>VLOOKUP($A4, [6]!ProductsTable[#Data], 14, FALSE)</f>
        <v>4-Plasmatronics</v>
      </c>
      <c r="AE4" t="e">
        <f>COUNTIF('[7]product-export'!$A$2:$A$379, A4)</f>
        <v>#VALUE!</v>
      </c>
    </row>
    <row r="5" spans="1:31" x14ac:dyDescent="0.25">
      <c r="A5" s="76" t="s">
        <v>248</v>
      </c>
      <c r="B5" s="70" t="str">
        <f>VLOOKUP($A5, [6]!ProductsTable[#Data], 2, FALSE)</f>
        <v>Solar Controllers</v>
      </c>
      <c r="C5" s="71" t="s">
        <v>217</v>
      </c>
      <c r="D5" s="71" t="s">
        <v>167</v>
      </c>
      <c r="E5" s="70" t="str">
        <f>VLOOKUP($A5, [6]!ProductsTable[#Data], 3, FALSE)</f>
        <v>Plasmatronics</v>
      </c>
      <c r="F5" s="70" t="str">
        <f>VLOOKUP($A5, [6]!ProductsTable[#Data], 4, FALSE)</f>
        <v>PL40 40A Solar Charge Controller</v>
      </c>
      <c r="G5" s="70" t="str">
        <f>VLOOKUP($A5, [6]!ProductsTable[#Data], 5, FALSE)</f>
        <v>PL40</v>
      </c>
      <c r="H5" s="72"/>
      <c r="I5" s="73" t="e">
        <f>VLOOKUP($A5, [6]!ProductsTable[#Data], 7, FALSE)</f>
        <v>#REF!</v>
      </c>
      <c r="J5" s="74" t="e">
        <f>VLOOKUP($A5, [6]!ProductsTable[#Data], 8, FALSE)</f>
        <v>#REF!</v>
      </c>
      <c r="K5" s="72">
        <f>VLOOKUP($A5, [6]!ProductsTable[#Data], 9, FALSE)</f>
        <v>0</v>
      </c>
      <c r="L5" s="70">
        <f>VLOOKUP($A5, [6]!ProductsTable[#Data], 10, FALSE)</f>
        <v>0.56000000000000005</v>
      </c>
      <c r="M5" s="70">
        <f>VLOOKUP($A5, [6]!ProductsTable[#Data], 11, FALSE)</f>
        <v>14.8</v>
      </c>
      <c r="N5" s="70">
        <f>VLOOKUP($A5, [6]!ProductsTable[#Data], 12, FALSE)</f>
        <v>13</v>
      </c>
      <c r="O5" s="70">
        <f>VLOOKUP($A5, [6]!ProductsTable[#Data], 13, FALSE)</f>
        <v>5</v>
      </c>
      <c r="P5" s="72"/>
      <c r="Q5" s="72"/>
      <c r="R5" s="70" t="str">
        <f>VLOOKUP($A5, [6]!ProductsTable[#Data], 14, FALSE)</f>
        <v>4-Plasmatronics</v>
      </c>
      <c r="AE5" t="e">
        <f>COUNTIF('[7]product-export'!$A$2:$A$379, A5)</f>
        <v>#VALUE!</v>
      </c>
    </row>
    <row r="6" spans="1:31" x14ac:dyDescent="0.25">
      <c r="A6" s="76" t="s">
        <v>434</v>
      </c>
      <c r="B6" s="38" t="str">
        <f>VLOOKUP($A6, [6]!ProductsTable[#Data], 2, FALSE)</f>
        <v>Batteries</v>
      </c>
      <c r="C6" s="8" t="s">
        <v>149</v>
      </c>
      <c r="D6" s="8" t="s">
        <v>163</v>
      </c>
      <c r="E6" s="38" t="str">
        <f>VLOOKUP($A6, [6]!ProductsTable[#Data], 3, FALSE)</f>
        <v>VICTRON</v>
      </c>
      <c r="F6" s="38" t="str">
        <f>VLOOKUP($A6, [6]!ProductsTable[#Data], 4, FALSE)</f>
        <v>AGM Super Cycle Batt. (M5) 12V25Ah</v>
      </c>
      <c r="G6" s="38" t="str">
        <f>VLOOKUP($A6, [6]!ProductsTable[#Data], 5, FALSE)</f>
        <v>BAT412025081</v>
      </c>
      <c r="I6" s="41" t="e">
        <f>VLOOKUP($A6, [6]!ProductsTable[#Data], 7, FALSE)</f>
        <v>#REF!</v>
      </c>
      <c r="J6" s="39" t="e">
        <f>VLOOKUP($A6, [6]!ProductsTable[#Data], 8, FALSE)</f>
        <v>#REF!</v>
      </c>
      <c r="K6">
        <f>VLOOKUP($A6, [6]!ProductsTable[#Data], 9, FALSE)</f>
        <v>0</v>
      </c>
      <c r="L6" s="38">
        <f>VLOOKUP($A6, [6]!ProductsTable[#Data], 10, FALSE)</f>
        <v>7</v>
      </c>
      <c r="M6" s="38">
        <f>VLOOKUP($A6, [6]!ProductsTable[#Data], 11, FALSE)</f>
        <v>18.100000000000001</v>
      </c>
      <c r="N6" s="38">
        <f>VLOOKUP($A6, [6]!ProductsTable[#Data], 12, FALSE)</f>
        <v>7.7</v>
      </c>
      <c r="O6" s="38">
        <f>VLOOKUP($A6, [6]!ProductsTable[#Data], 13, FALSE)</f>
        <v>17.5</v>
      </c>
      <c r="R6" s="38" t="str">
        <f>VLOOKUP($A6, [6]!ProductsTable[#Data], 14, FALSE)</f>
        <v>1-Victron</v>
      </c>
      <c r="AE6" t="e">
        <f>COUNTIF('[7]product-export'!$A$2:$A$379, A6)</f>
        <v>#VALUE!</v>
      </c>
    </row>
    <row r="7" spans="1:31" x14ac:dyDescent="0.25">
      <c r="A7" s="76" t="s">
        <v>247</v>
      </c>
      <c r="B7" s="38" t="str">
        <f>VLOOKUP($A7, [6]!ProductsTable[#Data], 2, FALSE)</f>
        <v>Solar Controllers</v>
      </c>
      <c r="C7" s="8" t="s">
        <v>217</v>
      </c>
      <c r="D7" s="8" t="s">
        <v>167</v>
      </c>
      <c r="E7" s="38" t="str">
        <f>VLOOKUP($A7, [6]!ProductsTable[#Data], 3, FALSE)</f>
        <v>Plasmatronics</v>
      </c>
      <c r="F7" s="38" t="str">
        <f>VLOOKUP($A7, [6]!ProductsTable[#Data], 4, FALSE)</f>
        <v>PL20 20A Solar Charge Controller</v>
      </c>
      <c r="G7" s="38" t="str">
        <f>VLOOKUP($A7, [6]!ProductsTable[#Data], 5, FALSE)</f>
        <v>PL20</v>
      </c>
      <c r="I7" s="41" t="e">
        <f>VLOOKUP($A7, [6]!ProductsTable[#Data], 7, FALSE)</f>
        <v>#REF!</v>
      </c>
      <c r="J7" s="39" t="e">
        <f>VLOOKUP($A7, [6]!ProductsTable[#Data], 8, FALSE)</f>
        <v>#REF!</v>
      </c>
      <c r="K7">
        <f>VLOOKUP($A7, [6]!ProductsTable[#Data], 9, FALSE)</f>
        <v>0</v>
      </c>
      <c r="L7" s="38">
        <f>VLOOKUP($A7, [6]!ProductsTable[#Data], 10, FALSE)</f>
        <v>0.34499999999999997</v>
      </c>
      <c r="M7" s="38">
        <f>VLOOKUP($A7, [6]!ProductsTable[#Data], 11, FALSE)</f>
        <v>14.8</v>
      </c>
      <c r="N7" s="38">
        <f>VLOOKUP($A7, [6]!ProductsTable[#Data], 12, FALSE)</f>
        <v>13</v>
      </c>
      <c r="O7" s="38">
        <f>VLOOKUP($A7, [6]!ProductsTable[#Data], 13, FALSE)</f>
        <v>5</v>
      </c>
      <c r="R7" s="38" t="str">
        <f>VLOOKUP($A7, [6]!ProductsTable[#Data], 14, FALSE)</f>
        <v>4-Plasmatronics</v>
      </c>
      <c r="AE7" t="e">
        <f>COUNTIF('[7]product-export'!$A$2:$A$379, A7)</f>
        <v>#VALUE!</v>
      </c>
    </row>
    <row r="8" spans="1:31" x14ac:dyDescent="0.25">
      <c r="A8" s="76" t="s">
        <v>264</v>
      </c>
      <c r="B8" s="38" t="str">
        <f>VLOOKUP($A8, [6]!ProductsTable[#Data], 2, FALSE)</f>
        <v>Inverters</v>
      </c>
      <c r="C8" s="8" t="s">
        <v>217</v>
      </c>
      <c r="D8" s="8" t="s">
        <v>168</v>
      </c>
      <c r="E8" s="38" t="str">
        <f>VLOOKUP($A8, [6]!ProductsTable[#Data], 3, FALSE)</f>
        <v>SMA</v>
      </c>
      <c r="F8" s="38" t="str">
        <f>VLOOKUP($A8, [6]!ProductsTable[#Data], 4, FALSE)</f>
        <v xml:space="preserve"> Sunny Boy 3.0kW Inverter</v>
      </c>
      <c r="G8" s="38" t="str">
        <f>VLOOKUP($A8, [6]!ProductsTable[#Data], 5, FALSE)</f>
        <v>SB 3.0-1</v>
      </c>
      <c r="I8" s="41" t="e">
        <f>VLOOKUP($A8, [6]!ProductsTable[#Data], 7, FALSE)</f>
        <v>#REF!</v>
      </c>
      <c r="J8" s="39" t="e">
        <f>VLOOKUP($A8, [6]!ProductsTable[#Data], 8, FALSE)</f>
        <v>#REF!</v>
      </c>
      <c r="K8">
        <f>VLOOKUP($A8, [6]!ProductsTable[#Data], 9, FALSE)</f>
        <v>0</v>
      </c>
      <c r="L8" s="38">
        <f>VLOOKUP($A8, [6]!ProductsTable[#Data], 10, FALSE)</f>
        <v>16</v>
      </c>
      <c r="M8" s="38">
        <f>VLOOKUP($A8, [6]!ProductsTable[#Data], 11, FALSE)</f>
        <v>48</v>
      </c>
      <c r="N8" s="38">
        <f>VLOOKUP($A8, [6]!ProductsTable[#Data], 12, FALSE)</f>
        <v>44</v>
      </c>
      <c r="O8" s="38">
        <f>VLOOKUP($A8, [6]!ProductsTable[#Data], 13, FALSE)</f>
        <v>19</v>
      </c>
      <c r="R8" s="38" t="str">
        <f>VLOOKUP($A8, [6]!ProductsTable[#Data], 14, FALSE)</f>
        <v>2-Krannich</v>
      </c>
      <c r="AE8" t="e">
        <f>COUNTIF('[7]product-export'!$A$2:$A$379, A8)</f>
        <v>#VALUE!</v>
      </c>
    </row>
    <row r="9" spans="1:31" x14ac:dyDescent="0.25">
      <c r="A9" s="76" t="s">
        <v>265</v>
      </c>
      <c r="B9" s="38" t="str">
        <f>VLOOKUP($A9, [6]!ProductsTable[#Data], 2, FALSE)</f>
        <v>Inverters</v>
      </c>
      <c r="C9" s="8" t="s">
        <v>217</v>
      </c>
      <c r="D9" s="8" t="s">
        <v>168</v>
      </c>
      <c r="E9" s="38" t="str">
        <f>VLOOKUP($A9, [6]!ProductsTable[#Data], 3, FALSE)</f>
        <v>SMA</v>
      </c>
      <c r="F9" s="38" t="str">
        <f>VLOOKUP($A9, [6]!ProductsTable[#Data], 4, FALSE)</f>
        <v xml:space="preserve"> Sunny Boy 4.0kW Inverter</v>
      </c>
      <c r="G9" s="38" t="str">
        <f>VLOOKUP($A9, [6]!ProductsTable[#Data], 5, FALSE)</f>
        <v>SB 4.0-1</v>
      </c>
      <c r="I9" s="41" t="e">
        <f>VLOOKUP($A9, [6]!ProductsTable[#Data], 7, FALSE)</f>
        <v>#REF!</v>
      </c>
      <c r="J9" s="39" t="e">
        <f>VLOOKUP($A9, [6]!ProductsTable[#Data], 8, FALSE)</f>
        <v>#REF!</v>
      </c>
      <c r="K9">
        <f>VLOOKUP($A9, [6]!ProductsTable[#Data], 9, FALSE)</f>
        <v>0</v>
      </c>
      <c r="L9" s="38">
        <f>VLOOKUP($A9, [6]!ProductsTable[#Data], 10, FALSE)</f>
        <v>16</v>
      </c>
      <c r="M9" s="38">
        <f>VLOOKUP($A9, [6]!ProductsTable[#Data], 11, FALSE)</f>
        <v>48</v>
      </c>
      <c r="N9" s="38">
        <f>VLOOKUP($A9, [6]!ProductsTable[#Data], 12, FALSE)</f>
        <v>44</v>
      </c>
      <c r="O9" s="38">
        <f>VLOOKUP($A9, [6]!ProductsTable[#Data], 13, FALSE)</f>
        <v>19</v>
      </c>
      <c r="R9" s="38" t="str">
        <f>VLOOKUP($A9, [6]!ProductsTable[#Data], 14, FALSE)</f>
        <v>2-Krannich</v>
      </c>
      <c r="AE9" t="e">
        <f>COUNTIF('[7]product-export'!$A$2:$A$379, A9)</f>
        <v>#VALUE!</v>
      </c>
    </row>
    <row r="10" spans="1:31" x14ac:dyDescent="0.25">
      <c r="A10" s="76" t="s">
        <v>251</v>
      </c>
      <c r="B10" s="38" t="str">
        <f>VLOOKUP($A10, [6]!ProductsTable[#Data], 2, FALSE)</f>
        <v>Solar Controllers</v>
      </c>
      <c r="C10" s="8" t="s">
        <v>217</v>
      </c>
      <c r="D10" s="8" t="s">
        <v>167</v>
      </c>
      <c r="E10" s="38" t="str">
        <f>VLOOKUP($A10, [6]!ProductsTable[#Data], 3, FALSE)</f>
        <v>Victron</v>
      </c>
      <c r="F10" s="38" t="str">
        <f>VLOOKUP($A10, [6]!ProductsTable[#Data], 4, FALSE)</f>
        <v>BlueSolar PWM Lite12/24V-20A</v>
      </c>
      <c r="G10" s="38" t="str">
        <f>VLOOKUP($A10, [6]!ProductsTable[#Data], 5, FALSE)</f>
        <v>SCC010020020</v>
      </c>
      <c r="I10" s="41" t="e">
        <f>VLOOKUP($A10, [6]!ProductsTable[#Data], 7, FALSE)</f>
        <v>#REF!</v>
      </c>
      <c r="J10" s="39" t="e">
        <f>VLOOKUP($A10, [6]!ProductsTable[#Data], 8, FALSE)</f>
        <v>#REF!</v>
      </c>
      <c r="K10">
        <f>VLOOKUP($A10, [6]!ProductsTable[#Data], 9, FALSE)</f>
        <v>0</v>
      </c>
      <c r="L10" s="38">
        <f>VLOOKUP($A10, [6]!ProductsTable[#Data], 10, FALSE)</f>
        <v>0.16</v>
      </c>
      <c r="M10" s="38">
        <f>VLOOKUP($A10, [6]!ProductsTable[#Data], 11, FALSE)</f>
        <v>14</v>
      </c>
      <c r="N10" s="38">
        <f>VLOOKUP($A10, [6]!ProductsTable[#Data], 12, FALSE)</f>
        <v>7.5</v>
      </c>
      <c r="O10" s="38">
        <f>VLOOKUP($A10, [6]!ProductsTable[#Data], 13, FALSE)</f>
        <v>4</v>
      </c>
      <c r="R10" s="38" t="str">
        <f>VLOOKUP($A10, [6]!ProductsTable[#Data], 14, FALSE)</f>
        <v>1-Victron</v>
      </c>
      <c r="AE10" t="e">
        <f>COUNTIF('[7]product-export'!$A$2:$A$379, A10)</f>
        <v>#VALUE!</v>
      </c>
    </row>
    <row r="11" spans="1:31" x14ac:dyDescent="0.25">
      <c r="A11" s="76" t="s">
        <v>252</v>
      </c>
      <c r="B11" s="38" t="str">
        <f>VLOOKUP($A11, [6]!ProductsTable[#Data], 2, FALSE)</f>
        <v>Solar Controllers</v>
      </c>
      <c r="C11" s="8" t="s">
        <v>217</v>
      </c>
      <c r="D11" s="8" t="s">
        <v>167</v>
      </c>
      <c r="E11" s="38" t="str">
        <f>VLOOKUP($A11, [6]!ProductsTable[#Data], 3, FALSE)</f>
        <v>Victron</v>
      </c>
      <c r="F11" s="38" t="str">
        <f>VLOOKUP($A11, [6]!ProductsTable[#Data], 4, FALSE)</f>
        <v>BlueSolar PWM Lite12/24V-10A</v>
      </c>
      <c r="G11" s="38" t="str">
        <f>VLOOKUP($A11, [6]!ProductsTable[#Data], 5, FALSE)</f>
        <v>SCC010010000</v>
      </c>
      <c r="I11" s="41" t="e">
        <f>VLOOKUP($A11, [6]!ProductsTable[#Data], 7, FALSE)</f>
        <v>#REF!</v>
      </c>
      <c r="J11" s="39" t="e">
        <f>VLOOKUP($A11, [6]!ProductsTable[#Data], 8, FALSE)</f>
        <v>#REF!</v>
      </c>
      <c r="K11">
        <f>VLOOKUP($A11, [6]!ProductsTable[#Data], 9, FALSE)</f>
        <v>0</v>
      </c>
      <c r="L11" s="38">
        <f>VLOOKUP($A11, [6]!ProductsTable[#Data], 10, FALSE)</f>
        <v>0.16</v>
      </c>
      <c r="M11" s="38">
        <f>VLOOKUP($A11, [6]!ProductsTable[#Data], 11, FALSE)</f>
        <v>14</v>
      </c>
      <c r="N11" s="38">
        <f>VLOOKUP($A11, [6]!ProductsTable[#Data], 12, FALSE)</f>
        <v>7.5</v>
      </c>
      <c r="O11" s="38">
        <f>VLOOKUP($A11, [6]!ProductsTable[#Data], 13, FALSE)</f>
        <v>4</v>
      </c>
      <c r="R11" s="38" t="str">
        <f>VLOOKUP($A11, [6]!ProductsTable[#Data], 14, FALSE)</f>
        <v>1-Victron</v>
      </c>
      <c r="AE11" t="e">
        <f>COUNTIF('[7]product-export'!$A$2:$A$379, A11)</f>
        <v>#VALUE!</v>
      </c>
    </row>
    <row r="12" spans="1:31" x14ac:dyDescent="0.25">
      <c r="A12" s="76" t="s">
        <v>253</v>
      </c>
      <c r="B12" s="38" t="str">
        <f>VLOOKUP($A12, [6]!ProductsTable[#Data], 2, FALSE)</f>
        <v>Solar Controllers</v>
      </c>
      <c r="C12" s="8" t="s">
        <v>217</v>
      </c>
      <c r="D12" s="8" t="s">
        <v>167</v>
      </c>
      <c r="E12" s="38" t="str">
        <f>VLOOKUP($A12, [6]!ProductsTable[#Data], 3, FALSE)</f>
        <v>Victron</v>
      </c>
      <c r="F12" s="38" t="str">
        <f>VLOOKUP($A12, [6]!ProductsTable[#Data], 4, FALSE)</f>
        <v>BlueSolar PWM Lite12/24V-5A</v>
      </c>
      <c r="G12" s="38" t="str">
        <f>VLOOKUP($A12, [6]!ProductsTable[#Data], 5, FALSE)</f>
        <v>SCC010005000</v>
      </c>
      <c r="I12" s="41" t="e">
        <f>VLOOKUP($A12, [6]!ProductsTable[#Data], 7, FALSE)</f>
        <v>#REF!</v>
      </c>
      <c r="J12" s="39" t="e">
        <f>VLOOKUP($A12, [6]!ProductsTable[#Data], 8, FALSE)</f>
        <v>#REF!</v>
      </c>
      <c r="K12">
        <f>VLOOKUP($A12, [6]!ProductsTable[#Data], 9, FALSE)</f>
        <v>0</v>
      </c>
      <c r="L12" s="38">
        <f>VLOOKUP($A12, [6]!ProductsTable[#Data], 10, FALSE)</f>
        <v>0.16</v>
      </c>
      <c r="M12" s="38">
        <f>VLOOKUP($A12, [6]!ProductsTable[#Data], 11, FALSE)</f>
        <v>14</v>
      </c>
      <c r="N12" s="38">
        <f>VLOOKUP($A12, [6]!ProductsTable[#Data], 12, FALSE)</f>
        <v>7.5</v>
      </c>
      <c r="O12" s="38">
        <f>VLOOKUP($A12, [6]!ProductsTable[#Data], 13, FALSE)</f>
        <v>4</v>
      </c>
      <c r="R12" s="38" t="str">
        <f>VLOOKUP($A12, [6]!ProductsTable[#Data], 14, FALSE)</f>
        <v>1-Victron</v>
      </c>
      <c r="AE12" t="e">
        <f>COUNTIF('[7]product-export'!$A$2:$A$379, A12)</f>
        <v>#VALUE!</v>
      </c>
    </row>
    <row r="13" spans="1:31" x14ac:dyDescent="0.25">
      <c r="A13" s="76" t="s">
        <v>254</v>
      </c>
      <c r="B13" s="38" t="str">
        <f>VLOOKUP($A13, [6]!ProductsTable[#Data], 2, FALSE)</f>
        <v>Solar Controllers</v>
      </c>
      <c r="C13" s="8" t="s">
        <v>217</v>
      </c>
      <c r="D13" s="8" t="s">
        <v>167</v>
      </c>
      <c r="E13" s="38" t="str">
        <f>VLOOKUP($A13, [6]!ProductsTable[#Data], 3, FALSE)</f>
        <v>Victron</v>
      </c>
      <c r="F13" s="38" t="str">
        <f>VLOOKUP($A13, [6]!ProductsTable[#Data], 4, FALSE)</f>
        <v>BlueSolar PWM Lite12/24V-30A</v>
      </c>
      <c r="G13" s="38" t="str">
        <f>VLOOKUP($A13, [6]!ProductsTable[#Data], 5, FALSE)</f>
        <v>SCC010030020</v>
      </c>
      <c r="I13" s="41" t="e">
        <f>VLOOKUP($A13, [6]!ProductsTable[#Data], 7, FALSE)</f>
        <v>#REF!</v>
      </c>
      <c r="J13" s="39" t="e">
        <f>VLOOKUP($A13, [6]!ProductsTable[#Data], 8, FALSE)</f>
        <v>#REF!</v>
      </c>
      <c r="K13">
        <f>VLOOKUP($A13, [6]!ProductsTable[#Data], 9, FALSE)</f>
        <v>0</v>
      </c>
      <c r="L13" s="38">
        <f>VLOOKUP($A13, [6]!ProductsTable[#Data], 10, FALSE)</f>
        <v>0.16</v>
      </c>
      <c r="M13" s="38">
        <f>VLOOKUP($A13, [6]!ProductsTable[#Data], 11, FALSE)</f>
        <v>14</v>
      </c>
      <c r="N13" s="38">
        <f>VLOOKUP($A13, [6]!ProductsTable[#Data], 12, FALSE)</f>
        <v>7.5</v>
      </c>
      <c r="O13" s="38">
        <f>VLOOKUP($A13, [6]!ProductsTable[#Data], 13, FALSE)</f>
        <v>4</v>
      </c>
      <c r="R13" s="38" t="str">
        <f>VLOOKUP($A13, [6]!ProductsTable[#Data], 14, FALSE)</f>
        <v>1-Victron</v>
      </c>
      <c r="AE13" t="e">
        <f>COUNTIF('[7]product-export'!$A$2:$A$379, A13)</f>
        <v>#VALUE!</v>
      </c>
    </row>
    <row r="14" spans="1:31" x14ac:dyDescent="0.25">
      <c r="A14" s="76" t="s">
        <v>259</v>
      </c>
      <c r="B14" s="38" t="str">
        <f>VLOOKUP($A14, [6]!ProductsTable[#Data], 2, FALSE)</f>
        <v>Solar Panels</v>
      </c>
      <c r="C14" s="8" t="s">
        <v>216</v>
      </c>
      <c r="D14" s="8" t="s">
        <v>222</v>
      </c>
      <c r="E14" s="38" t="str">
        <f>VLOOKUP($A14, [6]!ProductsTable[#Data], 3, FALSE)</f>
        <v>Victron</v>
      </c>
      <c r="F14" s="38" t="str">
        <f>VLOOKUP($A14, [6]!ProductsTable[#Data], 4, FALSE)</f>
        <v>20W Poly Solar Panel 12V</v>
      </c>
      <c r="G14" s="38" t="str">
        <f>VLOOKUP($A14, [6]!ProductsTable[#Data], 5, FALSE)</f>
        <v>SPP040201200</v>
      </c>
      <c r="I14" s="41" t="e">
        <f>VLOOKUP($A14, [6]!ProductsTable[#Data], 7, FALSE)</f>
        <v>#REF!</v>
      </c>
      <c r="J14" s="39" t="e">
        <f>VLOOKUP($A14, [6]!ProductsTable[#Data], 8, FALSE)</f>
        <v>#REF!</v>
      </c>
      <c r="K14">
        <f>VLOOKUP($A14, [6]!ProductsTable[#Data], 9, FALSE)</f>
        <v>0</v>
      </c>
      <c r="L14" s="38">
        <f>VLOOKUP($A14, [6]!ProductsTable[#Data], 10, FALSE)</f>
        <v>2.2000000000000002</v>
      </c>
      <c r="M14" s="38">
        <f>VLOOKUP($A14, [6]!ProductsTable[#Data], 11, FALSE)</f>
        <v>48</v>
      </c>
      <c r="N14" s="38">
        <f>VLOOKUP($A14, [6]!ProductsTable[#Data], 12, FALSE)</f>
        <v>35</v>
      </c>
      <c r="O14" s="38">
        <f>VLOOKUP($A14, [6]!ProductsTable[#Data], 13, FALSE)</f>
        <v>2.5</v>
      </c>
      <c r="R14" s="38" t="str">
        <f>VLOOKUP($A14, [6]!ProductsTable[#Data], 14, FALSE)</f>
        <v>1-Victron</v>
      </c>
      <c r="AE14" t="e">
        <f>COUNTIF('[7]product-export'!$A$2:$A$379, A14)</f>
        <v>#VALUE!</v>
      </c>
    </row>
    <row r="15" spans="1:31" x14ac:dyDescent="0.25">
      <c r="A15" s="76" t="s">
        <v>277</v>
      </c>
      <c r="B15" s="38" t="str">
        <f>VLOOKUP($A15, [6]!ProductsTable[#Data], 2, FALSE)</f>
        <v>Control</v>
      </c>
      <c r="C15" s="8" t="s">
        <v>153</v>
      </c>
      <c r="D15" s="8" t="s">
        <v>230</v>
      </c>
      <c r="E15" s="38" t="str">
        <f>VLOOKUP($A15, [6]!ProductsTable[#Data], 3, FALSE)</f>
        <v>Plasmatronics</v>
      </c>
      <c r="F15" s="38" t="str">
        <f>VLOOKUP($A15, [6]!ProductsTable[#Data], 4, FALSE)</f>
        <v>DSA Dingo External Shunt Adapator &amp; Cable</v>
      </c>
      <c r="G15" s="38" t="str">
        <f>VLOOKUP($A15, [6]!ProductsTable[#Data], 5, FALSE)</f>
        <v>DSA</v>
      </c>
      <c r="I15" s="41" t="e">
        <f>VLOOKUP($A15, [6]!ProductsTable[#Data], 7, FALSE)</f>
        <v>#REF!</v>
      </c>
      <c r="J15" s="39" t="e">
        <f>VLOOKUP($A15, [6]!ProductsTable[#Data], 8, FALSE)</f>
        <v>#REF!</v>
      </c>
      <c r="K15">
        <f>VLOOKUP($A15, [6]!ProductsTable[#Data], 9, FALSE)</f>
        <v>0</v>
      </c>
      <c r="L15" s="38">
        <f>VLOOKUP($A15, [6]!ProductsTable[#Data], 10, FALSE)</f>
        <v>0.25</v>
      </c>
      <c r="M15" s="38">
        <f>VLOOKUP($A15, [6]!ProductsTable[#Data], 11, FALSE)</f>
        <v>8</v>
      </c>
      <c r="N15" s="38">
        <f>VLOOKUP($A15, [6]!ProductsTable[#Data], 12, FALSE)</f>
        <v>3.5</v>
      </c>
      <c r="O15" s="38">
        <f>VLOOKUP($A15, [6]!ProductsTable[#Data], 13, FALSE)</f>
        <v>3</v>
      </c>
      <c r="R15" s="38" t="str">
        <f>VLOOKUP($A15, [6]!ProductsTable[#Data], 14, FALSE)</f>
        <v>4-Plasmatronics</v>
      </c>
      <c r="AE15" t="e">
        <f>COUNTIF('[7]product-export'!$A$2:$A$379, A15)</f>
        <v>#VALUE!</v>
      </c>
    </row>
    <row r="16" spans="1:31" x14ac:dyDescent="0.25">
      <c r="A16" s="76" t="s">
        <v>278</v>
      </c>
      <c r="B16" s="38" t="str">
        <f>VLOOKUP($A16, [6]!ProductsTable[#Data], 2, FALSE)</f>
        <v>Control</v>
      </c>
      <c r="C16" s="8" t="s">
        <v>153</v>
      </c>
      <c r="D16" s="8" t="s">
        <v>230</v>
      </c>
      <c r="E16" s="38" t="str">
        <f>VLOOKUP($A16, [6]!ProductsTable[#Data], 3, FALSE)</f>
        <v>Plasmatronics</v>
      </c>
      <c r="F16" s="38" t="str">
        <f>VLOOKUP($A16, [6]!ProductsTable[#Data], 4, FALSE)</f>
        <v>DUSB Dingo USB to PC interface &amp; cable</v>
      </c>
      <c r="G16" s="38" t="str">
        <f>VLOOKUP($A16, [6]!ProductsTable[#Data], 5, FALSE)</f>
        <v>DUSB</v>
      </c>
      <c r="I16" s="41" t="e">
        <f>VLOOKUP($A16, [6]!ProductsTable[#Data], 7, FALSE)</f>
        <v>#REF!</v>
      </c>
      <c r="J16" s="39" t="e">
        <f>VLOOKUP($A16, [6]!ProductsTable[#Data], 8, FALSE)</f>
        <v>#REF!</v>
      </c>
      <c r="K16">
        <f>VLOOKUP($A16, [6]!ProductsTable[#Data], 9, FALSE)</f>
        <v>0</v>
      </c>
      <c r="L16" s="38">
        <f>VLOOKUP($A16, [6]!ProductsTable[#Data], 10, FALSE)</f>
        <v>0.25</v>
      </c>
      <c r="M16" s="38">
        <f>VLOOKUP($A16, [6]!ProductsTable[#Data], 11, FALSE)</f>
        <v>8</v>
      </c>
      <c r="N16" s="38">
        <f>VLOOKUP($A16, [6]!ProductsTable[#Data], 12, FALSE)</f>
        <v>3.5</v>
      </c>
      <c r="O16" s="38">
        <f>VLOOKUP($A16, [6]!ProductsTable[#Data], 13, FALSE)</f>
        <v>3</v>
      </c>
      <c r="R16" s="38" t="str">
        <f>VLOOKUP($A16, [6]!ProductsTable[#Data], 14, FALSE)</f>
        <v>4-Plasmatronics</v>
      </c>
      <c r="AE16" t="e">
        <f>COUNTIF('[7]product-export'!$A$2:$A$379, A16)</f>
        <v>#VALUE!</v>
      </c>
    </row>
    <row r="17" spans="1:31" x14ac:dyDescent="0.25">
      <c r="A17" s="76" t="s">
        <v>279</v>
      </c>
      <c r="B17" s="38" t="str">
        <f>VLOOKUP($A17, [6]!ProductsTable[#Data], 2, FALSE)</f>
        <v>Control</v>
      </c>
      <c r="C17" s="8" t="s">
        <v>153</v>
      </c>
      <c r="D17" s="8" t="s">
        <v>230</v>
      </c>
      <c r="E17" s="38" t="str">
        <f>VLOOKUP($A17, [6]!ProductsTable[#Data], 3, FALSE)</f>
        <v>Plasmatronics</v>
      </c>
      <c r="F17" s="38" t="str">
        <f>VLOOKUP($A17, [6]!ProductsTable[#Data], 4, FALSE)</f>
        <v>DRC Dingo remote control Monitor &amp; cable</v>
      </c>
      <c r="G17" s="38" t="str">
        <f>VLOOKUP($A17, [6]!ProductsTable[#Data], 5, FALSE)</f>
        <v>DRC</v>
      </c>
      <c r="I17" s="41" t="e">
        <f>VLOOKUP($A17, [6]!ProductsTable[#Data], 7, FALSE)</f>
        <v>#REF!</v>
      </c>
      <c r="J17" s="39" t="e">
        <f>VLOOKUP($A17, [6]!ProductsTable[#Data], 8, FALSE)</f>
        <v>#REF!</v>
      </c>
      <c r="K17">
        <f>VLOOKUP($A17, [6]!ProductsTable[#Data], 9, FALSE)</f>
        <v>0</v>
      </c>
      <c r="L17" s="38">
        <f>VLOOKUP($A17, [6]!ProductsTable[#Data], 10, FALSE)</f>
        <v>0.1</v>
      </c>
      <c r="M17" s="38">
        <f>VLOOKUP($A17, [6]!ProductsTable[#Data], 11, FALSE)</f>
        <v>12</v>
      </c>
      <c r="N17" s="38">
        <f>VLOOKUP($A17, [6]!ProductsTable[#Data], 12, FALSE)</f>
        <v>3</v>
      </c>
      <c r="O17" s="38">
        <f>VLOOKUP($A17, [6]!ProductsTable[#Data], 13, FALSE)</f>
        <v>2</v>
      </c>
      <c r="R17" s="38" t="str">
        <f>VLOOKUP($A17, [6]!ProductsTable[#Data], 14, FALSE)</f>
        <v>4-Plasmatronics</v>
      </c>
      <c r="AE17" t="e">
        <f>COUNTIF('[7]product-export'!$A$2:$A$379, A17)</f>
        <v>#VALUE!</v>
      </c>
    </row>
    <row r="18" spans="1:31" x14ac:dyDescent="0.25">
      <c r="A18" s="76" t="s">
        <v>243</v>
      </c>
      <c r="B18" s="38" t="str">
        <f>VLOOKUP($A18, [6]!ProductsTable[#Data], 2, FALSE)</f>
        <v>Inverters</v>
      </c>
      <c r="C18" s="8" t="s">
        <v>217</v>
      </c>
      <c r="D18" s="8" t="s">
        <v>231</v>
      </c>
      <c r="E18" s="38" t="str">
        <f>VLOOKUP($A18, [6]!ProductsTable[#Data], 3, FALSE)</f>
        <v>Victron</v>
      </c>
      <c r="F18" s="38" t="str">
        <f>VLOOKUP($A18, [6]!ProductsTable[#Data], 4, FALSE)</f>
        <v>Phoenix 12/1200 VE.Direct AU/NZ</v>
      </c>
      <c r="G18" s="38" t="str">
        <f>VLOOKUP($A18, [6]!ProductsTable[#Data], 5, FALSE)</f>
        <v>PIN122121300</v>
      </c>
      <c r="I18" s="41" t="e">
        <f>VLOOKUP($A18, [6]!ProductsTable[#Data], 7, FALSE)</f>
        <v>#REF!</v>
      </c>
      <c r="J18" s="39" t="e">
        <f>VLOOKUP($A18, [6]!ProductsTable[#Data], 8, FALSE)</f>
        <v>#REF!</v>
      </c>
      <c r="K18">
        <f>VLOOKUP($A18, [6]!ProductsTable[#Data], 9, FALSE)</f>
        <v>0</v>
      </c>
      <c r="L18" s="38">
        <f>VLOOKUP($A18, [6]!ProductsTable[#Data], 10, FALSE)</f>
        <v>7.4</v>
      </c>
      <c r="M18" s="38">
        <f>VLOOKUP($A18, [6]!ProductsTable[#Data], 11, FALSE)</f>
        <v>33</v>
      </c>
      <c r="N18" s="38">
        <f>VLOOKUP($A18, [6]!ProductsTable[#Data], 12, FALSE)</f>
        <v>23</v>
      </c>
      <c r="O18" s="38">
        <f>VLOOKUP($A18, [6]!ProductsTable[#Data], 13, FALSE)</f>
        <v>12</v>
      </c>
      <c r="R18" s="38" t="str">
        <f>VLOOKUP($A18, [6]!ProductsTable[#Data], 14, FALSE)</f>
        <v>1-Victron</v>
      </c>
      <c r="AE18" t="e">
        <f>COUNTIF('[7]product-export'!$A$2:$A$379, A18)</f>
        <v>#VALUE!</v>
      </c>
    </row>
    <row r="19" spans="1:31" x14ac:dyDescent="0.25">
      <c r="A19" s="76" t="s">
        <v>280</v>
      </c>
      <c r="B19" s="38" t="str">
        <f>VLOOKUP($A19, [6]!ProductsTable[#Data], 2, FALSE)</f>
        <v>Control</v>
      </c>
      <c r="C19" s="8" t="s">
        <v>153</v>
      </c>
      <c r="D19" s="8" t="s">
        <v>230</v>
      </c>
      <c r="E19" s="38" t="str">
        <f>VLOOKUP($A19, [6]!ProductsTable[#Data], 3, FALSE)</f>
        <v>Plasmatronics</v>
      </c>
      <c r="F19" s="38" t="str">
        <f>VLOOKUP($A19, [6]!ProductsTable[#Data], 4, FALSE)</f>
        <v>DCAB Dingo 3m accessories cable</v>
      </c>
      <c r="G19" s="38" t="str">
        <f>VLOOKUP($A19, [6]!ProductsTable[#Data], 5, FALSE)</f>
        <v>DCAB</v>
      </c>
      <c r="I19" s="41" t="e">
        <f>VLOOKUP($A19, [6]!ProductsTable[#Data], 7, FALSE)</f>
        <v>#REF!</v>
      </c>
      <c r="J19" s="39" t="e">
        <f>VLOOKUP($A19, [6]!ProductsTable[#Data], 8, FALSE)</f>
        <v>#REF!</v>
      </c>
      <c r="K19">
        <f>VLOOKUP($A19, [6]!ProductsTable[#Data], 9, FALSE)</f>
        <v>0</v>
      </c>
      <c r="L19" s="38">
        <f>VLOOKUP($A19, [6]!ProductsTable[#Data], 10, FALSE)</f>
        <v>0.1</v>
      </c>
      <c r="M19" s="38">
        <f>VLOOKUP($A19, [6]!ProductsTable[#Data], 11, FALSE)</f>
        <v>12</v>
      </c>
      <c r="N19" s="38">
        <f>VLOOKUP($A19, [6]!ProductsTable[#Data], 12, FALSE)</f>
        <v>3</v>
      </c>
      <c r="O19" s="38">
        <f>VLOOKUP($A19, [6]!ProductsTable[#Data], 13, FALSE)</f>
        <v>2</v>
      </c>
      <c r="R19" s="38" t="str">
        <f>VLOOKUP($A19, [6]!ProductsTable[#Data], 14, FALSE)</f>
        <v>4-Plasmatronics</v>
      </c>
      <c r="AE19" t="e">
        <f>COUNTIF('[7]product-export'!$A$2:$A$379, A19)</f>
        <v>#VALUE!</v>
      </c>
    </row>
    <row r="20" spans="1:31" x14ac:dyDescent="0.25">
      <c r="A20" s="76" t="s">
        <v>242</v>
      </c>
      <c r="B20" s="38" t="str">
        <f>VLOOKUP($A20, [6]!ProductsTable[#Data], 2, FALSE)</f>
        <v>Solar Controllers</v>
      </c>
      <c r="C20" s="8" t="s">
        <v>217</v>
      </c>
      <c r="D20" s="8" t="s">
        <v>167</v>
      </c>
      <c r="E20" s="38" t="str">
        <f>VLOOKUP($A20, [6]!ProductsTable[#Data], 3, FALSE)</f>
        <v>Victron</v>
      </c>
      <c r="F20" s="38" t="str">
        <f>VLOOKUP($A20, [6]!ProductsTable[#Data], 4, FALSE)</f>
        <v>BlueSolar MPPT 100/50</v>
      </c>
      <c r="G20" s="38" t="str">
        <f>VLOOKUP($A20, [6]!ProductsTable[#Data], 5, FALSE)</f>
        <v>SCC020050200</v>
      </c>
      <c r="I20" s="41" t="e">
        <f>VLOOKUP($A20, [6]!ProductsTable[#Data], 7, FALSE)</f>
        <v>#REF!</v>
      </c>
      <c r="J20" s="39" t="e">
        <f>VLOOKUP($A20, [6]!ProductsTable[#Data], 8, FALSE)</f>
        <v>#REF!</v>
      </c>
      <c r="K20">
        <f>VLOOKUP($A20, [6]!ProductsTable[#Data], 9, FALSE)</f>
        <v>0</v>
      </c>
      <c r="L20" s="38">
        <f>VLOOKUP($A20, [6]!ProductsTable[#Data], 10, FALSE)</f>
        <v>1.3</v>
      </c>
      <c r="M20" s="38">
        <f>VLOOKUP($A20, [6]!ProductsTable[#Data], 11, FALSE)</f>
        <v>19</v>
      </c>
      <c r="N20" s="38">
        <f>VLOOKUP($A20, [6]!ProductsTable[#Data], 12, FALSE)</f>
        <v>13.5</v>
      </c>
      <c r="O20" s="38">
        <f>VLOOKUP($A20, [6]!ProductsTable[#Data], 13, FALSE)</f>
        <v>7</v>
      </c>
      <c r="R20" s="38" t="str">
        <f>VLOOKUP($A20, [6]!ProductsTable[#Data], 14, FALSE)</f>
        <v>1-Victron</v>
      </c>
      <c r="AE20" t="e">
        <f>COUNTIF('[7]product-export'!$A$2:$A$379, A20)</f>
        <v>#VALUE!</v>
      </c>
    </row>
    <row r="21" spans="1:31" x14ac:dyDescent="0.25">
      <c r="A21" s="76" t="s">
        <v>261</v>
      </c>
      <c r="B21" s="38" t="str">
        <f>VLOOKUP($A21, [6]!ProductsTable[#Data], 2, FALSE)</f>
        <v>Inverters</v>
      </c>
      <c r="C21" s="8" t="s">
        <v>217</v>
      </c>
      <c r="D21" s="8" t="s">
        <v>231</v>
      </c>
      <c r="E21" s="38" t="str">
        <f>VLOOKUP($A21, [6]!ProductsTable[#Data], 3, FALSE)</f>
        <v>Victron</v>
      </c>
      <c r="F21" s="38" t="str">
        <f>VLOOKUP($A21, [6]!ProductsTable[#Data], 4, FALSE)</f>
        <v>Phoenix 12/250  VE.Direct Inverter</v>
      </c>
      <c r="G21" s="38" t="str">
        <f>VLOOKUP($A21, [6]!ProductsTable[#Data], 5, FALSE)</f>
        <v>PIN121251300</v>
      </c>
      <c r="I21" s="41" t="e">
        <f>VLOOKUP($A21, [6]!ProductsTable[#Data], 7, FALSE)</f>
        <v>#REF!</v>
      </c>
      <c r="J21" s="39" t="e">
        <f>VLOOKUP($A21, [6]!ProductsTable[#Data], 8, FALSE)</f>
        <v>#REF!</v>
      </c>
      <c r="K21">
        <f>VLOOKUP($A21, [6]!ProductsTable[#Data], 9, FALSE)</f>
        <v>0</v>
      </c>
      <c r="L21" s="38">
        <f>VLOOKUP($A21, [6]!ProductsTable[#Data], 10, FALSE)</f>
        <v>2.4</v>
      </c>
      <c r="M21" s="38">
        <f>VLOOKUP($A21, [6]!ProductsTable[#Data], 11, FALSE)</f>
        <v>26</v>
      </c>
      <c r="N21" s="38">
        <f>VLOOKUP($A21, [6]!ProductsTable[#Data], 12, FALSE)</f>
        <v>17</v>
      </c>
      <c r="O21" s="38">
        <f>VLOOKUP($A21, [6]!ProductsTable[#Data], 13, FALSE)</f>
        <v>9</v>
      </c>
      <c r="R21" s="38" t="str">
        <f>VLOOKUP($A21, [6]!ProductsTable[#Data], 14, FALSE)</f>
        <v>1-Victron</v>
      </c>
      <c r="AE21" t="e">
        <f>COUNTIF('[7]product-export'!$A$2:$A$379, A21)</f>
        <v>#VALUE!</v>
      </c>
    </row>
    <row r="22" spans="1:31" x14ac:dyDescent="0.25">
      <c r="A22" s="76" t="s">
        <v>244</v>
      </c>
      <c r="B22" s="38" t="str">
        <f>VLOOKUP($A22, [6]!ProductsTable[#Data], 2, FALSE)</f>
        <v>Inverters</v>
      </c>
      <c r="C22" s="8" t="s">
        <v>217</v>
      </c>
      <c r="D22" s="8" t="s">
        <v>231</v>
      </c>
      <c r="E22" s="38" t="str">
        <f>VLOOKUP($A22, [6]!ProductsTable[#Data], 3, FALSE)</f>
        <v>Victron</v>
      </c>
      <c r="F22" s="38" t="str">
        <f>VLOOKUP($A22, [6]!ProductsTable[#Data], 4, FALSE)</f>
        <v>Phoenix 12/375 VE.Direct Inverter</v>
      </c>
      <c r="G22" s="38" t="str">
        <f>VLOOKUP($A22, [6]!ProductsTable[#Data], 5, FALSE)</f>
        <v>PIN123750300</v>
      </c>
      <c r="I22" s="41" t="e">
        <f>VLOOKUP($A22, [6]!ProductsTable[#Data], 7, FALSE)</f>
        <v>#REF!</v>
      </c>
      <c r="J22" s="39" t="e">
        <f>VLOOKUP($A22, [6]!ProductsTable[#Data], 8, FALSE)</f>
        <v>#REF!</v>
      </c>
      <c r="K22">
        <f>VLOOKUP($A22, [6]!ProductsTable[#Data], 9, FALSE)</f>
        <v>0</v>
      </c>
      <c r="L22" s="38">
        <f>VLOOKUP($A22, [6]!ProductsTable[#Data], 10, FALSE)</f>
        <v>3</v>
      </c>
      <c r="M22" s="38">
        <f>VLOOKUP($A22, [6]!ProductsTable[#Data], 11, FALSE)</f>
        <v>26</v>
      </c>
      <c r="N22" s="38">
        <f>VLOOKUP($A22, [6]!ProductsTable[#Data], 12, FALSE)</f>
        <v>17</v>
      </c>
      <c r="O22" s="38">
        <f>VLOOKUP($A22, [6]!ProductsTable[#Data], 13, FALSE)</f>
        <v>9</v>
      </c>
      <c r="R22" s="38" t="str">
        <f>VLOOKUP($A22, [6]!ProductsTable[#Data], 14, FALSE)</f>
        <v>1-Victron</v>
      </c>
      <c r="AE22" t="e">
        <f>COUNTIF('[7]product-export'!$A$2:$A$379, A22)</f>
        <v>#VALUE!</v>
      </c>
    </row>
    <row r="23" spans="1:31" x14ac:dyDescent="0.25">
      <c r="A23" s="76" t="s">
        <v>549</v>
      </c>
      <c r="B23" s="38" t="str">
        <f>VLOOKUP($A23, [6]!ProductsTable[#Data], 2, FALSE)</f>
        <v>Fuses</v>
      </c>
      <c r="C23" s="8" t="s">
        <v>217</v>
      </c>
      <c r="D23" s="8" t="s">
        <v>172</v>
      </c>
      <c r="E23" s="38" t="str">
        <f>VLOOKUP($A23, [6]!ProductsTable[#Data], 3, FALSE)</f>
        <v>Noark</v>
      </c>
      <c r="F23" s="38" t="str">
        <f>VLOOKUP($A23, [6]!ProductsTable[#Data], 4, FALSE)</f>
        <v xml:space="preserve">MCB 20A 360V DC 2 Pole </v>
      </c>
      <c r="G23" s="38" t="str">
        <f>VLOOKUP($A23, [6]!ProductsTable[#Data], 5, FALSE)</f>
        <v>N84451</v>
      </c>
      <c r="I23" s="41" t="e">
        <f>VLOOKUP($A23, [6]!ProductsTable[#Data], 7, FALSE)</f>
        <v>#REF!</v>
      </c>
      <c r="J23" s="39" t="e">
        <f>VLOOKUP($A23, [6]!ProductsTable[#Data], 8, FALSE)</f>
        <v>#REF!</v>
      </c>
      <c r="K23">
        <f>VLOOKUP($A23, [6]!ProductsTable[#Data], 9, FALSE)</f>
        <v>0</v>
      </c>
      <c r="L23" s="38">
        <f>VLOOKUP($A23, [6]!ProductsTable[#Data], 10, FALSE)</f>
        <v>0.25</v>
      </c>
      <c r="M23" s="38">
        <f>VLOOKUP($A23, [6]!ProductsTable[#Data], 11, FALSE)</f>
        <v>9</v>
      </c>
      <c r="N23" s="38">
        <f>VLOOKUP($A23, [6]!ProductsTable[#Data], 12, FALSE)</f>
        <v>7.5</v>
      </c>
      <c r="O23" s="38">
        <f>VLOOKUP($A23, [6]!ProductsTable[#Data], 13, FALSE)</f>
        <v>3.5</v>
      </c>
      <c r="R23" s="38" t="str">
        <f>VLOOKUP($A23, [6]!ProductsTable[#Data], 14, FALSE)</f>
        <v>3-Tradezone</v>
      </c>
      <c r="AE23" t="e">
        <f>COUNTIF('[7]product-export'!$A$2:$A$379, A23)</f>
        <v>#VALUE!</v>
      </c>
    </row>
    <row r="24" spans="1:31" x14ac:dyDescent="0.25">
      <c r="A24" s="76" t="s">
        <v>238</v>
      </c>
      <c r="B24" s="38" t="str">
        <f>VLOOKUP($A24, [6]!ProductsTable[#Data], 2, FALSE)</f>
        <v>Solar Controllers</v>
      </c>
      <c r="C24" s="8" t="s">
        <v>217</v>
      </c>
      <c r="D24" s="8" t="s">
        <v>167</v>
      </c>
      <c r="E24" s="38" t="str">
        <f>VLOOKUP($A24, [6]!ProductsTable[#Data], 3, FALSE)</f>
        <v>Victron</v>
      </c>
      <c r="F24" s="38" t="str">
        <f>VLOOKUP($A24, [6]!ProductsTable[#Data], 4, FALSE)</f>
        <v>BlueSolar MPPT 75/15 Solar Controller</v>
      </c>
      <c r="G24" s="38" t="str">
        <f>VLOOKUP($A24, [6]!ProductsTable[#Data], 5, FALSE)</f>
        <v>SCC010015050R</v>
      </c>
      <c r="I24" s="41" t="e">
        <f>VLOOKUP($A24, [6]!ProductsTable[#Data], 7, FALSE)</f>
        <v>#REF!</v>
      </c>
      <c r="J24" s="39" t="e">
        <f>VLOOKUP($A24, [6]!ProductsTable[#Data], 8, FALSE)</f>
        <v>#REF!</v>
      </c>
      <c r="K24">
        <f>VLOOKUP($A24, [6]!ProductsTable[#Data], 9, FALSE)</f>
        <v>0</v>
      </c>
      <c r="L24" s="38">
        <f>VLOOKUP($A24, [6]!ProductsTable[#Data], 10, FALSE)</f>
        <v>0.5</v>
      </c>
      <c r="M24" s="38">
        <f>VLOOKUP($A24, [6]!ProductsTable[#Data], 11, FALSE)</f>
        <v>11.3</v>
      </c>
      <c r="N24" s="38">
        <f>VLOOKUP($A24, [6]!ProductsTable[#Data], 12, FALSE)</f>
        <v>10</v>
      </c>
      <c r="O24" s="38">
        <f>VLOOKUP($A24, [6]!ProductsTable[#Data], 13, FALSE)</f>
        <v>4</v>
      </c>
      <c r="R24" s="38" t="str">
        <f>VLOOKUP($A24, [6]!ProductsTable[#Data], 14, FALSE)</f>
        <v>1-Victron</v>
      </c>
      <c r="AE24" t="e">
        <f>COUNTIF('[7]product-export'!$A$2:$A$379, A24)</f>
        <v>#VALUE!</v>
      </c>
    </row>
    <row r="25" spans="1:31" x14ac:dyDescent="0.25">
      <c r="A25" s="76" t="s">
        <v>249</v>
      </c>
      <c r="B25" s="38" t="str">
        <f>VLOOKUP($A25, [6]!ProductsTable[#Data], 2, FALSE)</f>
        <v>Solar Controllers</v>
      </c>
      <c r="C25" s="8" t="s">
        <v>217</v>
      </c>
      <c r="D25" s="8" t="s">
        <v>167</v>
      </c>
      <c r="E25" s="38" t="str">
        <f>VLOOKUP($A25, [6]!ProductsTable[#Data], 3, FALSE)</f>
        <v>Plasmatronics</v>
      </c>
      <c r="F25" s="38" t="str">
        <f>VLOOKUP($A25, [6]!ProductsTable[#Data], 4, FALSE)</f>
        <v>Dingo D2020N 20A Solar Charge Controller</v>
      </c>
      <c r="G25" s="38" t="str">
        <f>VLOOKUP($A25, [6]!ProductsTable[#Data], 5, FALSE)</f>
        <v>D2020N</v>
      </c>
      <c r="I25" s="41" t="e">
        <f>VLOOKUP($A25, [6]!ProductsTable[#Data], 7, FALSE)</f>
        <v>#REF!</v>
      </c>
      <c r="J25" s="39" t="e">
        <f>VLOOKUP($A25, [6]!ProductsTable[#Data], 8, FALSE)</f>
        <v>#REF!</v>
      </c>
      <c r="K25">
        <f>VLOOKUP($A25, [6]!ProductsTable[#Data], 9, FALSE)</f>
        <v>0</v>
      </c>
      <c r="L25" s="38">
        <f>VLOOKUP($A25, [6]!ProductsTable[#Data], 10, FALSE)</f>
        <v>0.48199999999999998</v>
      </c>
      <c r="M25" s="38">
        <f>VLOOKUP($A25, [6]!ProductsTable[#Data], 11, FALSE)</f>
        <v>15.7</v>
      </c>
      <c r="N25" s="38">
        <f>VLOOKUP($A25, [6]!ProductsTable[#Data], 12, FALSE)</f>
        <v>12.4</v>
      </c>
      <c r="O25" s="38">
        <f>VLOOKUP($A25, [6]!ProductsTable[#Data], 13, FALSE)</f>
        <v>5.2</v>
      </c>
      <c r="R25" s="38" t="str">
        <f>VLOOKUP($A25, [6]!ProductsTable[#Data], 14, FALSE)</f>
        <v>4-Plasmatronics</v>
      </c>
      <c r="AE25" t="e">
        <f>COUNTIF('[7]product-export'!$A$2:$A$379, A25)</f>
        <v>#VALUE!</v>
      </c>
    </row>
    <row r="26" spans="1:31" x14ac:dyDescent="0.25">
      <c r="A26" s="76" t="s">
        <v>250</v>
      </c>
      <c r="B26" s="38" t="str">
        <f>VLOOKUP($A26, [6]!ProductsTable[#Data], 2, FALSE)</f>
        <v>Solar Controllers</v>
      </c>
      <c r="C26" s="8" t="s">
        <v>217</v>
      </c>
      <c r="D26" s="8" t="s">
        <v>167</v>
      </c>
      <c r="E26" s="38" t="str">
        <f>VLOOKUP($A26, [6]!ProductsTable[#Data], 3, FALSE)</f>
        <v>Plasmatronics</v>
      </c>
      <c r="F26" s="38" t="str">
        <f>VLOOKUP($A26, [6]!ProductsTable[#Data], 4, FALSE)</f>
        <v>Dingo D4040P 40A Solar Charge Controller</v>
      </c>
      <c r="G26" s="38" t="str">
        <f>VLOOKUP($A26, [6]!ProductsTable[#Data], 5, FALSE)</f>
        <v>D4040P</v>
      </c>
      <c r="I26" s="41" t="e">
        <f>VLOOKUP($A26, [6]!ProductsTable[#Data], 7, FALSE)</f>
        <v>#REF!</v>
      </c>
      <c r="J26" s="39" t="e">
        <f>VLOOKUP($A26, [6]!ProductsTable[#Data], 8, FALSE)</f>
        <v>#REF!</v>
      </c>
      <c r="K26">
        <f>VLOOKUP($A26, [6]!ProductsTable[#Data], 9, FALSE)</f>
        <v>0</v>
      </c>
      <c r="L26" s="38">
        <f>VLOOKUP($A26, [6]!ProductsTable[#Data], 10, FALSE)</f>
        <v>1.01</v>
      </c>
      <c r="M26" s="38">
        <f>VLOOKUP($A26, [6]!ProductsTable[#Data], 11, FALSE)</f>
        <v>18.8</v>
      </c>
      <c r="N26" s="38">
        <f>VLOOKUP($A26, [6]!ProductsTable[#Data], 12, FALSE)</f>
        <v>17.5</v>
      </c>
      <c r="O26" s="38">
        <f>VLOOKUP($A26, [6]!ProductsTable[#Data], 13, FALSE)</f>
        <v>5.7</v>
      </c>
      <c r="R26" s="38" t="str">
        <f>VLOOKUP($A26, [6]!ProductsTable[#Data], 14, FALSE)</f>
        <v>4-Plasmatronics</v>
      </c>
      <c r="AE26" t="e">
        <f>COUNTIF('[7]product-export'!$A$2:$A$379, A26)</f>
        <v>#VALUE!</v>
      </c>
    </row>
    <row r="27" spans="1:31" x14ac:dyDescent="0.25">
      <c r="A27" s="76" t="s">
        <v>474</v>
      </c>
      <c r="B27" s="38" t="str">
        <f>VLOOKUP($A27, [6]!ProductsTable[#Data], 2, FALSE)</f>
        <v>Solar Controllers</v>
      </c>
      <c r="C27" s="8" t="s">
        <v>217</v>
      </c>
      <c r="D27" s="8" t="s">
        <v>167</v>
      </c>
      <c r="E27" s="38" t="str">
        <f>VLOOKUP($A27, [6]!ProductsTable[#Data], 3, FALSE)</f>
        <v>Plasmatronics</v>
      </c>
      <c r="F27" s="38" t="str">
        <f>VLOOKUP($A27, [6]!ProductsTable[#Data], 4, FALSE)</f>
        <v>10A 24V Solar Charge Controller (LA)</v>
      </c>
      <c r="G27" s="38" t="str">
        <f>VLOOKUP($A27, [6]!ProductsTable[#Data], 5, FALSE)</f>
        <v>PR2410</v>
      </c>
      <c r="I27" s="41" t="e">
        <f>VLOOKUP($A27, [6]!ProductsTable[#Data], 7, FALSE)</f>
        <v>#REF!</v>
      </c>
      <c r="J27" s="39" t="e">
        <f>VLOOKUP($A27, [6]!ProductsTable[#Data], 8, FALSE)</f>
        <v>#REF!</v>
      </c>
      <c r="K27">
        <f>VLOOKUP($A27, [6]!ProductsTable[#Data], 9, FALSE)</f>
        <v>0</v>
      </c>
      <c r="L27" s="38">
        <f>VLOOKUP($A27, [6]!ProductsTable[#Data], 10, FALSE)</f>
        <v>0.3</v>
      </c>
      <c r="M27" s="38">
        <f>VLOOKUP($A27, [6]!ProductsTable[#Data], 11, FALSE)</f>
        <v>10</v>
      </c>
      <c r="N27" s="38">
        <f>VLOOKUP($A27, [6]!ProductsTable[#Data], 12, FALSE)</f>
        <v>5</v>
      </c>
      <c r="O27" s="38">
        <f>VLOOKUP($A27, [6]!ProductsTable[#Data], 13, FALSE)</f>
        <v>3</v>
      </c>
      <c r="R27" s="38" t="str">
        <f>VLOOKUP($A27, [6]!ProductsTable[#Data], 14, FALSE)</f>
        <v>4-Plasmatronics</v>
      </c>
      <c r="AE27" t="e">
        <f>COUNTIF('[7]product-export'!$A$2:$A$379, A27)</f>
        <v>#VALUE!</v>
      </c>
    </row>
    <row r="28" spans="1:31" x14ac:dyDescent="0.25">
      <c r="A28" s="76" t="s">
        <v>475</v>
      </c>
      <c r="B28" s="38" t="str">
        <f>VLOOKUP($A28, [6]!ProductsTable[#Data], 2, FALSE)</f>
        <v>Solar Controllers</v>
      </c>
      <c r="C28" s="8" t="s">
        <v>217</v>
      </c>
      <c r="D28" s="8" t="s">
        <v>167</v>
      </c>
      <c r="E28" s="38" t="str">
        <f>VLOOKUP($A28, [6]!ProductsTable[#Data], 3, FALSE)</f>
        <v>Plasmatronics</v>
      </c>
      <c r="F28" s="38" t="str">
        <f>VLOOKUP($A28, [6]!ProductsTable[#Data], 4, FALSE)</f>
        <v>10A 24V Solar Charge Controller (Gel)</v>
      </c>
      <c r="G28" s="38" t="str">
        <f>VLOOKUP($A28, [6]!ProductsTable[#Data], 5, FALSE)</f>
        <v>PR2410L</v>
      </c>
      <c r="I28" s="41" t="e">
        <f>VLOOKUP($A28, [6]!ProductsTable[#Data], 7, FALSE)</f>
        <v>#REF!</v>
      </c>
      <c r="J28" s="39" t="e">
        <f>VLOOKUP($A28, [6]!ProductsTable[#Data], 8, FALSE)</f>
        <v>#REF!</v>
      </c>
      <c r="K28">
        <f>VLOOKUP($A28, [6]!ProductsTable[#Data], 9, FALSE)</f>
        <v>0</v>
      </c>
      <c r="L28" s="38">
        <f>VLOOKUP($A28, [6]!ProductsTable[#Data], 10, FALSE)</f>
        <v>0.3</v>
      </c>
      <c r="M28" s="38">
        <f>VLOOKUP($A28, [6]!ProductsTable[#Data], 11, FALSE)</f>
        <v>10</v>
      </c>
      <c r="N28" s="38">
        <f>VLOOKUP($A28, [6]!ProductsTable[#Data], 12, FALSE)</f>
        <v>5</v>
      </c>
      <c r="O28" s="38">
        <f>VLOOKUP($A28, [6]!ProductsTable[#Data], 13, FALSE)</f>
        <v>3</v>
      </c>
      <c r="R28" s="38" t="str">
        <f>VLOOKUP($A28, [6]!ProductsTable[#Data], 14, FALSE)</f>
        <v>4-Plasmatronics</v>
      </c>
      <c r="AE28" t="e">
        <f>COUNTIF('[7]product-export'!$A$2:$A$379, A28)</f>
        <v>#VALUE!</v>
      </c>
    </row>
    <row r="29" spans="1:31" x14ac:dyDescent="0.25">
      <c r="A29" s="76" t="s">
        <v>270</v>
      </c>
      <c r="B29" s="38" t="str">
        <f>VLOOKUP($A29, [6]!ProductsTable[#Data], 2, FALSE)</f>
        <v>Control</v>
      </c>
      <c r="C29" s="8" t="s">
        <v>153</v>
      </c>
      <c r="D29" s="8" t="s">
        <v>182</v>
      </c>
      <c r="E29" s="38" t="str">
        <f>VLOOKUP($A29, [6]!ProductsTable[#Data], 3, FALSE)</f>
        <v>Plasmatronics</v>
      </c>
      <c r="F29" s="38" t="str">
        <f>VLOOKUP($A29, [6]!ProductsTable[#Data], 4, FALSE)</f>
        <v>SH200 Current shunt 75mV/200A</v>
      </c>
      <c r="G29" s="38" t="str">
        <f>VLOOKUP($A29, [6]!ProductsTable[#Data], 5, FALSE)</f>
        <v>SH200</v>
      </c>
      <c r="I29" s="41" t="e">
        <f>VLOOKUP($A29, [6]!ProductsTable[#Data], 7, FALSE)</f>
        <v>#REF!</v>
      </c>
      <c r="J29" s="39" t="e">
        <f>VLOOKUP($A29, [6]!ProductsTable[#Data], 8, FALSE)</f>
        <v>#REF!</v>
      </c>
      <c r="K29">
        <f>VLOOKUP($A29, [6]!ProductsTable[#Data], 9, FALSE)</f>
        <v>0</v>
      </c>
      <c r="L29" s="38">
        <f>VLOOKUP($A29, [6]!ProductsTable[#Data], 10, FALSE)</f>
        <v>0.6</v>
      </c>
      <c r="M29" s="38">
        <f>VLOOKUP($A29, [6]!ProductsTable[#Data], 11, FALSE)</f>
        <v>10</v>
      </c>
      <c r="N29" s="38">
        <f>VLOOKUP($A29, [6]!ProductsTable[#Data], 12, FALSE)</f>
        <v>3</v>
      </c>
      <c r="O29" s="38">
        <f>VLOOKUP($A29, [6]!ProductsTable[#Data], 13, FALSE)</f>
        <v>3.5</v>
      </c>
      <c r="R29" s="38" t="str">
        <f>VLOOKUP($A29, [6]!ProductsTable[#Data], 14, FALSE)</f>
        <v>4-Plasmatronics</v>
      </c>
      <c r="AE29" t="e">
        <f>COUNTIF('[7]product-export'!$A$2:$A$379, A29)</f>
        <v>#VALUE!</v>
      </c>
    </row>
    <row r="30" spans="1:31" x14ac:dyDescent="0.25">
      <c r="A30" s="76" t="s">
        <v>239</v>
      </c>
      <c r="B30" s="38" t="str">
        <f>VLOOKUP($A30, [6]!ProductsTable[#Data], 2, FALSE)</f>
        <v>Control</v>
      </c>
      <c r="C30" s="8" t="s">
        <v>153</v>
      </c>
      <c r="D30" s="8" t="s">
        <v>230</v>
      </c>
      <c r="E30" s="38" t="str">
        <f>VLOOKUP($A30, [6]!ProductsTable[#Data], 3, FALSE)</f>
        <v>Plasmatronics</v>
      </c>
      <c r="F30" s="38" t="str">
        <f>VLOOKUP($A30, [6]!ProductsTable[#Data], 4, FALSE)</f>
        <v>PLS2 External shunt adaptor (shielded data cable W/X/Y/Z-S NOT included).</v>
      </c>
      <c r="G30" s="38" t="str">
        <f>VLOOKUP($A30, [6]!ProductsTable[#Data], 5, FALSE)</f>
        <v>PLS2</v>
      </c>
      <c r="I30" s="41" t="e">
        <f>VLOOKUP($A30, [6]!ProductsTable[#Data], 7, FALSE)</f>
        <v>#REF!</v>
      </c>
      <c r="J30" s="39" t="e">
        <f>VLOOKUP($A30, [6]!ProductsTable[#Data], 8, FALSE)</f>
        <v>#REF!</v>
      </c>
      <c r="K30">
        <f>VLOOKUP($A30, [6]!ProductsTable[#Data], 9, FALSE)</f>
        <v>0</v>
      </c>
      <c r="L30" s="38">
        <f>VLOOKUP($A30, [6]!ProductsTable[#Data], 10, FALSE)</f>
        <v>0.25</v>
      </c>
      <c r="M30" s="38">
        <f>VLOOKUP($A30, [6]!ProductsTable[#Data], 11, FALSE)</f>
        <v>8</v>
      </c>
      <c r="N30" s="38">
        <f>VLOOKUP($A30, [6]!ProductsTable[#Data], 12, FALSE)</f>
        <v>3.5</v>
      </c>
      <c r="O30" s="38">
        <f>VLOOKUP($A30, [6]!ProductsTable[#Data], 13, FALSE)</f>
        <v>3</v>
      </c>
      <c r="R30" s="38" t="str">
        <f>VLOOKUP($A30, [6]!ProductsTable[#Data], 14, FALSE)</f>
        <v>4-Plasmatronics</v>
      </c>
      <c r="AE30" t="e">
        <f>COUNTIF('[7]product-export'!$A$2:$A$379, A30)</f>
        <v>#VALUE!</v>
      </c>
    </row>
    <row r="31" spans="1:31" x14ac:dyDescent="0.25">
      <c r="A31" s="76" t="s">
        <v>240</v>
      </c>
      <c r="B31" s="38" t="str">
        <f>VLOOKUP($A31, [6]!ProductsTable[#Data], 2, FALSE)</f>
        <v>Control</v>
      </c>
      <c r="C31" s="8" t="s">
        <v>153</v>
      </c>
      <c r="D31" s="8" t="s">
        <v>179</v>
      </c>
      <c r="E31" s="38" t="str">
        <f>VLOOKUP($A31, [6]!ProductsTable[#Data], 3, FALSE)</f>
        <v>Plasmatronics</v>
      </c>
      <c r="F31" s="38" t="str">
        <f>VLOOKUP($A31, [6]!ProductsTable[#Data], 4, FALSE)</f>
        <v>PLM Remote Monitor</v>
      </c>
      <c r="G31" s="38" t="str">
        <f>VLOOKUP($A31, [6]!ProductsTable[#Data], 5, FALSE)</f>
        <v>PLM</v>
      </c>
      <c r="I31" s="41" t="e">
        <f>VLOOKUP($A31, [6]!ProductsTable[#Data], 7, FALSE)</f>
        <v>#REF!</v>
      </c>
      <c r="J31" s="39" t="e">
        <f>VLOOKUP($A31, [6]!ProductsTable[#Data], 8, FALSE)</f>
        <v>#REF!</v>
      </c>
      <c r="K31">
        <f>VLOOKUP($A31, [6]!ProductsTable[#Data], 9, FALSE)</f>
        <v>0</v>
      </c>
      <c r="L31" s="38">
        <f>VLOOKUP($A31, [6]!ProductsTable[#Data], 10, FALSE)</f>
        <v>0.25</v>
      </c>
      <c r="M31" s="38">
        <f>VLOOKUP($A31, [6]!ProductsTable[#Data], 11, FALSE)</f>
        <v>13</v>
      </c>
      <c r="N31" s="38">
        <f>VLOOKUP($A31, [6]!ProductsTable[#Data], 12, FALSE)</f>
        <v>7</v>
      </c>
      <c r="O31" s="38">
        <f>VLOOKUP($A31, [6]!ProductsTable[#Data], 13, FALSE)</f>
        <v>2</v>
      </c>
      <c r="R31" s="38" t="str">
        <f>VLOOKUP($A31, [6]!ProductsTable[#Data], 14, FALSE)</f>
        <v>4-Plasmatronics</v>
      </c>
      <c r="AE31" t="e">
        <f>COUNTIF('[7]product-export'!$A$2:$A$379, A31)</f>
        <v>#VALUE!</v>
      </c>
    </row>
    <row r="32" spans="1:31" x14ac:dyDescent="0.25">
      <c r="A32" s="76" t="s">
        <v>241</v>
      </c>
      <c r="B32" s="38" t="str">
        <f>VLOOKUP($A32, [6]!ProductsTable[#Data], 2, FALSE)</f>
        <v>Control</v>
      </c>
      <c r="C32" s="8" t="s">
        <v>153</v>
      </c>
      <c r="D32" s="8" t="s">
        <v>230</v>
      </c>
      <c r="E32" s="38" t="str">
        <f>VLOOKUP($A32, [6]!ProductsTable[#Data], 3, FALSE)</f>
        <v>Plasmatronics</v>
      </c>
      <c r="F32" s="38" t="str">
        <f>VLOOKUP($A32, [6]!ProductsTable[#Data], 4, FALSE)</f>
        <v>WYS Shielded Cable 3m</v>
      </c>
      <c r="G32" s="38" t="str">
        <f>VLOOKUP($A32, [6]!ProductsTable[#Data], 5, FALSE)</f>
        <v>WYS</v>
      </c>
      <c r="I32" s="41" t="e">
        <f>VLOOKUP($A32, [6]!ProductsTable[#Data], 7, FALSE)</f>
        <v>#REF!</v>
      </c>
      <c r="J32" s="39" t="e">
        <f>VLOOKUP($A32, [6]!ProductsTable[#Data], 8, FALSE)</f>
        <v>#REF!</v>
      </c>
      <c r="K32">
        <f>VLOOKUP($A32, [6]!ProductsTable[#Data], 9, FALSE)</f>
        <v>0</v>
      </c>
      <c r="L32" s="38">
        <f>VLOOKUP($A32, [6]!ProductsTable[#Data], 10, FALSE)</f>
        <v>0.1</v>
      </c>
      <c r="M32" s="38">
        <f>VLOOKUP($A32, [6]!ProductsTable[#Data], 11, FALSE)</f>
        <v>12</v>
      </c>
      <c r="N32" s="38">
        <f>VLOOKUP($A32, [6]!ProductsTable[#Data], 12, FALSE)</f>
        <v>3</v>
      </c>
      <c r="O32" s="38">
        <f>VLOOKUP($A32, [6]!ProductsTable[#Data], 13, FALSE)</f>
        <v>2</v>
      </c>
      <c r="R32" s="38" t="str">
        <f>VLOOKUP($A32, [6]!ProductsTable[#Data], 14, FALSE)</f>
        <v>4-Plasmatronics</v>
      </c>
      <c r="AE32" t="e">
        <f>COUNTIF('[7]product-export'!$A$2:$A$379, A32)</f>
        <v>#VALUE!</v>
      </c>
    </row>
    <row r="33" spans="1:31" x14ac:dyDescent="0.25">
      <c r="A33" s="76" t="s">
        <v>272</v>
      </c>
      <c r="B33" s="38" t="str">
        <f>VLOOKUP($A33, [6]!ProductsTable[#Data], 2, FALSE)</f>
        <v>Control</v>
      </c>
      <c r="C33" s="8" t="s">
        <v>153</v>
      </c>
      <c r="D33" s="8" t="s">
        <v>230</v>
      </c>
      <c r="E33" s="38" t="str">
        <f>VLOOKUP($A33, [6]!ProductsTable[#Data], 3, FALSE)</f>
        <v>Plasmatronics</v>
      </c>
      <c r="F33" s="38" t="str">
        <f>VLOOKUP($A33, [6]!ProductsTable[#Data], 4, FALSE)</f>
        <v>WXS Shielded Cable 3m</v>
      </c>
      <c r="G33" s="38" t="str">
        <f>VLOOKUP($A33, [6]!ProductsTable[#Data], 5, FALSE)</f>
        <v>WXS</v>
      </c>
      <c r="I33" s="41" t="e">
        <f>VLOOKUP($A33, [6]!ProductsTable[#Data], 7, FALSE)</f>
        <v>#REF!</v>
      </c>
      <c r="J33" s="39" t="e">
        <f>VLOOKUP($A33, [6]!ProductsTable[#Data], 8, FALSE)</f>
        <v>#REF!</v>
      </c>
      <c r="K33">
        <f>VLOOKUP($A33, [6]!ProductsTable[#Data], 9, FALSE)</f>
        <v>0</v>
      </c>
      <c r="L33" s="38">
        <f>VLOOKUP($A33, [6]!ProductsTable[#Data], 10, FALSE)</f>
        <v>0.1</v>
      </c>
      <c r="M33" s="38">
        <f>VLOOKUP($A33, [6]!ProductsTable[#Data], 11, FALSE)</f>
        <v>12</v>
      </c>
      <c r="N33" s="38">
        <f>VLOOKUP($A33, [6]!ProductsTable[#Data], 12, FALSE)</f>
        <v>3</v>
      </c>
      <c r="O33" s="38">
        <f>VLOOKUP($A33, [6]!ProductsTable[#Data], 13, FALSE)</f>
        <v>2</v>
      </c>
      <c r="R33" s="38" t="str">
        <f>VLOOKUP($A33, [6]!ProductsTable[#Data], 14, FALSE)</f>
        <v>4-Plasmatronics</v>
      </c>
      <c r="AE33" t="e">
        <f>COUNTIF('[7]product-export'!$A$2:$A$379, A33)</f>
        <v>#VALUE!</v>
      </c>
    </row>
    <row r="34" spans="1:31" x14ac:dyDescent="0.25">
      <c r="A34" s="76" t="s">
        <v>273</v>
      </c>
      <c r="B34" s="38" t="str">
        <f>VLOOKUP($A34, [6]!ProductsTable[#Data], 2, FALSE)</f>
        <v>Control</v>
      </c>
      <c r="C34" s="8" t="s">
        <v>153</v>
      </c>
      <c r="D34" s="8" t="s">
        <v>230</v>
      </c>
      <c r="E34" s="38" t="str">
        <f>VLOOKUP($A34, [6]!ProductsTable[#Data], 3, FALSE)</f>
        <v>Plasmatronics</v>
      </c>
      <c r="F34" s="38" t="str">
        <f>VLOOKUP($A34, [6]!ProductsTable[#Data], 4, FALSE)</f>
        <v>WZS Shielded Cable 3m</v>
      </c>
      <c r="G34" s="38" t="str">
        <f>VLOOKUP($A34, [6]!ProductsTable[#Data], 5, FALSE)</f>
        <v>WZS</v>
      </c>
      <c r="I34" s="41" t="e">
        <f>VLOOKUP($A34, [6]!ProductsTable[#Data], 7, FALSE)</f>
        <v>#REF!</v>
      </c>
      <c r="J34" s="39" t="e">
        <f>VLOOKUP($A34, [6]!ProductsTable[#Data], 8, FALSE)</f>
        <v>#REF!</v>
      </c>
      <c r="K34">
        <f>VLOOKUP($A34, [6]!ProductsTable[#Data], 9, FALSE)</f>
        <v>0</v>
      </c>
      <c r="L34" s="38">
        <f>VLOOKUP($A34, [6]!ProductsTable[#Data], 10, FALSE)</f>
        <v>0.1</v>
      </c>
      <c r="M34" s="38">
        <f>VLOOKUP($A34, [6]!ProductsTable[#Data], 11, FALSE)</f>
        <v>12</v>
      </c>
      <c r="N34" s="38">
        <f>VLOOKUP($A34, [6]!ProductsTable[#Data], 12, FALSE)</f>
        <v>3</v>
      </c>
      <c r="O34" s="38">
        <f>VLOOKUP($A34, [6]!ProductsTable[#Data], 13, FALSE)</f>
        <v>2</v>
      </c>
      <c r="R34" s="38" t="str">
        <f>VLOOKUP($A34, [6]!ProductsTable[#Data], 14, FALSE)</f>
        <v>4-Plasmatronics</v>
      </c>
      <c r="AE34" t="e">
        <f>COUNTIF('[7]product-export'!$A$2:$A$379, A34)</f>
        <v>#VALUE!</v>
      </c>
    </row>
    <row r="35" spans="1:31" x14ac:dyDescent="0.25">
      <c r="A35" s="76" t="s">
        <v>600</v>
      </c>
      <c r="B35" s="38" t="str">
        <f>VLOOKUP($A35, [6]!ProductsTable[#Data], 2, FALSE)</f>
        <v>Solar Controllers</v>
      </c>
      <c r="C35" s="8" t="s">
        <v>217</v>
      </c>
      <c r="D35" s="8" t="s">
        <v>167</v>
      </c>
      <c r="E35" s="38" t="str">
        <f>VLOOKUP($A35, [6]!ProductsTable[#Data], 3, FALSE)</f>
        <v>Plasmatronics</v>
      </c>
      <c r="F35" s="38" t="str">
        <f>VLOOKUP($A35, [6]!ProductsTable[#Data], 4, FALSE)</f>
        <v>PL80 80A Solar Charge Controller</v>
      </c>
      <c r="G35" s="38" t="str">
        <f>VLOOKUP($A35, [6]!ProductsTable[#Data], 5, FALSE)</f>
        <v>PL80e</v>
      </c>
      <c r="I35" s="41" t="e">
        <f>VLOOKUP($A35, [6]!ProductsTable[#Data], 7, FALSE)</f>
        <v>#REF!</v>
      </c>
      <c r="J35" s="39" t="e">
        <f>VLOOKUP($A35, [6]!ProductsTable[#Data], 8, FALSE)</f>
        <v>#REF!</v>
      </c>
      <c r="K35">
        <f>VLOOKUP($A35, [6]!ProductsTable[#Data], 9, FALSE)</f>
        <v>0</v>
      </c>
      <c r="L35" s="38">
        <f>VLOOKUP($A35, [6]!ProductsTable[#Data], 10, FALSE)</f>
        <v>1.4</v>
      </c>
      <c r="M35" s="38">
        <f>VLOOKUP($A35, [6]!ProductsTable[#Data], 11, FALSE)</f>
        <v>24</v>
      </c>
      <c r="N35" s="38">
        <f>VLOOKUP($A35, [6]!ProductsTable[#Data], 12, FALSE)</f>
        <v>20</v>
      </c>
      <c r="O35" s="38">
        <f>VLOOKUP($A35, [6]!ProductsTable[#Data], 13, FALSE)</f>
        <v>6.7</v>
      </c>
      <c r="R35" s="38" t="str">
        <f>VLOOKUP($A35, [6]!ProductsTable[#Data], 14, FALSE)</f>
        <v>4-Plasmatronics</v>
      </c>
      <c r="AE35" t="e">
        <f>COUNTIF('[7]product-export'!$A$2:$A$379, A35)</f>
        <v>#VALUE!</v>
      </c>
    </row>
    <row r="36" spans="1:31" x14ac:dyDescent="0.25">
      <c r="A36" s="76" t="s">
        <v>274</v>
      </c>
      <c r="B36" s="38" t="str">
        <f>VLOOKUP($A36, [6]!ProductsTable[#Data], 2, FALSE)</f>
        <v>Control</v>
      </c>
      <c r="C36" s="8" t="s">
        <v>153</v>
      </c>
      <c r="D36" s="8" t="s">
        <v>230</v>
      </c>
      <c r="E36" s="38" t="str">
        <f>VLOOKUP($A36, [6]!ProductsTable[#Data], 3, FALSE)</f>
        <v>Plasmatronics</v>
      </c>
      <c r="F36" s="38" t="str">
        <f>VLOOKUP($A36, [6]!ProductsTable[#Data], 4, FALSE)</f>
        <v>DNET for Dingo</v>
      </c>
      <c r="G36" s="38" t="str">
        <f>VLOOKUP($A36, [6]!ProductsTable[#Data], 5, FALSE)</f>
        <v>DNET</v>
      </c>
      <c r="I36" s="41" t="e">
        <f>VLOOKUP($A36, [6]!ProductsTable[#Data], 7, FALSE)</f>
        <v>#REF!</v>
      </c>
      <c r="J36" s="39" t="e">
        <f>VLOOKUP($A36, [6]!ProductsTable[#Data], 8, FALSE)</f>
        <v>#REF!</v>
      </c>
      <c r="K36">
        <f>VLOOKUP($A36, [6]!ProductsTable[#Data], 9, FALSE)</f>
        <v>0</v>
      </c>
      <c r="L36" s="38">
        <f>VLOOKUP($A36, [6]!ProductsTable[#Data], 10, FALSE)</f>
        <v>0.2</v>
      </c>
      <c r="M36" s="38">
        <f>VLOOKUP($A36, [6]!ProductsTable[#Data], 11, FALSE)</f>
        <v>9</v>
      </c>
      <c r="N36" s="38">
        <f>VLOOKUP($A36, [6]!ProductsTable[#Data], 12, FALSE)</f>
        <v>3</v>
      </c>
      <c r="O36" s="38">
        <f>VLOOKUP($A36, [6]!ProductsTable[#Data], 13, FALSE)</f>
        <v>3</v>
      </c>
      <c r="R36" s="38" t="str">
        <f>VLOOKUP($A36, [6]!ProductsTable[#Data], 14, FALSE)</f>
        <v>4-Plasmatronics</v>
      </c>
      <c r="AE36" t="e">
        <f>COUNTIF('[7]product-export'!$A$2:$A$379, A36)</f>
        <v>#VALUE!</v>
      </c>
    </row>
    <row r="37" spans="1:31" x14ac:dyDescent="0.25">
      <c r="A37" s="76" t="s">
        <v>271</v>
      </c>
      <c r="B37" s="38" t="str">
        <f>VLOOKUP($A37, [6]!ProductsTable[#Data], 2, FALSE)</f>
        <v>Control</v>
      </c>
      <c r="C37" s="8" t="s">
        <v>153</v>
      </c>
      <c r="D37" s="8" t="s">
        <v>230</v>
      </c>
      <c r="E37" s="38" t="str">
        <f>VLOOKUP($A37, [6]!ProductsTable[#Data], 3, FALSE)</f>
        <v>Plasmatronics</v>
      </c>
      <c r="F37" s="38" t="str">
        <f>VLOOKUP($A37, [6]!ProductsTable[#Data], 4, FALSE)</f>
        <v>PLI RS232 Serial interface</v>
      </c>
      <c r="G37" s="38" t="str">
        <f>VLOOKUP($A37, [6]!ProductsTable[#Data], 5, FALSE)</f>
        <v>PLI</v>
      </c>
      <c r="I37" s="41" t="e">
        <f>VLOOKUP($A37, [6]!ProductsTable[#Data], 7, FALSE)</f>
        <v>#REF!</v>
      </c>
      <c r="J37" s="39" t="e">
        <f>VLOOKUP($A37, [6]!ProductsTable[#Data], 8, FALSE)</f>
        <v>#REF!</v>
      </c>
      <c r="K37">
        <f>VLOOKUP($A37, [6]!ProductsTable[#Data], 9, FALSE)</f>
        <v>0</v>
      </c>
      <c r="L37" s="38">
        <f>VLOOKUP($A37, [6]!ProductsTable[#Data], 10, FALSE)</f>
        <v>0.1</v>
      </c>
      <c r="M37" s="38">
        <f>VLOOKUP($A37, [6]!ProductsTable[#Data], 11, FALSE)</f>
        <v>8</v>
      </c>
      <c r="N37" s="38">
        <f>VLOOKUP($A37, [6]!ProductsTable[#Data], 12, FALSE)</f>
        <v>3.5</v>
      </c>
      <c r="O37" s="38">
        <f>VLOOKUP($A37, [6]!ProductsTable[#Data], 13, FALSE)</f>
        <v>3</v>
      </c>
      <c r="R37" s="38" t="str">
        <f>VLOOKUP($A37, [6]!ProductsTable[#Data], 14, FALSE)</f>
        <v>4-Plasmatronics</v>
      </c>
      <c r="AE37" t="e">
        <f>COUNTIF('[7]product-export'!$A$2:$A$379, A37)</f>
        <v>#VALUE!</v>
      </c>
    </row>
    <row r="38" spans="1:31" x14ac:dyDescent="0.25">
      <c r="A38" s="76" t="s">
        <v>255</v>
      </c>
      <c r="B38" s="38" t="str">
        <f>VLOOKUP($A38, [6]!ProductsTable[#Data], 2, FALSE)</f>
        <v>Inverter-Chargers</v>
      </c>
      <c r="C38" s="8" t="s">
        <v>217</v>
      </c>
      <c r="D38" s="8" t="s">
        <v>171</v>
      </c>
      <c r="E38" s="38" t="str">
        <f>VLOOKUP($A38, [6]!ProductsTable[#Data], 3, FALSE)</f>
        <v>Victron</v>
      </c>
      <c r="F38" s="38" t="str">
        <f>VLOOKUP($A38, [6]!ProductsTable[#Data], 4, FALSE)</f>
        <v>EasySolar 24/3000/70-50</v>
      </c>
      <c r="G38" s="38" t="str">
        <f>VLOOKUP($A38, [6]!ProductsTable[#Data], 5, FALSE)</f>
        <v>PMP243027010</v>
      </c>
      <c r="I38" s="41" t="e">
        <f>VLOOKUP($A38, [6]!ProductsTable[#Data], 7, FALSE)</f>
        <v>#REF!</v>
      </c>
      <c r="J38" s="39" t="e">
        <f>VLOOKUP($A38, [6]!ProductsTable[#Data], 8, FALSE)</f>
        <v>#REF!</v>
      </c>
      <c r="K38">
        <f>VLOOKUP($A38, [6]!ProductsTable[#Data], 9, FALSE)</f>
        <v>0</v>
      </c>
      <c r="L38" s="38">
        <f>VLOOKUP($A38, [6]!ProductsTable[#Data], 10, FALSE)</f>
        <v>28</v>
      </c>
      <c r="M38" s="38">
        <f>VLOOKUP($A38, [6]!ProductsTable[#Data], 11, FALSE)</f>
        <v>81</v>
      </c>
      <c r="N38" s="38">
        <f>VLOOKUP($A38, [6]!ProductsTable[#Data], 12, FALSE)</f>
        <v>26</v>
      </c>
      <c r="O38" s="38">
        <f>VLOOKUP($A38, [6]!ProductsTable[#Data], 13, FALSE)</f>
        <v>22</v>
      </c>
      <c r="R38" s="38" t="str">
        <f>VLOOKUP($A38, [6]!ProductsTable[#Data], 14, FALSE)</f>
        <v>1-Victron</v>
      </c>
      <c r="AE38" t="e">
        <f>COUNTIF('[7]product-export'!$A$2:$A$379, A38)</f>
        <v>#VALUE!</v>
      </c>
    </row>
    <row r="39" spans="1:31" x14ac:dyDescent="0.25">
      <c r="A39" s="76" t="s">
        <v>266</v>
      </c>
      <c r="B39" s="38" t="str">
        <f>VLOOKUP($A39, [6]!ProductsTable[#Data], 2, FALSE)</f>
        <v>Inverters</v>
      </c>
      <c r="C39" s="8" t="s">
        <v>217</v>
      </c>
      <c r="D39" s="8" t="s">
        <v>168</v>
      </c>
      <c r="E39" s="38" t="str">
        <f>VLOOKUP($A39, [6]!ProductsTable[#Data], 3, FALSE)</f>
        <v>SMA</v>
      </c>
      <c r="F39" s="38" t="str">
        <f>VLOOKUP($A39, [6]!ProductsTable[#Data], 4, FALSE)</f>
        <v xml:space="preserve"> Sunny Boy 5.0kW Inverter</v>
      </c>
      <c r="G39" s="38" t="str">
        <f>VLOOKUP($A39, [6]!ProductsTable[#Data], 5, FALSE)</f>
        <v>SB 5.0-1</v>
      </c>
      <c r="I39" s="41" t="e">
        <f>VLOOKUP($A39, [6]!ProductsTable[#Data], 7, FALSE)</f>
        <v>#REF!</v>
      </c>
      <c r="J39" s="39" t="e">
        <f>VLOOKUP($A39, [6]!ProductsTable[#Data], 8, FALSE)</f>
        <v>#REF!</v>
      </c>
      <c r="K39">
        <f>VLOOKUP($A39, [6]!ProductsTable[#Data], 9, FALSE)</f>
        <v>0</v>
      </c>
      <c r="L39" s="38">
        <f>VLOOKUP($A39, [6]!ProductsTable[#Data], 10, FALSE)</f>
        <v>16</v>
      </c>
      <c r="M39" s="38">
        <f>VLOOKUP($A39, [6]!ProductsTable[#Data], 11, FALSE)</f>
        <v>48</v>
      </c>
      <c r="N39" s="38">
        <f>VLOOKUP($A39, [6]!ProductsTable[#Data], 12, FALSE)</f>
        <v>44</v>
      </c>
      <c r="O39" s="38">
        <f>VLOOKUP($A39, [6]!ProductsTable[#Data], 13, FALSE)</f>
        <v>19</v>
      </c>
      <c r="R39" s="38" t="str">
        <f>VLOOKUP($A39, [6]!ProductsTable[#Data], 14, FALSE)</f>
        <v>2-Krannich</v>
      </c>
      <c r="AE39" t="e">
        <f>COUNTIF('[7]product-export'!$A$2:$A$379, A39)</f>
        <v>#VALUE!</v>
      </c>
    </row>
    <row r="40" spans="1:31" x14ac:dyDescent="0.25">
      <c r="A40" s="76" t="s">
        <v>267</v>
      </c>
      <c r="B40" s="38" t="str">
        <f>VLOOKUP($A40, [6]!ProductsTable[#Data], 2, FALSE)</f>
        <v>Inverters</v>
      </c>
      <c r="C40" s="8" t="s">
        <v>217</v>
      </c>
      <c r="D40" s="8" t="s">
        <v>168</v>
      </c>
      <c r="E40" s="38" t="str">
        <f>VLOOKUP($A40, [6]!ProductsTable[#Data], 3, FALSE)</f>
        <v>SMA</v>
      </c>
      <c r="F40" s="38" t="str">
        <f>VLOOKUP($A40, [6]!ProductsTable[#Data], 4, FALSE)</f>
        <v xml:space="preserve"> Sunny Boy 1.5kW Inverter</v>
      </c>
      <c r="G40" s="38" t="str">
        <f>VLOOKUP($A40, [6]!ProductsTable[#Data], 5, FALSE)</f>
        <v>SB 1.5-1VL-40</v>
      </c>
      <c r="I40" s="41" t="e">
        <f>VLOOKUP($A40, [6]!ProductsTable[#Data], 7, FALSE)</f>
        <v>#REF!</v>
      </c>
      <c r="J40" s="39" t="e">
        <f>VLOOKUP($A40, [6]!ProductsTable[#Data], 8, FALSE)</f>
        <v>#REF!</v>
      </c>
      <c r="K40">
        <f>VLOOKUP($A40, [6]!ProductsTable[#Data], 9, FALSE)</f>
        <v>0</v>
      </c>
      <c r="L40" s="38">
        <f>VLOOKUP($A40, [6]!ProductsTable[#Data], 10, FALSE)</f>
        <v>9.1999999999999993</v>
      </c>
      <c r="M40" s="38">
        <f>VLOOKUP($A40, [6]!ProductsTable[#Data], 11, FALSE)</f>
        <v>46</v>
      </c>
      <c r="N40" s="38">
        <f>VLOOKUP($A40, [6]!ProductsTable[#Data], 12, FALSE)</f>
        <v>36</v>
      </c>
      <c r="O40" s="38">
        <f>VLOOKUP($A40, [6]!ProductsTable[#Data], 13, FALSE)</f>
        <v>13</v>
      </c>
      <c r="R40" s="38" t="str">
        <f>VLOOKUP($A40, [6]!ProductsTable[#Data], 14, FALSE)</f>
        <v>2-Krannich</v>
      </c>
      <c r="AE40" t="e">
        <f>COUNTIF('[7]product-export'!$A$2:$A$379, A40)</f>
        <v>#VALUE!</v>
      </c>
    </row>
    <row r="41" spans="1:31" x14ac:dyDescent="0.25">
      <c r="A41" s="76" t="s">
        <v>268</v>
      </c>
      <c r="B41" s="38" t="str">
        <f>VLOOKUP($A41, [6]!ProductsTable[#Data], 2, FALSE)</f>
        <v>Inverters</v>
      </c>
      <c r="C41" s="8" t="s">
        <v>217</v>
      </c>
      <c r="D41" s="8" t="s">
        <v>168</v>
      </c>
      <c r="E41" s="38" t="str">
        <f>VLOOKUP($A41, [6]!ProductsTable[#Data], 3, FALSE)</f>
        <v>SMA</v>
      </c>
      <c r="F41" s="38" t="str">
        <f>VLOOKUP($A41, [6]!ProductsTable[#Data], 4, FALSE)</f>
        <v xml:space="preserve"> Sunny Boy 2.5kW Inverter</v>
      </c>
      <c r="G41" s="38" t="str">
        <f>VLOOKUP($A41, [6]!ProductsTable[#Data], 5, FALSE)</f>
        <v>SB 2.5-1VL-40</v>
      </c>
      <c r="I41" s="41" t="e">
        <f>VLOOKUP($A41, [6]!ProductsTable[#Data], 7, FALSE)</f>
        <v>#REF!</v>
      </c>
      <c r="J41" s="39" t="e">
        <f>VLOOKUP($A41, [6]!ProductsTable[#Data], 8, FALSE)</f>
        <v>#REF!</v>
      </c>
      <c r="K41">
        <f>VLOOKUP($A41, [6]!ProductsTable[#Data], 9, FALSE)</f>
        <v>0</v>
      </c>
      <c r="L41" s="38">
        <f>VLOOKUP($A41, [6]!ProductsTable[#Data], 10, FALSE)</f>
        <v>9.1999999999999993</v>
      </c>
      <c r="M41" s="38">
        <f>VLOOKUP($A41, [6]!ProductsTable[#Data], 11, FALSE)</f>
        <v>46</v>
      </c>
      <c r="N41" s="38">
        <f>VLOOKUP($A41, [6]!ProductsTable[#Data], 12, FALSE)</f>
        <v>36</v>
      </c>
      <c r="O41" s="38">
        <f>VLOOKUP($A41, [6]!ProductsTable[#Data], 13, FALSE)</f>
        <v>13</v>
      </c>
      <c r="R41" s="38" t="str">
        <f>VLOOKUP($A41, [6]!ProductsTable[#Data], 14, FALSE)</f>
        <v>2-Krannich</v>
      </c>
      <c r="AE41" t="e">
        <f>COUNTIF('[7]product-export'!$A$2:$A$379, A41)</f>
        <v>#VALUE!</v>
      </c>
    </row>
    <row r="42" spans="1:31" x14ac:dyDescent="0.25">
      <c r="A42" s="76" t="s">
        <v>269</v>
      </c>
      <c r="B42" s="38" t="str">
        <f>VLOOKUP($A42, [6]!ProductsTable[#Data], 2, FALSE)</f>
        <v>Control</v>
      </c>
      <c r="C42" s="8" t="s">
        <v>153</v>
      </c>
      <c r="D42" s="8" t="s">
        <v>181</v>
      </c>
      <c r="E42" s="38" t="str">
        <f>VLOOKUP($A42, [6]!ProductsTable[#Data], 3, FALSE)</f>
        <v>SMA</v>
      </c>
      <c r="F42" s="38" t="str">
        <f>VLOOKUP($A42, [6]!ProductsTable[#Data], 4, FALSE)</f>
        <v>SMA Energy Meter</v>
      </c>
      <c r="G42" s="38" t="str">
        <f>VLOOKUP($A42, [6]!ProductsTable[#Data], 5, FALSE)</f>
        <v>EMETER-20</v>
      </c>
      <c r="I42" s="41" t="e">
        <f>VLOOKUP($A42, [6]!ProductsTable[#Data], 7, FALSE)</f>
        <v>#REF!</v>
      </c>
      <c r="J42" s="39" t="e">
        <f>VLOOKUP($A42, [6]!ProductsTable[#Data], 8, FALSE)</f>
        <v>#REF!</v>
      </c>
      <c r="K42">
        <f>VLOOKUP($A42, [6]!ProductsTable[#Data], 9, FALSE)</f>
        <v>0</v>
      </c>
      <c r="L42" s="38">
        <f>VLOOKUP($A42, [6]!ProductsTable[#Data], 10, FALSE)</f>
        <v>0.3</v>
      </c>
      <c r="M42" s="38">
        <f>VLOOKUP($A42, [6]!ProductsTable[#Data], 11, FALSE)</f>
        <v>8</v>
      </c>
      <c r="N42" s="38">
        <f>VLOOKUP($A42, [6]!ProductsTable[#Data], 12, FALSE)</f>
        <v>7</v>
      </c>
      <c r="O42" s="38">
        <f>VLOOKUP($A42, [6]!ProductsTable[#Data], 13, FALSE)</f>
        <v>7</v>
      </c>
      <c r="R42" s="38" t="str">
        <f>VLOOKUP($A42, [6]!ProductsTable[#Data], 14, FALSE)</f>
        <v>2-Krannich</v>
      </c>
      <c r="AE42" t="e">
        <f>COUNTIF('[7]product-export'!$A$2:$A$379, A42)</f>
        <v>#VALUE!</v>
      </c>
    </row>
    <row r="43" spans="1:31" x14ac:dyDescent="0.25">
      <c r="A43" s="76" t="s">
        <v>256</v>
      </c>
      <c r="B43" s="38" t="str">
        <f>VLOOKUP($A43, [6]!ProductsTable[#Data], 2, FALSE)</f>
        <v>Solar Controllers</v>
      </c>
      <c r="C43" s="8" t="s">
        <v>217</v>
      </c>
      <c r="D43" s="8" t="s">
        <v>167</v>
      </c>
      <c r="E43" s="38" t="str">
        <f>VLOOKUP($A43, [6]!ProductsTable[#Data], 3, FALSE)</f>
        <v>Victron</v>
      </c>
      <c r="F43" s="38" t="str">
        <f>VLOOKUP($A43, [6]!ProductsTable[#Data], 4, FALSE)</f>
        <v>SmartSolar MPPT 150/85-TR VE.Can</v>
      </c>
      <c r="G43" s="38" t="str">
        <f>VLOOKUP($A43, [6]!ProductsTable[#Data], 5, FALSE)</f>
        <v>SCC115085410</v>
      </c>
      <c r="I43" s="41" t="e">
        <f>VLOOKUP($A43, [6]!ProductsTable[#Data], 7, FALSE)</f>
        <v>#REF!</v>
      </c>
      <c r="J43" s="39" t="e">
        <f>VLOOKUP($A43, [6]!ProductsTable[#Data], 8, FALSE)</f>
        <v>#REF!</v>
      </c>
      <c r="K43">
        <f>VLOOKUP($A43, [6]!ProductsTable[#Data], 9, FALSE)</f>
        <v>0</v>
      </c>
      <c r="L43" s="38">
        <f>VLOOKUP($A43, [6]!ProductsTable[#Data], 10, FALSE)</f>
        <v>4.5</v>
      </c>
      <c r="M43" s="38">
        <f>VLOOKUP($A43, [6]!ProductsTable[#Data], 11, FALSE)</f>
        <v>30</v>
      </c>
      <c r="N43" s="38">
        <f>VLOOKUP($A43, [6]!ProductsTable[#Data], 12, FALSE)</f>
        <v>22</v>
      </c>
      <c r="O43" s="38">
        <f>VLOOKUP($A43, [6]!ProductsTable[#Data], 13, FALSE)</f>
        <v>10.5</v>
      </c>
      <c r="R43" s="38" t="str">
        <f>VLOOKUP($A43, [6]!ProductsTable[#Data], 14, FALSE)</f>
        <v>1-Victron</v>
      </c>
      <c r="AE43" t="e">
        <f>COUNTIF('[7]product-export'!$A$2:$A$379, A43)</f>
        <v>#VALUE!</v>
      </c>
    </row>
    <row r="44" spans="1:31" x14ac:dyDescent="0.25">
      <c r="A44" s="76" t="s">
        <v>257</v>
      </c>
      <c r="B44" s="38" t="str">
        <f>VLOOKUP($A44, [6]!ProductsTable[#Data], 2, FALSE)</f>
        <v>Solar Controllers</v>
      </c>
      <c r="C44" s="8" t="s">
        <v>217</v>
      </c>
      <c r="D44" s="8" t="s">
        <v>167</v>
      </c>
      <c r="E44" s="38" t="str">
        <f>VLOOKUP($A44, [6]!ProductsTable[#Data], 3, FALSE)</f>
        <v>Victron</v>
      </c>
      <c r="F44" s="38" t="str">
        <f>VLOOKUP($A44, [6]!ProductsTable[#Data], 4, FALSE)</f>
        <v>SmartSolar MPPT 150/100 TR</v>
      </c>
      <c r="G44" s="38" t="str">
        <f>VLOOKUP($A44, [6]!ProductsTable[#Data], 5, FALSE)</f>
        <v>SCC115110211</v>
      </c>
      <c r="I44" s="41" t="e">
        <f>VLOOKUP($A44, [6]!ProductsTable[#Data], 7, FALSE)</f>
        <v>#REF!</v>
      </c>
      <c r="J44" s="39" t="e">
        <f>VLOOKUP($A44, [6]!ProductsTable[#Data], 8, FALSE)</f>
        <v>#REF!</v>
      </c>
      <c r="K44">
        <f>VLOOKUP($A44, [6]!ProductsTable[#Data], 9, FALSE)</f>
        <v>0</v>
      </c>
      <c r="L44" s="38">
        <f>VLOOKUP($A44, [6]!ProductsTable[#Data], 10, FALSE)</f>
        <v>4.5</v>
      </c>
      <c r="M44" s="38">
        <f>VLOOKUP($A44, [6]!ProductsTable[#Data], 11, FALSE)</f>
        <v>30</v>
      </c>
      <c r="N44" s="38">
        <f>VLOOKUP($A44, [6]!ProductsTable[#Data], 12, FALSE)</f>
        <v>22</v>
      </c>
      <c r="O44" s="38">
        <f>VLOOKUP($A44, [6]!ProductsTable[#Data], 13, FALSE)</f>
        <v>10.5</v>
      </c>
      <c r="R44" s="38" t="str">
        <f>VLOOKUP($A44, [6]!ProductsTable[#Data], 14, FALSE)</f>
        <v>1-Victron</v>
      </c>
      <c r="AE44" t="e">
        <f>COUNTIF('[7]product-export'!$A$2:$A$379, A44)</f>
        <v>#VALUE!</v>
      </c>
    </row>
    <row r="45" spans="1:31" x14ac:dyDescent="0.25">
      <c r="A45" s="76" t="s">
        <v>245</v>
      </c>
      <c r="B45" s="38" t="str">
        <f>VLOOKUP($A45, [6]!ProductsTable[#Data], 2, FALSE)</f>
        <v>Control</v>
      </c>
      <c r="C45" s="8" t="s">
        <v>153</v>
      </c>
      <c r="D45" s="8" t="s">
        <v>230</v>
      </c>
      <c r="E45" s="38" t="str">
        <f>VLOOKUP($A45, [6]!ProductsTable[#Data], 3, FALSE)</f>
        <v>Victron</v>
      </c>
      <c r="F45" s="38" t="str">
        <f>VLOOKUP($A45, [6]!ProductsTable[#Data], 4, FALSE)</f>
        <v>VE.Direct Bluetooth LE Dongle</v>
      </c>
      <c r="G45" s="38" t="str">
        <f>VLOOKUP($A45, [6]!ProductsTable[#Data], 5, FALSE)</f>
        <v>ASS030536011</v>
      </c>
      <c r="I45" s="41" t="e">
        <f>VLOOKUP($A45, [6]!ProductsTable[#Data], 7, FALSE)</f>
        <v>#REF!</v>
      </c>
      <c r="J45" s="39" t="e">
        <f>VLOOKUP($A45, [6]!ProductsTable[#Data], 8, FALSE)</f>
        <v>#REF!</v>
      </c>
      <c r="K45">
        <f>VLOOKUP($A45, [6]!ProductsTable[#Data], 9, FALSE)</f>
        <v>0</v>
      </c>
      <c r="L45" s="38">
        <f>VLOOKUP($A45, [6]!ProductsTable[#Data], 10, FALSE)</f>
        <v>0.2</v>
      </c>
      <c r="M45" s="38">
        <f>VLOOKUP($A45, [6]!ProductsTable[#Data], 11, FALSE)</f>
        <v>10</v>
      </c>
      <c r="N45" s="38">
        <f>VLOOKUP($A45, [6]!ProductsTable[#Data], 12, FALSE)</f>
        <v>9</v>
      </c>
      <c r="O45" s="38">
        <f>VLOOKUP($A45, [6]!ProductsTable[#Data], 13, FALSE)</f>
        <v>3</v>
      </c>
      <c r="R45" s="38" t="str">
        <f>VLOOKUP($A45, [6]!ProductsTable[#Data], 14, FALSE)</f>
        <v>1-Victron</v>
      </c>
      <c r="AE45" t="e">
        <f>COUNTIF('[7]product-export'!$A$2:$A$379, A45)</f>
        <v>#VALUE!</v>
      </c>
    </row>
    <row r="46" spans="1:31" x14ac:dyDescent="0.25">
      <c r="A46" s="76" t="s">
        <v>258</v>
      </c>
      <c r="B46" s="38" t="str">
        <f>VLOOKUP($A46, [6]!ProductsTable[#Data], 2, FALSE)</f>
        <v>Solar Controllers</v>
      </c>
      <c r="C46" s="8" t="s">
        <v>153</v>
      </c>
      <c r="D46" s="8" t="s">
        <v>179</v>
      </c>
      <c r="E46" s="38" t="str">
        <f>VLOOKUP($A46, [6]!ProductsTable[#Data], 3, FALSE)</f>
        <v>Victron</v>
      </c>
      <c r="F46" s="38" t="str">
        <f>VLOOKUP($A46, [6]!ProductsTable[#Data], 4, FALSE)</f>
        <v>SmartSolar LCD plugable screen</v>
      </c>
      <c r="G46" s="38" t="str">
        <f>VLOOKUP($A46, [6]!ProductsTable[#Data], 5, FALSE)</f>
        <v>SCC900650010</v>
      </c>
      <c r="I46" s="41" t="e">
        <f>VLOOKUP($A46, [6]!ProductsTable[#Data], 7, FALSE)</f>
        <v>#REF!</v>
      </c>
      <c r="J46" s="39" t="e">
        <f>VLOOKUP($A46, [6]!ProductsTable[#Data], 8, FALSE)</f>
        <v>#REF!</v>
      </c>
      <c r="K46">
        <f>VLOOKUP($A46, [6]!ProductsTable[#Data], 9, FALSE)</f>
        <v>0</v>
      </c>
      <c r="L46" s="38">
        <f>VLOOKUP($A46, [6]!ProductsTable[#Data], 10, FALSE)</f>
        <v>0.1</v>
      </c>
      <c r="M46" s="38">
        <f>VLOOKUP($A46, [6]!ProductsTable[#Data], 11, FALSE)</f>
        <v>10</v>
      </c>
      <c r="N46" s="38">
        <f>VLOOKUP($A46, [6]!ProductsTable[#Data], 12, FALSE)</f>
        <v>6</v>
      </c>
      <c r="O46" s="38">
        <f>VLOOKUP($A46, [6]!ProductsTable[#Data], 13, FALSE)</f>
        <v>3</v>
      </c>
      <c r="R46" s="38" t="str">
        <f>VLOOKUP($A46, [6]!ProductsTable[#Data], 14, FALSE)</f>
        <v>1-Victron</v>
      </c>
      <c r="AE46" t="e">
        <f>COUNTIF('[7]product-export'!$A$2:$A$379, A46)</f>
        <v>#VALUE!</v>
      </c>
    </row>
    <row r="47" spans="1:31" x14ac:dyDescent="0.25">
      <c r="A47" s="76" t="s">
        <v>260</v>
      </c>
      <c r="B47" s="38" t="str">
        <f>VLOOKUP($A47, [6]!ProductsTable[#Data], 2, FALSE)</f>
        <v>Inverters</v>
      </c>
      <c r="C47" s="8" t="s">
        <v>217</v>
      </c>
      <c r="D47" s="8" t="s">
        <v>231</v>
      </c>
      <c r="E47" s="38" t="str">
        <f>VLOOKUP($A47, [6]!ProductsTable[#Data], 3, FALSE)</f>
        <v>Victron</v>
      </c>
      <c r="F47" s="38" t="str">
        <f>VLOOKUP($A47, [6]!ProductsTable[#Data], 4, FALSE)</f>
        <v>Phoenix 24/1200 VE.Direct Inverter</v>
      </c>
      <c r="G47" s="38" t="str">
        <f>VLOOKUP($A47, [6]!ProductsTable[#Data], 5, FALSE)</f>
        <v>PIN242121300</v>
      </c>
      <c r="I47" s="41" t="e">
        <f>VLOOKUP($A47, [6]!ProductsTable[#Data], 7, FALSE)</f>
        <v>#REF!</v>
      </c>
      <c r="J47" s="39" t="e">
        <f>VLOOKUP($A47, [6]!ProductsTable[#Data], 8, FALSE)</f>
        <v>#REF!</v>
      </c>
      <c r="K47">
        <f>VLOOKUP($A47, [6]!ProductsTable[#Data], 9, FALSE)</f>
        <v>0</v>
      </c>
      <c r="L47" s="38">
        <f>VLOOKUP($A47, [6]!ProductsTable[#Data], 10, FALSE)</f>
        <v>7.4</v>
      </c>
      <c r="M47" s="38">
        <f>VLOOKUP($A47, [6]!ProductsTable[#Data], 11, FALSE)</f>
        <v>33</v>
      </c>
      <c r="N47" s="38">
        <f>VLOOKUP($A47, [6]!ProductsTable[#Data], 12, FALSE)</f>
        <v>23</v>
      </c>
      <c r="O47" s="38">
        <f>VLOOKUP($A47, [6]!ProductsTable[#Data], 13, FALSE)</f>
        <v>12</v>
      </c>
      <c r="R47" s="38" t="str">
        <f>VLOOKUP($A47, [6]!ProductsTable[#Data], 14, FALSE)</f>
        <v>1-Victron</v>
      </c>
      <c r="AE47" t="e">
        <f>COUNTIF('[7]product-export'!$A$2:$A$379, A47)</f>
        <v>#VALUE!</v>
      </c>
    </row>
    <row r="48" spans="1:31" x14ac:dyDescent="0.25">
      <c r="A48" s="76" t="s">
        <v>262</v>
      </c>
      <c r="B48" s="38" t="str">
        <f>VLOOKUP($A48, [6]!ProductsTable[#Data], 2, FALSE)</f>
        <v>Inverters</v>
      </c>
      <c r="C48" s="8" t="s">
        <v>217</v>
      </c>
      <c r="D48" s="8" t="s">
        <v>231</v>
      </c>
      <c r="E48" s="38" t="str">
        <f>VLOOKUP($A48, [6]!ProductsTable[#Data], 3, FALSE)</f>
        <v>Victron</v>
      </c>
      <c r="F48" s="38" t="str">
        <f>VLOOKUP($A48, [6]!ProductsTable[#Data], 4, FALSE)</f>
        <v>Phoenix 12/500  VE.Direct Inverter</v>
      </c>
      <c r="G48" s="38" t="str">
        <f>VLOOKUP($A48, [6]!ProductsTable[#Data], 5, FALSE)</f>
        <v>PIN125010300</v>
      </c>
      <c r="I48" s="41" t="e">
        <f>VLOOKUP($A48, [6]!ProductsTable[#Data], 7, FALSE)</f>
        <v>#REF!</v>
      </c>
      <c r="J48" s="39" t="e">
        <f>VLOOKUP($A48, [6]!ProductsTable[#Data], 8, FALSE)</f>
        <v>#REF!</v>
      </c>
      <c r="K48">
        <f>VLOOKUP($A48, [6]!ProductsTable[#Data], 9, FALSE)</f>
        <v>0</v>
      </c>
      <c r="L48" s="38">
        <f>VLOOKUP($A48, [6]!ProductsTable[#Data], 10, FALSE)</f>
        <v>3.9</v>
      </c>
      <c r="M48" s="38">
        <f>VLOOKUP($A48, [6]!ProductsTable[#Data], 11, FALSE)</f>
        <v>29</v>
      </c>
      <c r="N48" s="38">
        <f>VLOOKUP($A48, [6]!ProductsTable[#Data], 12, FALSE)</f>
        <v>18</v>
      </c>
      <c r="O48" s="38">
        <f>VLOOKUP($A48, [6]!ProductsTable[#Data], 13, FALSE)</f>
        <v>9</v>
      </c>
      <c r="R48" s="38" t="str">
        <f>VLOOKUP($A48, [6]!ProductsTable[#Data], 14, FALSE)</f>
        <v>1-Victron</v>
      </c>
      <c r="AE48" t="e">
        <f>COUNTIF('[7]product-export'!$A$2:$A$379, A48)</f>
        <v>#VALUE!</v>
      </c>
    </row>
    <row r="49" spans="1:31" x14ac:dyDescent="0.25">
      <c r="A49" s="76" t="s">
        <v>246</v>
      </c>
      <c r="B49" s="38" t="str">
        <f>VLOOKUP($A49, [6]!ProductsTable[#Data], 2, FALSE)</f>
        <v>Control</v>
      </c>
      <c r="C49" s="8" t="s">
        <v>153</v>
      </c>
      <c r="D49" s="8" t="s">
        <v>232</v>
      </c>
      <c r="E49" s="38" t="str">
        <f>VLOOKUP($A49, [6]!ProductsTable[#Data], 3, FALSE)</f>
        <v>Victron</v>
      </c>
      <c r="F49" s="38" t="str">
        <f>VLOOKUP($A49, [6]!ProductsTable[#Data], 4, FALSE)</f>
        <v>LoRaWan Tranceiver Module</v>
      </c>
      <c r="G49" s="38" t="str">
        <f>VLOOKUP($A49, [6]!ProductsTable[#Data], 5, FALSE)</f>
        <v>ASS030542010</v>
      </c>
      <c r="I49" s="41" t="e">
        <f>VLOOKUP($A49, [6]!ProductsTable[#Data], 7, FALSE)</f>
        <v>#REF!</v>
      </c>
      <c r="J49" s="39" t="e">
        <f>VLOOKUP($A49, [6]!ProductsTable[#Data], 8, FALSE)</f>
        <v>#REF!</v>
      </c>
      <c r="K49">
        <f>VLOOKUP($A49, [6]!ProductsTable[#Data], 9, FALSE)</f>
        <v>0</v>
      </c>
      <c r="L49" s="38">
        <f>VLOOKUP($A49, [6]!ProductsTable[#Data], 10, FALSE)</f>
        <v>0.24</v>
      </c>
      <c r="M49" s="38">
        <f>VLOOKUP($A49, [6]!ProductsTable[#Data], 11, FALSE)</f>
        <v>15</v>
      </c>
      <c r="N49" s="38">
        <f>VLOOKUP($A49, [6]!ProductsTable[#Data], 12, FALSE)</f>
        <v>10</v>
      </c>
      <c r="O49" s="38">
        <f>VLOOKUP($A49, [6]!ProductsTable[#Data], 13, FALSE)</f>
        <v>4</v>
      </c>
      <c r="R49" s="38" t="str">
        <f>VLOOKUP($A49, [6]!ProductsTable[#Data], 14, FALSE)</f>
        <v>1-Victron</v>
      </c>
      <c r="AE49" t="e">
        <f>COUNTIF('[7]product-export'!$A$2:$A$379, A49)</f>
        <v>#VALUE!</v>
      </c>
    </row>
    <row r="50" spans="1:31" x14ac:dyDescent="0.25">
      <c r="A50" s="76" t="s">
        <v>289</v>
      </c>
      <c r="B50" s="38" t="str">
        <f>VLOOKUP($A50, [6]!ProductsTable[#Data], 2, FALSE)</f>
        <v>Solar Controllers</v>
      </c>
      <c r="C50" s="8" t="s">
        <v>217</v>
      </c>
      <c r="D50" s="8" t="s">
        <v>167</v>
      </c>
      <c r="E50" s="38" t="str">
        <f>VLOOKUP($A50, [6]!ProductsTable[#Data], 3, FALSE)</f>
        <v>Victron</v>
      </c>
      <c r="F50" s="38" t="str">
        <f>VLOOKUP($A50, [6]!ProductsTable[#Data], 4, FALSE)</f>
        <v>BlueSolar MPPT 100/30A</v>
      </c>
      <c r="G50" s="38" t="str">
        <f>VLOOKUP($A50, [6]!ProductsTable[#Data], 5, FALSE)</f>
        <v>SCC020030200</v>
      </c>
      <c r="I50" s="41" t="e">
        <f>VLOOKUP($A50, [6]!ProductsTable[#Data], 7, FALSE)</f>
        <v>#REF!</v>
      </c>
      <c r="J50" s="39" t="e">
        <f>VLOOKUP($A50, [6]!ProductsTable[#Data], 8, FALSE)</f>
        <v>#REF!</v>
      </c>
      <c r="K50">
        <f>VLOOKUP($A50, [6]!ProductsTable[#Data], 9, FALSE)</f>
        <v>0</v>
      </c>
      <c r="L50" s="38">
        <f>VLOOKUP($A50, [6]!ProductsTable[#Data], 10, FALSE)</f>
        <v>1.3</v>
      </c>
      <c r="M50" s="38">
        <f>VLOOKUP($A50, [6]!ProductsTable[#Data], 11, FALSE)</f>
        <v>18.600000000000001</v>
      </c>
      <c r="N50" s="38">
        <f>VLOOKUP($A50, [6]!ProductsTable[#Data], 12, FALSE)</f>
        <v>13</v>
      </c>
      <c r="O50" s="38">
        <f>VLOOKUP($A50, [6]!ProductsTable[#Data], 13, FALSE)</f>
        <v>7</v>
      </c>
      <c r="R50" s="38" t="str">
        <f>VLOOKUP($A50, [6]!ProductsTable[#Data], 14, FALSE)</f>
        <v>1-Victron</v>
      </c>
      <c r="AE50" t="e">
        <f>COUNTIF('[7]product-export'!$A$2:$A$379, A50)</f>
        <v>#VALUE!</v>
      </c>
    </row>
    <row r="51" spans="1:31" x14ac:dyDescent="0.25">
      <c r="A51" s="76" t="s">
        <v>282</v>
      </c>
      <c r="B51" s="38" t="str">
        <f>VLOOKUP($A51, [6]!ProductsTable[#Data], 2, FALSE)</f>
        <v>Control</v>
      </c>
      <c r="C51" s="8" t="s">
        <v>153</v>
      </c>
      <c r="D51" s="8" t="s">
        <v>230</v>
      </c>
      <c r="E51" s="38" t="str">
        <f>VLOOKUP($A51, [6]!ProductsTable[#Data], 3, FALSE)</f>
        <v>Plasmatronics</v>
      </c>
      <c r="F51" s="38" t="str">
        <f>VLOOKUP($A51, [6]!ProductsTable[#Data], 4, FALSE)</f>
        <v>WYS, WXS, WZS Cable Double Adaptor</v>
      </c>
      <c r="G51" s="38" t="str">
        <f>VLOOKUP($A51, [6]!ProductsTable[#Data], 5, FALSE)</f>
        <v>PLDA</v>
      </c>
      <c r="I51" s="41" t="e">
        <f>VLOOKUP($A51, [6]!ProductsTable[#Data], 7, FALSE)</f>
        <v>#REF!</v>
      </c>
      <c r="J51" s="39" t="e">
        <f>VLOOKUP($A51, [6]!ProductsTable[#Data], 8, FALSE)</f>
        <v>#REF!</v>
      </c>
      <c r="K51">
        <f>VLOOKUP($A51, [6]!ProductsTable[#Data], 9, FALSE)</f>
        <v>0</v>
      </c>
      <c r="L51" s="38">
        <f>VLOOKUP($A51, [6]!ProductsTable[#Data], 10, FALSE)</f>
        <v>0.1</v>
      </c>
      <c r="M51" s="38">
        <f>VLOOKUP($A51, [6]!ProductsTable[#Data], 11, FALSE)</f>
        <v>3</v>
      </c>
      <c r="N51" s="38">
        <f>VLOOKUP($A51, [6]!ProductsTable[#Data], 12, FALSE)</f>
        <v>3</v>
      </c>
      <c r="O51" s="38">
        <f>VLOOKUP($A51, [6]!ProductsTable[#Data], 13, FALSE)</f>
        <v>3</v>
      </c>
      <c r="R51" s="38" t="str">
        <f>VLOOKUP($A51, [6]!ProductsTable[#Data], 14, FALSE)</f>
        <v>4-Plasmatronics</v>
      </c>
      <c r="AE51" t="e">
        <f>COUNTIF('[7]product-export'!$A$2:$A$379, A51)</f>
        <v>#VALUE!</v>
      </c>
    </row>
    <row r="52" spans="1:31" x14ac:dyDescent="0.25">
      <c r="A52" s="76" t="s">
        <v>283</v>
      </c>
      <c r="B52" s="38" t="str">
        <f>VLOOKUP($A52, [6]!ProductsTable[#Data], 2, FALSE)</f>
        <v>Inverter-Chargers</v>
      </c>
      <c r="C52" s="8" t="s">
        <v>217</v>
      </c>
      <c r="D52" s="8" t="s">
        <v>171</v>
      </c>
      <c r="E52" s="38" t="str">
        <f>VLOOKUP($A52, [6]!ProductsTable[#Data], 3, FALSE)</f>
        <v>SMA</v>
      </c>
      <c r="F52" s="38" t="str">
        <f>VLOOKUP($A52, [6]!ProductsTable[#Data], 4, FALSE)</f>
        <v>Sunny Island 6.0H</v>
      </c>
      <c r="G52" s="38" t="str">
        <f>VLOOKUP($A52, [6]!ProductsTable[#Data], 5, FALSE)</f>
        <v>SI 6.0H</v>
      </c>
      <c r="I52" s="41" t="e">
        <f>VLOOKUP($A52, [6]!ProductsTable[#Data], 7, FALSE)</f>
        <v>#REF!</v>
      </c>
      <c r="J52" s="39" t="e">
        <f>VLOOKUP($A52, [6]!ProductsTable[#Data], 8, FALSE)</f>
        <v>#REF!</v>
      </c>
      <c r="K52">
        <f>VLOOKUP($A52, [6]!ProductsTable[#Data], 9, FALSE)</f>
        <v>0</v>
      </c>
      <c r="L52" s="38">
        <f>VLOOKUP($A52, [6]!ProductsTable[#Data], 10, FALSE)</f>
        <v>63</v>
      </c>
      <c r="M52" s="38">
        <f>VLOOKUP($A52, [6]!ProductsTable[#Data], 11, FALSE)</f>
        <v>62</v>
      </c>
      <c r="N52" s="38">
        <f>VLOOKUP($A52, [6]!ProductsTable[#Data], 12, FALSE)</f>
        <v>47</v>
      </c>
      <c r="O52" s="38">
        <f>VLOOKUP($A52, [6]!ProductsTable[#Data], 13, FALSE)</f>
        <v>25</v>
      </c>
      <c r="R52" s="38" t="str">
        <f>VLOOKUP($A52, [6]!ProductsTable[#Data], 14, FALSE)</f>
        <v>7-Baywa</v>
      </c>
      <c r="AE52" t="e">
        <f>COUNTIF('[7]product-export'!$A$2:$A$379, A52)</f>
        <v>#VALUE!</v>
      </c>
    </row>
    <row r="53" spans="1:31" x14ac:dyDescent="0.25">
      <c r="A53" s="76" t="s">
        <v>284</v>
      </c>
      <c r="B53" s="38" t="str">
        <f>VLOOKUP($A53, [6]!ProductsTable[#Data], 2, FALSE)</f>
        <v>Inverter-Chargers</v>
      </c>
      <c r="C53" s="8" t="s">
        <v>217</v>
      </c>
      <c r="D53" s="8" t="s">
        <v>171</v>
      </c>
      <c r="E53" s="38" t="str">
        <f>VLOOKUP($A53, [6]!ProductsTable[#Data], 3, FALSE)</f>
        <v>SMA</v>
      </c>
      <c r="F53" s="38" t="str">
        <f>VLOOKUP($A53, [6]!ProductsTable[#Data], 4, FALSE)</f>
        <v>Sunny Island 8.0H</v>
      </c>
      <c r="G53" s="38" t="str">
        <f>VLOOKUP($A53, [6]!ProductsTable[#Data], 5, FALSE)</f>
        <v>SI 8.0H</v>
      </c>
      <c r="I53" s="41" t="e">
        <f>VLOOKUP($A53, [6]!ProductsTable[#Data], 7, FALSE)</f>
        <v>#REF!</v>
      </c>
      <c r="J53" s="39" t="e">
        <f>VLOOKUP($A53, [6]!ProductsTable[#Data], 8, FALSE)</f>
        <v>#REF!</v>
      </c>
      <c r="K53">
        <f>VLOOKUP($A53, [6]!ProductsTable[#Data], 9, FALSE)</f>
        <v>0</v>
      </c>
      <c r="L53" s="38">
        <f>VLOOKUP($A53, [6]!ProductsTable[#Data], 10, FALSE)</f>
        <v>63</v>
      </c>
      <c r="M53" s="38">
        <f>VLOOKUP($A53, [6]!ProductsTable[#Data], 11, FALSE)</f>
        <v>62</v>
      </c>
      <c r="N53" s="38">
        <f>VLOOKUP($A53, [6]!ProductsTable[#Data], 12, FALSE)</f>
        <v>47</v>
      </c>
      <c r="O53" s="38">
        <f>VLOOKUP($A53, [6]!ProductsTable[#Data], 13, FALSE)</f>
        <v>25</v>
      </c>
      <c r="R53" s="38" t="str">
        <f>VLOOKUP($A53, [6]!ProductsTable[#Data], 14, FALSE)</f>
        <v>7-Baywa</v>
      </c>
      <c r="AE53" t="e">
        <f>COUNTIF('[7]product-export'!$A$2:$A$379, A53)</f>
        <v>#VALUE!</v>
      </c>
    </row>
    <row r="54" spans="1:31" x14ac:dyDescent="0.25">
      <c r="A54" s="76" t="s">
        <v>436</v>
      </c>
      <c r="B54" s="38" t="str">
        <f>VLOOKUP($A54, [6]!ProductsTable[#Data], 2, FALSE)</f>
        <v>Batteries</v>
      </c>
      <c r="C54" s="8" t="s">
        <v>149</v>
      </c>
      <c r="D54" s="8" t="s">
        <v>163</v>
      </c>
      <c r="E54" s="38" t="str">
        <f>VLOOKUP($A54, [6]!ProductsTable[#Data], 3, FALSE)</f>
        <v>VICTRON</v>
      </c>
      <c r="F54" s="38" t="str">
        <f>VLOOKUP($A54, [6]!ProductsTable[#Data], 4, FALSE)</f>
        <v>AGM Super Cycle Batt. (M5) 12V60Ah</v>
      </c>
      <c r="G54" s="38" t="str">
        <f>VLOOKUP($A54, [6]!ProductsTable[#Data], 5, FALSE)</f>
        <v>BAT412060081</v>
      </c>
      <c r="I54" s="41" t="e">
        <f>VLOOKUP($A54, [6]!ProductsTable[#Data], 7, FALSE)</f>
        <v>#REF!</v>
      </c>
      <c r="J54" s="39" t="e">
        <f>VLOOKUP($A54, [6]!ProductsTable[#Data], 8, FALSE)</f>
        <v>#REF!</v>
      </c>
      <c r="K54">
        <f>VLOOKUP($A54, [6]!ProductsTable[#Data], 9, FALSE)</f>
        <v>0</v>
      </c>
      <c r="L54" s="38">
        <f>VLOOKUP($A54, [6]!ProductsTable[#Data], 10, FALSE)</f>
        <v>15</v>
      </c>
      <c r="M54" s="38">
        <f>VLOOKUP($A54, [6]!ProductsTable[#Data], 11, FALSE)</f>
        <v>22.4</v>
      </c>
      <c r="N54" s="38">
        <f>VLOOKUP($A54, [6]!ProductsTable[#Data], 12, FALSE)</f>
        <v>13.5</v>
      </c>
      <c r="O54" s="38">
        <f>VLOOKUP($A54, [6]!ProductsTable[#Data], 13, FALSE)</f>
        <v>17.8</v>
      </c>
      <c r="R54" s="38" t="str">
        <f>VLOOKUP($A54, [6]!ProductsTable[#Data], 14, FALSE)</f>
        <v>1-Victron</v>
      </c>
      <c r="AE54" t="e">
        <f>COUNTIF('[7]product-export'!$A$2:$A$379, A54)</f>
        <v>#VALUE!</v>
      </c>
    </row>
    <row r="55" spans="1:31" x14ac:dyDescent="0.25">
      <c r="A55" s="76" t="s">
        <v>281</v>
      </c>
      <c r="B55" s="38" t="str">
        <f>VLOOKUP($A55, [6]!ProductsTable[#Data], 2, FALSE)</f>
        <v>Inverters</v>
      </c>
      <c r="C55" s="8" t="s">
        <v>217</v>
      </c>
      <c r="D55" s="8" t="s">
        <v>231</v>
      </c>
      <c r="E55" s="38" t="str">
        <f>VLOOKUP($A55, [6]!ProductsTable[#Data], 3, FALSE)</f>
        <v>Victron</v>
      </c>
      <c r="F55" s="38" t="str">
        <f>VLOOKUP($A55, [6]!ProductsTable[#Data], 4, FALSE)</f>
        <v>Phoenix 24/375 VE.Direct  IEC Socket</v>
      </c>
      <c r="G55" s="38" t="str">
        <f>VLOOKUP($A55, [6]!ProductsTable[#Data], 5, FALSE)</f>
        <v>PIN243750300</v>
      </c>
      <c r="I55" s="41" t="e">
        <f>VLOOKUP($A55, [6]!ProductsTable[#Data], 7, FALSE)</f>
        <v>#REF!</v>
      </c>
      <c r="J55" s="39" t="e">
        <f>VLOOKUP($A55, [6]!ProductsTable[#Data], 8, FALSE)</f>
        <v>#REF!</v>
      </c>
      <c r="K55">
        <f>VLOOKUP($A55, [6]!ProductsTable[#Data], 9, FALSE)</f>
        <v>0</v>
      </c>
      <c r="L55" s="38">
        <f>VLOOKUP($A55, [6]!ProductsTable[#Data], 10, FALSE)</f>
        <v>3</v>
      </c>
      <c r="M55" s="38">
        <f>VLOOKUP($A55, [6]!ProductsTable[#Data], 11, FALSE)</f>
        <v>26</v>
      </c>
      <c r="N55" s="38">
        <f>VLOOKUP($A55, [6]!ProductsTable[#Data], 12, FALSE)</f>
        <v>17</v>
      </c>
      <c r="O55" s="38">
        <f>VLOOKUP($A55, [6]!ProductsTable[#Data], 13, FALSE)</f>
        <v>9</v>
      </c>
      <c r="R55" s="38" t="str">
        <f>VLOOKUP($A55, [6]!ProductsTable[#Data], 14, FALSE)</f>
        <v>1-Victron</v>
      </c>
      <c r="AE55" t="e">
        <f>COUNTIF('[7]product-export'!$A$2:$A$379, A55)</f>
        <v>#VALUE!</v>
      </c>
    </row>
    <row r="56" spans="1:31" x14ac:dyDescent="0.25">
      <c r="A56" s="76" t="s">
        <v>276</v>
      </c>
      <c r="B56" s="38" t="str">
        <f>VLOOKUP($A56, [6]!ProductsTable[#Data], 2, FALSE)</f>
        <v>Control</v>
      </c>
      <c r="C56" s="8" t="s">
        <v>153</v>
      </c>
      <c r="D56" s="8" t="s">
        <v>230</v>
      </c>
      <c r="E56" s="38" t="str">
        <f>VLOOKUP($A56, [6]!ProductsTable[#Data], 3, FALSE)</f>
        <v>Victron</v>
      </c>
      <c r="F56" s="38" t="str">
        <f>VLOOKUP($A56, [6]!ProductsTable[#Data], 4, FALSE)</f>
        <v>Color Control GX Controller</v>
      </c>
      <c r="G56" s="38" t="str">
        <f>VLOOKUP($A56, [6]!ProductsTable[#Data], 5, FALSE)</f>
        <v>BPP010300100R</v>
      </c>
      <c r="I56" s="41" t="e">
        <f>VLOOKUP($A56, [6]!ProductsTable[#Data], 7, FALSE)</f>
        <v>#REF!</v>
      </c>
      <c r="J56" s="39" t="e">
        <f>VLOOKUP($A56, [6]!ProductsTable[#Data], 8, FALSE)</f>
        <v>#REF!</v>
      </c>
      <c r="K56">
        <f>VLOOKUP($A56, [6]!ProductsTable[#Data], 9, FALSE)</f>
        <v>0</v>
      </c>
      <c r="L56" s="38">
        <f>VLOOKUP($A56, [6]!ProductsTable[#Data], 10, FALSE)</f>
        <v>0.83</v>
      </c>
      <c r="M56" s="38">
        <f>VLOOKUP($A56, [6]!ProductsTable[#Data], 11, FALSE)</f>
        <v>14</v>
      </c>
      <c r="N56" s="38">
        <f>VLOOKUP($A56, [6]!ProductsTable[#Data], 12, FALSE)</f>
        <v>12</v>
      </c>
      <c r="O56" s="38">
        <f>VLOOKUP($A56, [6]!ProductsTable[#Data], 13, FALSE)</f>
        <v>4</v>
      </c>
      <c r="R56" s="38" t="str">
        <f>VLOOKUP($A56, [6]!ProductsTable[#Data], 14, FALSE)</f>
        <v>1-Victron</v>
      </c>
      <c r="AE56" t="e">
        <f>COUNTIF('[7]product-export'!$A$2:$A$379, A56)</f>
        <v>#VALUE!</v>
      </c>
    </row>
    <row r="57" spans="1:31" x14ac:dyDescent="0.25">
      <c r="A57" s="76" t="s">
        <v>343</v>
      </c>
      <c r="B57" s="38" t="str">
        <f>VLOOKUP($A57, [6]!ProductsTable[#Data], 2, FALSE)</f>
        <v>Inverter-Chargers</v>
      </c>
      <c r="C57" s="8" t="s">
        <v>217</v>
      </c>
      <c r="D57" s="8" t="s">
        <v>171</v>
      </c>
      <c r="E57" s="38" t="str">
        <f>VLOOKUP($A57, [6]!ProductsTable[#Data], 3, FALSE)</f>
        <v>Victron</v>
      </c>
      <c r="F57" s="38" t="str">
        <f>VLOOKUP($A57, [6]!ProductsTable[#Data], 4, FALSE)</f>
        <v>MultiPlus 48/3000/35-50</v>
      </c>
      <c r="G57" s="38" t="str">
        <f>VLOOKUP($A57, [6]!ProductsTable[#Data], 5, FALSE)</f>
        <v>PMP483021010</v>
      </c>
      <c r="I57" s="41" t="e">
        <f>VLOOKUP($A57, [6]!ProductsTable[#Data], 7, FALSE)</f>
        <v>#REF!</v>
      </c>
      <c r="J57" s="39" t="e">
        <f>VLOOKUP($A57, [6]!ProductsTable[#Data], 8, FALSE)</f>
        <v>#REF!</v>
      </c>
      <c r="K57">
        <f>VLOOKUP($A57, [6]!ProductsTable[#Data], 9, FALSE)</f>
        <v>0</v>
      </c>
      <c r="L57" s="38">
        <f>VLOOKUP($A57, [6]!ProductsTable[#Data], 10, FALSE)</f>
        <v>18</v>
      </c>
      <c r="M57" s="38">
        <f>VLOOKUP($A57, [6]!ProductsTable[#Data], 11, FALSE)</f>
        <v>36.200000000000003</v>
      </c>
      <c r="N57" s="38">
        <f>VLOOKUP($A57, [6]!ProductsTable[#Data], 12, FALSE)</f>
        <v>25.8</v>
      </c>
      <c r="O57" s="38">
        <f>VLOOKUP($A57, [6]!ProductsTable[#Data], 13, FALSE)</f>
        <v>21.8</v>
      </c>
      <c r="R57" s="38" t="str">
        <f>VLOOKUP($A57, [6]!ProductsTable[#Data], 14, FALSE)</f>
        <v>1-Victron</v>
      </c>
      <c r="AE57" t="e">
        <f>COUNTIF('[7]product-export'!$A$2:$A$379, A57)</f>
        <v>#VALUE!</v>
      </c>
    </row>
    <row r="58" spans="1:31" x14ac:dyDescent="0.25">
      <c r="A58" s="76" t="s">
        <v>306</v>
      </c>
      <c r="B58" s="38" t="str">
        <f>VLOOKUP($A58, [6]!ProductsTable[#Data], 2, FALSE)</f>
        <v>Inverter-Chargers</v>
      </c>
      <c r="C58" s="8" t="s">
        <v>217</v>
      </c>
      <c r="D58" s="8" t="s">
        <v>171</v>
      </c>
      <c r="E58" s="38" t="str">
        <f>VLOOKUP($A58, [6]!ProductsTable[#Data], 3, FALSE)</f>
        <v>Victron</v>
      </c>
      <c r="F58" s="38" t="str">
        <f>VLOOKUP($A58, [6]!ProductsTable[#Data], 4, FALSE)</f>
        <v>MultiPlus-II 48/3000/35-32</v>
      </c>
      <c r="G58" s="38" t="str">
        <f>VLOOKUP($A58, [6]!ProductsTable[#Data], 5, FALSE)</f>
        <v>PMP482305010</v>
      </c>
      <c r="I58" s="41" t="e">
        <f>VLOOKUP($A58, [6]!ProductsTable[#Data], 7, FALSE)</f>
        <v>#REF!</v>
      </c>
      <c r="J58" s="39" t="e">
        <f>VLOOKUP($A58, [6]!ProductsTable[#Data], 8, FALSE)</f>
        <v>#REF!</v>
      </c>
      <c r="K58">
        <f>VLOOKUP($A58, [6]!ProductsTable[#Data], 9, FALSE)</f>
        <v>0</v>
      </c>
      <c r="L58" s="38">
        <f>VLOOKUP($A58, [6]!ProductsTable[#Data], 10, FALSE)</f>
        <v>18</v>
      </c>
      <c r="M58" s="38">
        <f>VLOOKUP($A58, [6]!ProductsTable[#Data], 11, FALSE)</f>
        <v>49.9</v>
      </c>
      <c r="N58" s="38">
        <f>VLOOKUP($A58, [6]!ProductsTable[#Data], 12, FALSE)</f>
        <v>26.8</v>
      </c>
      <c r="O58" s="38">
        <f>VLOOKUP($A58, [6]!ProductsTable[#Data], 13, FALSE)</f>
        <v>14.1</v>
      </c>
      <c r="R58" s="38" t="str">
        <f>VLOOKUP($A58, [6]!ProductsTable[#Data], 14, FALSE)</f>
        <v>1-Victron</v>
      </c>
      <c r="AE58" t="e">
        <f>COUNTIF('[7]product-export'!$A$2:$A$379, A58)</f>
        <v>#VALUE!</v>
      </c>
    </row>
    <row r="59" spans="1:31" x14ac:dyDescent="0.25">
      <c r="A59" s="76" t="s">
        <v>275</v>
      </c>
      <c r="B59" s="38" t="str">
        <f>VLOOKUP($A59, [6]!ProductsTable[#Data], 2, FALSE)</f>
        <v>Control</v>
      </c>
      <c r="C59" s="8" t="s">
        <v>153</v>
      </c>
      <c r="D59" s="8" t="s">
        <v>230</v>
      </c>
      <c r="E59" s="38" t="str">
        <f>VLOOKUP($A59, [6]!ProductsTable[#Data], 3, FALSE)</f>
        <v>Victron</v>
      </c>
      <c r="F59" s="38" t="str">
        <f>VLOOKUP($A59, [6]!ProductsTable[#Data], 4, FALSE)</f>
        <v xml:space="preserve">Venus GX Controller </v>
      </c>
      <c r="G59" s="38" t="str">
        <f>VLOOKUP($A59, [6]!ProductsTable[#Data], 5, FALSE)</f>
        <v>BPP900400100</v>
      </c>
      <c r="I59" s="41" t="e">
        <f>VLOOKUP($A59, [6]!ProductsTable[#Data], 7, FALSE)</f>
        <v>#REF!</v>
      </c>
      <c r="J59" s="39" t="e">
        <f>VLOOKUP($A59, [6]!ProductsTable[#Data], 8, FALSE)</f>
        <v>#REF!</v>
      </c>
      <c r="K59">
        <f>VLOOKUP($A59, [6]!ProductsTable[#Data], 9, FALSE)</f>
        <v>0</v>
      </c>
      <c r="L59" s="38">
        <f>VLOOKUP($A59, [6]!ProductsTable[#Data], 10, FALSE)</f>
        <v>0.45</v>
      </c>
      <c r="M59" s="38">
        <f>VLOOKUP($A59, [6]!ProductsTable[#Data], 11, FALSE)</f>
        <v>15</v>
      </c>
      <c r="N59" s="38">
        <f>VLOOKUP($A59, [6]!ProductsTable[#Data], 12, FALSE)</f>
        <v>10</v>
      </c>
      <c r="O59" s="38">
        <f>VLOOKUP($A59, [6]!ProductsTable[#Data], 13, FALSE)</f>
        <v>5</v>
      </c>
      <c r="R59" s="38" t="str">
        <f>VLOOKUP($A59, [6]!ProductsTable[#Data], 14, FALSE)</f>
        <v>1-Victron</v>
      </c>
      <c r="AE59" t="e">
        <f>COUNTIF('[7]product-export'!$A$2:$A$379, A59)</f>
        <v>#VALUE!</v>
      </c>
    </row>
    <row r="60" spans="1:31" x14ac:dyDescent="0.25">
      <c r="A60" s="76" t="s">
        <v>307</v>
      </c>
      <c r="B60" s="38" t="str">
        <f>VLOOKUP($A60, [6]!ProductsTable[#Data], 2, FALSE)</f>
        <v>Inverter-Chargers</v>
      </c>
      <c r="C60" s="8" t="s">
        <v>217</v>
      </c>
      <c r="D60" s="8" t="s">
        <v>171</v>
      </c>
      <c r="E60" s="38" t="str">
        <f>VLOOKUP($A60, [6]!ProductsTable[#Data], 3, FALSE)</f>
        <v>Victron</v>
      </c>
      <c r="F60" s="38" t="str">
        <f>VLOOKUP($A60, [6]!ProductsTable[#Data], 4, FALSE)</f>
        <v>MultiPlus 48/800/9-16</v>
      </c>
      <c r="G60" s="38" t="str">
        <f>VLOOKUP($A60, [6]!ProductsTable[#Data], 5, FALSE)</f>
        <v>PMP481800000</v>
      </c>
      <c r="I60" s="41" t="e">
        <f>VLOOKUP($A60, [6]!ProductsTable[#Data], 7, FALSE)</f>
        <v>#REF!</v>
      </c>
      <c r="J60" s="39" t="e">
        <f>VLOOKUP($A60, [6]!ProductsTable[#Data], 8, FALSE)</f>
        <v>#REF!</v>
      </c>
      <c r="K60">
        <f>VLOOKUP($A60, [6]!ProductsTable[#Data], 9, FALSE)</f>
        <v>0</v>
      </c>
      <c r="L60" s="38">
        <f>VLOOKUP($A60, [6]!ProductsTable[#Data], 10, FALSE)</f>
        <v>8.1999999999999993</v>
      </c>
      <c r="M60" s="38">
        <f>VLOOKUP($A60, [6]!ProductsTable[#Data], 11, FALSE)</f>
        <v>40.6</v>
      </c>
      <c r="N60" s="38">
        <f>VLOOKUP($A60, [6]!ProductsTable[#Data], 12, FALSE)</f>
        <v>25</v>
      </c>
      <c r="O60" s="38">
        <f>VLOOKUP($A60, [6]!ProductsTable[#Data], 13, FALSE)</f>
        <v>10</v>
      </c>
      <c r="R60" s="38" t="str">
        <f>VLOOKUP($A60, [6]!ProductsTable[#Data], 14, FALSE)</f>
        <v>1-Victron</v>
      </c>
      <c r="AE60" t="e">
        <f>COUNTIF('[7]product-export'!$A$2:$A$379, A60)</f>
        <v>#VALUE!</v>
      </c>
    </row>
    <row r="61" spans="1:31" x14ac:dyDescent="0.25">
      <c r="A61" s="76" t="s">
        <v>308</v>
      </c>
      <c r="B61" s="38" t="str">
        <f>VLOOKUP($A61, [6]!ProductsTable[#Data], 2, FALSE)</f>
        <v>Inverter-Chargers</v>
      </c>
      <c r="C61" s="8" t="s">
        <v>217</v>
      </c>
      <c r="D61" s="8" t="s">
        <v>171</v>
      </c>
      <c r="E61" s="38" t="str">
        <f>VLOOKUP($A61, [6]!ProductsTable[#Data], 3, FALSE)</f>
        <v>Victron</v>
      </c>
      <c r="F61" s="38" t="str">
        <f>VLOOKUP($A61, [6]!ProductsTable[#Data], 4, FALSE)</f>
        <v>MultiPlus 48/1200/13-16</v>
      </c>
      <c r="G61" s="38" t="str">
        <f>VLOOKUP($A61, [6]!ProductsTable[#Data], 5, FALSE)</f>
        <v>PMP482120000</v>
      </c>
      <c r="I61" s="41" t="e">
        <f>VLOOKUP($A61, [6]!ProductsTable[#Data], 7, FALSE)</f>
        <v>#REF!</v>
      </c>
      <c r="J61" s="39" t="e">
        <f>VLOOKUP($A61, [6]!ProductsTable[#Data], 8, FALSE)</f>
        <v>#REF!</v>
      </c>
      <c r="K61">
        <f>VLOOKUP($A61, [6]!ProductsTable[#Data], 9, FALSE)</f>
        <v>0</v>
      </c>
      <c r="L61" s="38">
        <f>VLOOKUP($A61, [6]!ProductsTable[#Data], 10, FALSE)</f>
        <v>8.1999999999999993</v>
      </c>
      <c r="M61" s="38">
        <f>VLOOKUP($A61, [6]!ProductsTable[#Data], 11, FALSE)</f>
        <v>40.6</v>
      </c>
      <c r="N61" s="38">
        <f>VLOOKUP($A61, [6]!ProductsTable[#Data], 12, FALSE)</f>
        <v>25</v>
      </c>
      <c r="O61" s="38">
        <f>VLOOKUP($A61, [6]!ProductsTable[#Data], 13, FALSE)</f>
        <v>10</v>
      </c>
      <c r="R61" s="38" t="str">
        <f>VLOOKUP($A61, [6]!ProductsTable[#Data], 14, FALSE)</f>
        <v>1-Victron</v>
      </c>
      <c r="AE61" t="e">
        <f>COUNTIF('[7]product-export'!$A$2:$A$379, A61)</f>
        <v>#VALUE!</v>
      </c>
    </row>
    <row r="62" spans="1:31" x14ac:dyDescent="0.25">
      <c r="A62" s="88" t="s">
        <v>78</v>
      </c>
      <c r="B62" s="38" t="str">
        <f>VLOOKUP($A62, [6]!ProductsTable[#Data], 2, FALSE)</f>
        <v>Victron Accessories</v>
      </c>
      <c r="C62" s="8" t="s">
        <v>153</v>
      </c>
      <c r="D62" s="8" t="s">
        <v>181</v>
      </c>
      <c r="E62" s="38" t="str">
        <f>VLOOKUP($A62, [6]!ProductsTable[#Data], 3, FALSE)</f>
        <v>Victron</v>
      </c>
      <c r="F62" s="38" t="str">
        <f>VLOOKUP($A62, [6]!ProductsTable[#Data], 4, FALSE)</f>
        <v>Energy meter ET112 - 1 phase - max 100A</v>
      </c>
      <c r="G62" s="38" t="str">
        <f>VLOOKUP($A62, [6]!ProductsTable[#Data], 5, FALSE)</f>
        <v>REL300100000</v>
      </c>
      <c r="I62" s="41" t="e">
        <f>VLOOKUP($A62, [6]!ProductsTable[#Data], 7, FALSE)</f>
        <v>#REF!</v>
      </c>
      <c r="J62" s="39" t="e">
        <f>VLOOKUP($A62, [6]!ProductsTable[#Data], 8, FALSE)</f>
        <v>#REF!</v>
      </c>
      <c r="K62">
        <f>VLOOKUP($A62, [6]!ProductsTable[#Data], 9, FALSE)</f>
        <v>0</v>
      </c>
      <c r="L62" s="38">
        <f>VLOOKUP($A62, [6]!ProductsTable[#Data], 10, FALSE)</f>
        <v>0</v>
      </c>
      <c r="M62" s="38">
        <f>VLOOKUP($A62, [6]!ProductsTable[#Data], 11, FALSE)</f>
        <v>0</v>
      </c>
      <c r="N62" s="38">
        <f>VLOOKUP($A62, [6]!ProductsTable[#Data], 12, FALSE)</f>
        <v>0</v>
      </c>
      <c r="O62" s="38">
        <f>VLOOKUP($A62, [6]!ProductsTable[#Data], 13, FALSE)</f>
        <v>0</v>
      </c>
      <c r="R62" s="38" t="str">
        <f>VLOOKUP($A62, [6]!ProductsTable[#Data], 14, FALSE)</f>
        <v>1-Victron</v>
      </c>
      <c r="AE62" t="e">
        <f>COUNTIF('[7]product-export'!$A$2:$A$379, A62)</f>
        <v>#VALUE!</v>
      </c>
    </row>
    <row r="63" spans="1:31" x14ac:dyDescent="0.25">
      <c r="A63" s="76" t="s">
        <v>263</v>
      </c>
      <c r="B63" s="38" t="str">
        <f>VLOOKUP($A63, [6]!ProductsTable[#Data], 2, FALSE)</f>
        <v>Inverters</v>
      </c>
      <c r="C63" s="8" t="s">
        <v>217</v>
      </c>
      <c r="D63" s="8" t="s">
        <v>231</v>
      </c>
      <c r="E63" s="38" t="str">
        <f>VLOOKUP($A63, [6]!ProductsTable[#Data], 3, FALSE)</f>
        <v>Victron</v>
      </c>
      <c r="F63" s="38" t="str">
        <f>VLOOKUP($A63, [6]!ProductsTable[#Data], 4, FALSE)</f>
        <v>Phoenix 24/375 VE.Direct  AU Socket</v>
      </c>
      <c r="G63" s="38" t="str">
        <f>VLOOKUP($A63, [6]!ProductsTable[#Data], 5, FALSE)</f>
        <v>PIN243750300</v>
      </c>
      <c r="I63" s="41" t="e">
        <f>VLOOKUP($A63, [6]!ProductsTable[#Data], 7, FALSE)</f>
        <v>#REF!</v>
      </c>
      <c r="J63" s="39" t="e">
        <f>VLOOKUP($A63, [6]!ProductsTable[#Data], 8, FALSE)</f>
        <v>#REF!</v>
      </c>
      <c r="K63">
        <f>VLOOKUP($A63, [6]!ProductsTable[#Data], 9, FALSE)</f>
        <v>0</v>
      </c>
      <c r="L63" s="38">
        <f>VLOOKUP($A63, [6]!ProductsTable[#Data], 10, FALSE)</f>
        <v>3</v>
      </c>
      <c r="M63" s="38">
        <f>VLOOKUP($A63, [6]!ProductsTable[#Data], 11, FALSE)</f>
        <v>26</v>
      </c>
      <c r="N63" s="38">
        <f>VLOOKUP($A63, [6]!ProductsTable[#Data], 12, FALSE)</f>
        <v>17</v>
      </c>
      <c r="O63" s="38">
        <f>VLOOKUP($A63, [6]!ProductsTable[#Data], 13, FALSE)</f>
        <v>9</v>
      </c>
      <c r="R63" s="38" t="str">
        <f>VLOOKUP($A63, [6]!ProductsTable[#Data], 14, FALSE)</f>
        <v>1-Victron</v>
      </c>
      <c r="AE63" t="e">
        <f>COUNTIF('[7]product-export'!$A$2:$A$379, A63)</f>
        <v>#VALUE!</v>
      </c>
    </row>
    <row r="64" spans="1:31" x14ac:dyDescent="0.25">
      <c r="A64" s="76" t="s">
        <v>290</v>
      </c>
      <c r="B64" s="38" t="str">
        <f>VLOOKUP($A64, [6]!ProductsTable[#Data], 2, FALSE)</f>
        <v>Control</v>
      </c>
      <c r="C64" s="8" t="s">
        <v>153</v>
      </c>
      <c r="D64" s="8" t="s">
        <v>177</v>
      </c>
      <c r="E64" s="38" t="str">
        <f>VLOOKUP($A64, [6]!ProductsTable[#Data], 3, FALSE)</f>
        <v>SMA</v>
      </c>
      <c r="F64" s="38" t="str">
        <f>VLOOKUP($A64, [6]!ProductsTable[#Data], 4, FALSE)</f>
        <v>Sunny Home Manager 2.0</v>
      </c>
      <c r="G64" s="38" t="str">
        <f>VLOOKUP($A64, [6]!ProductsTable[#Data], 5, FALSE)</f>
        <v>HM-20</v>
      </c>
      <c r="I64" s="41" t="e">
        <f>VLOOKUP($A64, [6]!ProductsTable[#Data], 7, FALSE)</f>
        <v>#REF!</v>
      </c>
      <c r="J64" s="39" t="e">
        <f>VLOOKUP($A64, [6]!ProductsTable[#Data], 8, FALSE)</f>
        <v>#REF!</v>
      </c>
      <c r="K64">
        <f>VLOOKUP($A64, [6]!ProductsTable[#Data], 9, FALSE)</f>
        <v>0</v>
      </c>
      <c r="L64" s="38">
        <f>VLOOKUP($A64, [6]!ProductsTable[#Data], 10, FALSE)</f>
        <v>0.3</v>
      </c>
      <c r="M64" s="38">
        <f>VLOOKUP($A64, [6]!ProductsTable[#Data], 11, FALSE)</f>
        <v>8.8000000000000007</v>
      </c>
      <c r="N64" s="38">
        <f>VLOOKUP($A64, [6]!ProductsTable[#Data], 12, FALSE)</f>
        <v>7</v>
      </c>
      <c r="O64" s="38">
        <f>VLOOKUP($A64, [6]!ProductsTable[#Data], 13, FALSE)</f>
        <v>6.5</v>
      </c>
      <c r="R64" s="38" t="str">
        <f>VLOOKUP($A64, [6]!ProductsTable[#Data], 14, FALSE)</f>
        <v>7-Baywa</v>
      </c>
      <c r="AE64" t="e">
        <f>COUNTIF('[7]product-export'!$A$2:$A$379, A64)</f>
        <v>#VALUE!</v>
      </c>
    </row>
    <row r="65" spans="1:31" x14ac:dyDescent="0.25">
      <c r="A65" s="76" t="s">
        <v>291</v>
      </c>
      <c r="B65" s="38" t="str">
        <f>VLOOKUP($A65, [6]!ProductsTable[#Data], 2, FALSE)</f>
        <v>Solar Controllers</v>
      </c>
      <c r="C65" s="8" t="s">
        <v>217</v>
      </c>
      <c r="D65" s="8" t="s">
        <v>167</v>
      </c>
      <c r="E65" s="38" t="str">
        <f>VLOOKUP($A65, [6]!ProductsTable[#Data], 3, FALSE)</f>
        <v>Victron</v>
      </c>
      <c r="F65" s="38" t="str">
        <f>VLOOKUP($A65, [6]!ProductsTable[#Data], 4, FALSE)</f>
        <v>SmartSolar MPPT 150/35</v>
      </c>
      <c r="G65" s="38" t="str">
        <f>VLOOKUP($A65, [6]!ProductsTable[#Data], 5, FALSE)</f>
        <v>SCC115035210</v>
      </c>
      <c r="I65" s="41" t="e">
        <f>VLOOKUP($A65, [6]!ProductsTable[#Data], 7, FALSE)</f>
        <v>#REF!</v>
      </c>
      <c r="J65" s="39" t="e">
        <f>VLOOKUP($A65, [6]!ProductsTable[#Data], 8, FALSE)</f>
        <v>#REF!</v>
      </c>
      <c r="K65">
        <f>VLOOKUP($A65, [6]!ProductsTable[#Data], 9, FALSE)</f>
        <v>0</v>
      </c>
      <c r="L65" s="38">
        <f>VLOOKUP($A65, [6]!ProductsTable[#Data], 10, FALSE)</f>
        <v>1.3</v>
      </c>
      <c r="M65" s="38">
        <f>VLOOKUP($A65, [6]!ProductsTable[#Data], 11, FALSE)</f>
        <v>18.600000000000001</v>
      </c>
      <c r="N65" s="38">
        <f>VLOOKUP($A65, [6]!ProductsTable[#Data], 12, FALSE)</f>
        <v>13</v>
      </c>
      <c r="O65" s="38">
        <f>VLOOKUP($A65, [6]!ProductsTable[#Data], 13, FALSE)</f>
        <v>7</v>
      </c>
      <c r="R65" s="38" t="str">
        <f>VLOOKUP($A65, [6]!ProductsTable[#Data], 14, FALSE)</f>
        <v>1-Victron</v>
      </c>
      <c r="AE65" t="e">
        <f>COUNTIF('[7]product-export'!$A$2:$A$379, A65)</f>
        <v>#VALUE!</v>
      </c>
    </row>
    <row r="66" spans="1:31" x14ac:dyDescent="0.25">
      <c r="A66" s="88" t="s">
        <v>83</v>
      </c>
      <c r="B66" s="38" t="str">
        <f>VLOOKUP($A66, [6]!ProductsTable[#Data], 2, FALSE)</f>
        <v>Solar Controllers</v>
      </c>
      <c r="C66" s="8" t="s">
        <v>152</v>
      </c>
      <c r="D66" s="8" t="s">
        <v>167</v>
      </c>
      <c r="E66" s="38" t="str">
        <f>VLOOKUP($A66, [6]!ProductsTable[#Data], 3, FALSE)</f>
        <v>Victron</v>
      </c>
      <c r="F66" s="38" t="str">
        <f>VLOOKUP($A66, [6]!ProductsTable[#Data], 4, FALSE)</f>
        <v xml:space="preserve">SmartSolar MPPT 150/60 TR </v>
      </c>
      <c r="G66" s="38" t="str">
        <f>VLOOKUP($A66, [6]!ProductsTable[#Data], 5, FALSE)</f>
        <v>SCC115060210</v>
      </c>
      <c r="I66" s="41" t="e">
        <f>VLOOKUP($A66, [6]!ProductsTable[#Data], 7, FALSE)</f>
        <v>#REF!</v>
      </c>
      <c r="J66" s="39" t="e">
        <f>VLOOKUP($A66, [6]!ProductsTable[#Data], 8, FALSE)</f>
        <v>#REF!</v>
      </c>
      <c r="K66">
        <f>VLOOKUP($A66, [6]!ProductsTable[#Data], 9, FALSE)</f>
        <v>0</v>
      </c>
      <c r="L66" s="38">
        <f>VLOOKUP($A66, [6]!ProductsTable[#Data], 10, FALSE)</f>
        <v>3</v>
      </c>
      <c r="M66" s="38">
        <f>VLOOKUP($A66, [6]!ProductsTable[#Data], 11, FALSE)</f>
        <v>25</v>
      </c>
      <c r="N66" s="38">
        <f>VLOOKUP($A66, [6]!ProductsTable[#Data], 12, FALSE)</f>
        <v>20</v>
      </c>
      <c r="O66" s="38">
        <f>VLOOKUP($A66, [6]!ProductsTable[#Data], 13, FALSE)</f>
        <v>9.5</v>
      </c>
      <c r="R66" s="38" t="str">
        <f>VLOOKUP($A66, [6]!ProductsTable[#Data], 14, FALSE)</f>
        <v>1-Victron</v>
      </c>
      <c r="AE66" t="e">
        <f>COUNTIF('[7]product-export'!$A$2:$A$379, A66)</f>
        <v>#VALUE!</v>
      </c>
    </row>
    <row r="67" spans="1:31" x14ac:dyDescent="0.25">
      <c r="A67" s="88" t="s">
        <v>100</v>
      </c>
      <c r="B67" s="38" t="str">
        <f>VLOOKUP($A67, [6]!ProductsTable[#Data], 2, FALSE)</f>
        <v>Chargers</v>
      </c>
      <c r="C67" s="8" t="s">
        <v>154</v>
      </c>
      <c r="D67" s="8" t="s">
        <v>181</v>
      </c>
      <c r="E67" s="38" t="str">
        <f>VLOOKUP($A67, [6]!ProductsTable[#Data], 3, FALSE)</f>
        <v>Victron</v>
      </c>
      <c r="F67" s="38" t="str">
        <f>VLOOKUP($A67, [6]!ProductsTable[#Data], 4, FALSE)</f>
        <v>Battery Charger Blue Smart IP22 12/30(1)</v>
      </c>
      <c r="G67" s="38" t="str">
        <f>VLOOKUP($A67, [6]!ProductsTable[#Data], 5, FALSE)</f>
        <v>BPC123047012</v>
      </c>
      <c r="I67" s="41" t="e">
        <f>VLOOKUP($A67, [6]!ProductsTable[#Data], 7, FALSE)</f>
        <v>#REF!</v>
      </c>
      <c r="J67" s="39" t="e">
        <f>VLOOKUP($A67, [6]!ProductsTable[#Data], 8, FALSE)</f>
        <v>#REF!</v>
      </c>
      <c r="K67">
        <f>VLOOKUP($A67, [6]!ProductsTable[#Data], 9, FALSE)</f>
        <v>0</v>
      </c>
      <c r="L67" s="38">
        <f>VLOOKUP($A67, [6]!ProductsTable[#Data], 10, FALSE)</f>
        <v>1.4</v>
      </c>
      <c r="M67" s="38">
        <f>VLOOKUP($A67, [6]!ProductsTable[#Data], 11, FALSE)</f>
        <v>23.5</v>
      </c>
      <c r="N67" s="38">
        <f>VLOOKUP($A67, [6]!ProductsTable[#Data], 12, FALSE)</f>
        <v>10.8</v>
      </c>
      <c r="O67" s="38">
        <f>VLOOKUP($A67, [6]!ProductsTable[#Data], 13, FALSE)</f>
        <v>6.5</v>
      </c>
      <c r="R67" s="38" t="str">
        <f>VLOOKUP($A67, [6]!ProductsTable[#Data], 14, FALSE)</f>
        <v>1-Victron</v>
      </c>
      <c r="AE67" t="e">
        <f>COUNTIF('[7]product-export'!$A$2:$A$379, A67)</f>
        <v>#VALUE!</v>
      </c>
    </row>
    <row r="68" spans="1:31" x14ac:dyDescent="0.25">
      <c r="A68" s="88" t="s">
        <v>100</v>
      </c>
      <c r="B68" s="38" t="str">
        <f>VLOOKUP($A68, [6]!ProductsTable[#Data], 2, FALSE)</f>
        <v>Chargers</v>
      </c>
      <c r="C68" s="8" t="s">
        <v>153</v>
      </c>
      <c r="D68" s="8" t="s">
        <v>215</v>
      </c>
      <c r="E68" s="38" t="str">
        <f>VLOOKUP($A68, [6]!ProductsTable[#Data], 3, FALSE)</f>
        <v>Victron</v>
      </c>
      <c r="F68" s="38" t="str">
        <f>VLOOKUP($A68, [6]!ProductsTable[#Data], 4, FALSE)</f>
        <v>Battery Charger Blue Smart IP22 12/30(1)</v>
      </c>
      <c r="G68" s="38" t="str">
        <f>VLOOKUP($A68, [6]!ProductsTable[#Data], 5, FALSE)</f>
        <v>BPC123047012</v>
      </c>
      <c r="I68" s="41" t="e">
        <f>VLOOKUP($A68, [6]!ProductsTable[#Data], 7, FALSE)</f>
        <v>#REF!</v>
      </c>
      <c r="J68" s="39" t="e">
        <f>VLOOKUP($A68, [6]!ProductsTable[#Data], 8, FALSE)</f>
        <v>#REF!</v>
      </c>
      <c r="K68">
        <f>VLOOKUP($A68, [6]!ProductsTable[#Data], 9, FALSE)</f>
        <v>0</v>
      </c>
      <c r="L68" s="38">
        <f>VLOOKUP($A68, [6]!ProductsTable[#Data], 10, FALSE)</f>
        <v>1.4</v>
      </c>
      <c r="M68" s="38">
        <f>VLOOKUP($A68, [6]!ProductsTable[#Data], 11, FALSE)</f>
        <v>23.5</v>
      </c>
      <c r="N68" s="38">
        <f>VLOOKUP($A68, [6]!ProductsTable[#Data], 12, FALSE)</f>
        <v>10.8</v>
      </c>
      <c r="O68" s="38">
        <f>VLOOKUP($A68, [6]!ProductsTable[#Data], 13, FALSE)</f>
        <v>6.5</v>
      </c>
      <c r="R68" s="38" t="str">
        <f>VLOOKUP($A68, [6]!ProductsTable[#Data], 14, FALSE)</f>
        <v>1-Victron</v>
      </c>
      <c r="AE68" t="e">
        <f>COUNTIF('[7]product-export'!$A$2:$A$379, A68)</f>
        <v>#VALUE!</v>
      </c>
    </row>
    <row r="69" spans="1:31" x14ac:dyDescent="0.25">
      <c r="A69" s="76" t="s">
        <v>471</v>
      </c>
      <c r="B69" s="38" t="str">
        <f>VLOOKUP($A69, [6]!ProductsTable[#Data], 2, FALSE)</f>
        <v>Inverters</v>
      </c>
      <c r="C69" s="8" t="s">
        <v>217</v>
      </c>
      <c r="D69" s="8" t="s">
        <v>168</v>
      </c>
      <c r="E69" s="38" t="str">
        <f>VLOOKUP($A69, [6]!ProductsTable[#Data], 3, FALSE)</f>
        <v>SMA</v>
      </c>
      <c r="F69" s="38" t="str">
        <f>VLOOKUP($A69, [6]!ProductsTable[#Data], 4, FALSE)</f>
        <v xml:space="preserve"> Sunny Boy 6.0kW Inverter</v>
      </c>
      <c r="G69" s="38" t="str">
        <f>VLOOKUP($A69, [6]!ProductsTable[#Data], 5, FALSE)</f>
        <v>SB 6.0-1</v>
      </c>
      <c r="I69" s="41" t="e">
        <f>VLOOKUP($A69, [6]!ProductsTable[#Data], 7, FALSE)</f>
        <v>#REF!</v>
      </c>
      <c r="J69" s="39" t="e">
        <f>VLOOKUP($A69, [6]!ProductsTable[#Data], 8, FALSE)</f>
        <v>#REF!</v>
      </c>
      <c r="K69">
        <f>VLOOKUP($A69, [6]!ProductsTable[#Data], 9, FALSE)</f>
        <v>0</v>
      </c>
      <c r="L69" s="38">
        <f>VLOOKUP($A69, [6]!ProductsTable[#Data], 10, FALSE)</f>
        <v>17.5</v>
      </c>
      <c r="M69" s="38">
        <f>VLOOKUP($A69, [6]!ProductsTable[#Data], 11, FALSE)</f>
        <v>48</v>
      </c>
      <c r="N69" s="38">
        <f>VLOOKUP($A69, [6]!ProductsTable[#Data], 12, FALSE)</f>
        <v>44</v>
      </c>
      <c r="O69" s="38">
        <f>VLOOKUP($A69, [6]!ProductsTable[#Data], 13, FALSE)</f>
        <v>19</v>
      </c>
      <c r="R69" s="38" t="str">
        <f>VLOOKUP($A69, [6]!ProductsTable[#Data], 14, FALSE)</f>
        <v>2-Krannich</v>
      </c>
      <c r="AE69" t="e">
        <f>COUNTIF('[7]product-export'!$A$2:$A$379, A69)</f>
        <v>#VALUE!</v>
      </c>
    </row>
    <row r="70" spans="1:31" x14ac:dyDescent="0.25">
      <c r="A70" s="76" t="s">
        <v>292</v>
      </c>
      <c r="B70" s="38" t="str">
        <f>VLOOKUP($A70, [6]!ProductsTable[#Data], 2, FALSE)</f>
        <v>Solar Controllers</v>
      </c>
      <c r="C70" s="8" t="s">
        <v>217</v>
      </c>
      <c r="D70" s="8" t="s">
        <v>167</v>
      </c>
      <c r="E70" s="38" t="str">
        <f>VLOOKUP($A70, [6]!ProductsTable[#Data], 3, FALSE)</f>
        <v>Victron</v>
      </c>
      <c r="F70" s="38" t="str">
        <f>VLOOKUP($A70, [6]!ProductsTable[#Data], 4, FALSE)</f>
        <v>BlueSolar MPPT 100/15</v>
      </c>
      <c r="G70" s="38" t="str">
        <f>VLOOKUP($A70, [6]!ProductsTable[#Data], 5, FALSE)</f>
        <v>SCC010015200R</v>
      </c>
      <c r="I70" s="41" t="e">
        <f>VLOOKUP($A70, [6]!ProductsTable[#Data], 7, FALSE)</f>
        <v>#REF!</v>
      </c>
      <c r="J70" s="39" t="e">
        <f>VLOOKUP($A70, [6]!ProductsTable[#Data], 8, FALSE)</f>
        <v>#REF!</v>
      </c>
      <c r="K70">
        <f>VLOOKUP($A70, [6]!ProductsTable[#Data], 9, FALSE)</f>
        <v>0</v>
      </c>
      <c r="L70" s="38">
        <f>VLOOKUP($A70, [6]!ProductsTable[#Data], 10, FALSE)</f>
        <v>0.6</v>
      </c>
      <c r="M70" s="38">
        <f>VLOOKUP($A70, [6]!ProductsTable[#Data], 11, FALSE)</f>
        <v>11.3</v>
      </c>
      <c r="N70" s="38">
        <f>VLOOKUP($A70, [6]!ProductsTable[#Data], 12, FALSE)</f>
        <v>10</v>
      </c>
      <c r="O70" s="38">
        <f>VLOOKUP($A70, [6]!ProductsTable[#Data], 13, FALSE)</f>
        <v>4</v>
      </c>
      <c r="R70" s="38" t="str">
        <f>VLOOKUP($A70, [6]!ProductsTable[#Data], 14, FALSE)</f>
        <v>1-Victron</v>
      </c>
      <c r="AE70" t="e">
        <f>COUNTIF('[7]product-export'!$A$2:$A$379, A70)</f>
        <v>#VALUE!</v>
      </c>
    </row>
    <row r="71" spans="1:31" x14ac:dyDescent="0.25">
      <c r="A71" s="76" t="s">
        <v>293</v>
      </c>
      <c r="B71" s="38" t="str">
        <f>VLOOKUP($A71, [6]!ProductsTable[#Data], 2, FALSE)</f>
        <v>Solar Controllers</v>
      </c>
      <c r="C71" s="8" t="s">
        <v>217</v>
      </c>
      <c r="D71" s="8" t="s">
        <v>167</v>
      </c>
      <c r="E71" s="38" t="str">
        <f>VLOOKUP($A71, [6]!ProductsTable[#Data], 3, FALSE)</f>
        <v>Victron</v>
      </c>
      <c r="F71" s="38" t="str">
        <f>VLOOKUP($A71, [6]!ProductsTable[#Data], 4, FALSE)</f>
        <v>BlueSolar MPPT 150/35</v>
      </c>
      <c r="G71" s="38" t="str">
        <f>VLOOKUP($A71, [6]!ProductsTable[#Data], 5, FALSE)</f>
        <v>SCC020035000</v>
      </c>
      <c r="I71" s="41" t="e">
        <f>VLOOKUP($A71, [6]!ProductsTable[#Data], 7, FALSE)</f>
        <v>#REF!</v>
      </c>
      <c r="J71" s="39" t="e">
        <f>VLOOKUP($A71, [6]!ProductsTable[#Data], 8, FALSE)</f>
        <v>#REF!</v>
      </c>
      <c r="K71">
        <f>VLOOKUP($A71, [6]!ProductsTable[#Data], 9, FALSE)</f>
        <v>0</v>
      </c>
      <c r="L71" s="38">
        <f>VLOOKUP($A71, [6]!ProductsTable[#Data], 10, FALSE)</f>
        <v>1.3</v>
      </c>
      <c r="M71" s="38">
        <f>VLOOKUP($A71, [6]!ProductsTable[#Data], 11, FALSE)</f>
        <v>18.600000000000001</v>
      </c>
      <c r="N71" s="38">
        <f>VLOOKUP($A71, [6]!ProductsTable[#Data], 12, FALSE)</f>
        <v>13</v>
      </c>
      <c r="O71" s="38">
        <f>VLOOKUP($A71, [6]!ProductsTable[#Data], 13, FALSE)</f>
        <v>7</v>
      </c>
      <c r="R71" s="38" t="str">
        <f>VLOOKUP($A71, [6]!ProductsTable[#Data], 14, FALSE)</f>
        <v>1-Victron</v>
      </c>
      <c r="AE71" t="e">
        <f>COUNTIF('[7]product-export'!$A$2:$A$379, A71)</f>
        <v>#VALUE!</v>
      </c>
    </row>
    <row r="72" spans="1:31" x14ac:dyDescent="0.25">
      <c r="A72" s="76" t="s">
        <v>355</v>
      </c>
      <c r="B72" s="38" t="str">
        <f>VLOOKUP($A72, [6]!ProductsTable[#Data], 2, FALSE)</f>
        <v>Solar Controllers</v>
      </c>
      <c r="C72" s="8" t="s">
        <v>217</v>
      </c>
      <c r="D72" s="8" t="s">
        <v>167</v>
      </c>
      <c r="E72" s="38" t="str">
        <f>VLOOKUP($A72, [6]!ProductsTable[#Data], 3, FALSE)</f>
        <v>Victron</v>
      </c>
      <c r="F72" s="38" t="str">
        <f>VLOOKUP($A72, [6]!ProductsTable[#Data], 4, FALSE)</f>
        <v>BlueSolar MPPT 150/45-Tr</v>
      </c>
      <c r="G72" s="38" t="str">
        <f>VLOOKUP($A72, [6]!ProductsTable[#Data], 5, FALSE)</f>
        <v>SCC010045200</v>
      </c>
      <c r="I72" s="41" t="e">
        <f>VLOOKUP($A72, [6]!ProductsTable[#Data], 7, FALSE)</f>
        <v>#REF!</v>
      </c>
      <c r="J72" s="39" t="e">
        <f>VLOOKUP($A72, [6]!ProductsTable[#Data], 8, FALSE)</f>
        <v>#REF!</v>
      </c>
      <c r="K72">
        <f>VLOOKUP($A72, [6]!ProductsTable[#Data], 9, FALSE)</f>
        <v>0</v>
      </c>
      <c r="L72" s="38">
        <f>VLOOKUP($A72, [6]!ProductsTable[#Data], 10, FALSE)</f>
        <v>3</v>
      </c>
      <c r="M72" s="38">
        <f>VLOOKUP($A72, [6]!ProductsTable[#Data], 11, FALSE)</f>
        <v>18.5</v>
      </c>
      <c r="N72" s="38">
        <f>VLOOKUP($A72, [6]!ProductsTable[#Data], 12, FALSE)</f>
        <v>20</v>
      </c>
      <c r="O72" s="38">
        <f>VLOOKUP($A72, [6]!ProductsTable[#Data], 13, FALSE)</f>
        <v>9.5</v>
      </c>
      <c r="R72" s="38" t="str">
        <f>VLOOKUP($A72, [6]!ProductsTable[#Data], 14, FALSE)</f>
        <v>1-Victron</v>
      </c>
      <c r="AE72" t="e">
        <f>COUNTIF('[7]product-export'!$A$2:$A$379, A72)</f>
        <v>#VALUE!</v>
      </c>
    </row>
    <row r="73" spans="1:31" x14ac:dyDescent="0.25">
      <c r="A73" s="76" t="s">
        <v>356</v>
      </c>
      <c r="B73" s="38" t="str">
        <f>VLOOKUP($A73, [6]!ProductsTable[#Data], 2, FALSE)</f>
        <v>Solar Controllers</v>
      </c>
      <c r="C73" s="8" t="s">
        <v>217</v>
      </c>
      <c r="D73" s="8" t="s">
        <v>167</v>
      </c>
      <c r="E73" s="38" t="str">
        <f>VLOOKUP($A73, [6]!ProductsTable[#Data], 3, FALSE)</f>
        <v>Victron</v>
      </c>
      <c r="F73" s="38" t="str">
        <f>VLOOKUP($A73, [6]!ProductsTable[#Data], 4, FALSE)</f>
        <v>BlueSolar MPPT 150/45-MC4</v>
      </c>
      <c r="G73" s="38" t="str">
        <f>VLOOKUP($A73, [6]!ProductsTable[#Data], 5, FALSE)</f>
        <v>SCC010045300</v>
      </c>
      <c r="I73" s="41" t="e">
        <f>VLOOKUP($A73, [6]!ProductsTable[#Data], 7, FALSE)</f>
        <v>#REF!</v>
      </c>
      <c r="J73" s="39" t="e">
        <f>VLOOKUP($A73, [6]!ProductsTable[#Data], 8, FALSE)</f>
        <v>#REF!</v>
      </c>
      <c r="K73">
        <f>VLOOKUP($A73, [6]!ProductsTable[#Data], 9, FALSE)</f>
        <v>0</v>
      </c>
      <c r="L73" s="38">
        <f>VLOOKUP($A73, [6]!ProductsTable[#Data], 10, FALSE)</f>
        <v>3</v>
      </c>
      <c r="M73" s="38">
        <f>VLOOKUP($A73, [6]!ProductsTable[#Data], 11, FALSE)</f>
        <v>21.5</v>
      </c>
      <c r="N73" s="38">
        <f>VLOOKUP($A73, [6]!ProductsTable[#Data], 12, FALSE)</f>
        <v>20</v>
      </c>
      <c r="O73" s="38">
        <f>VLOOKUP($A73, [6]!ProductsTable[#Data], 13, FALSE)</f>
        <v>9.5</v>
      </c>
      <c r="R73" s="38" t="str">
        <f>VLOOKUP($A73, [6]!ProductsTable[#Data], 14, FALSE)</f>
        <v>1-Victron</v>
      </c>
      <c r="AE73" t="e">
        <f>COUNTIF('[7]product-export'!$A$2:$A$379, A73)</f>
        <v>#VALUE!</v>
      </c>
    </row>
    <row r="74" spans="1:31" x14ac:dyDescent="0.25">
      <c r="A74" s="76" t="s">
        <v>357</v>
      </c>
      <c r="B74" s="38" t="str">
        <f>VLOOKUP($A74, [6]!ProductsTable[#Data], 2, FALSE)</f>
        <v>Solar Controllers</v>
      </c>
      <c r="C74" s="8" t="s">
        <v>217</v>
      </c>
      <c r="D74" s="8" t="s">
        <v>167</v>
      </c>
      <c r="E74" s="38" t="str">
        <f>VLOOKUP($A74, [6]!ProductsTable[#Data], 3, FALSE)</f>
        <v>Victron</v>
      </c>
      <c r="F74" s="38" t="str">
        <f>VLOOKUP($A74, [6]!ProductsTable[#Data], 4, FALSE)</f>
        <v>BlueSolar MPPT 150/60-Tr</v>
      </c>
      <c r="G74" s="38" t="str">
        <f>VLOOKUP($A74, [6]!ProductsTable[#Data], 5, FALSE)</f>
        <v>SCC010060200</v>
      </c>
      <c r="I74" s="41" t="e">
        <f>VLOOKUP($A74, [6]!ProductsTable[#Data], 7, FALSE)</f>
        <v>#REF!</v>
      </c>
      <c r="J74" s="39" t="e">
        <f>VLOOKUP($A74, [6]!ProductsTable[#Data], 8, FALSE)</f>
        <v>#REF!</v>
      </c>
      <c r="K74">
        <f>VLOOKUP($A74, [6]!ProductsTable[#Data], 9, FALSE)</f>
        <v>0</v>
      </c>
      <c r="L74" s="38">
        <f>VLOOKUP($A74, [6]!ProductsTable[#Data], 10, FALSE)</f>
        <v>3</v>
      </c>
      <c r="M74" s="38">
        <f>VLOOKUP($A74, [6]!ProductsTable[#Data], 11, FALSE)</f>
        <v>18.5</v>
      </c>
      <c r="N74" s="38">
        <f>VLOOKUP($A74, [6]!ProductsTable[#Data], 12, FALSE)</f>
        <v>25</v>
      </c>
      <c r="O74" s="38">
        <f>VLOOKUP($A74, [6]!ProductsTable[#Data], 13, FALSE)</f>
        <v>9.5</v>
      </c>
      <c r="R74" s="38" t="str">
        <f>VLOOKUP($A74, [6]!ProductsTable[#Data], 14, FALSE)</f>
        <v>1-Victron</v>
      </c>
      <c r="AE74" t="e">
        <f>COUNTIF('[7]product-export'!$A$2:$A$379, A74)</f>
        <v>#VALUE!</v>
      </c>
    </row>
    <row r="75" spans="1:31" x14ac:dyDescent="0.25">
      <c r="A75" s="76" t="s">
        <v>358</v>
      </c>
      <c r="B75" s="38" t="str">
        <f>VLOOKUP($A75, [6]!ProductsTable[#Data], 2, FALSE)</f>
        <v>Solar Controllers</v>
      </c>
      <c r="C75" s="8" t="s">
        <v>217</v>
      </c>
      <c r="D75" s="8" t="s">
        <v>167</v>
      </c>
      <c r="E75" s="38" t="str">
        <f>VLOOKUP($A75, [6]!ProductsTable[#Data], 3, FALSE)</f>
        <v>Victron</v>
      </c>
      <c r="F75" s="38" t="str">
        <f>VLOOKUP($A75, [6]!ProductsTable[#Data], 4, FALSE)</f>
        <v>BlueSolar MPPT 150/60-MC4</v>
      </c>
      <c r="G75" s="38" t="str">
        <f>VLOOKUP($A75, [6]!ProductsTable[#Data], 5, FALSE)</f>
        <v>SCC010060300</v>
      </c>
      <c r="I75" s="41" t="e">
        <f>VLOOKUP($A75, [6]!ProductsTable[#Data], 7, FALSE)</f>
        <v>#REF!</v>
      </c>
      <c r="J75" s="39" t="e">
        <f>VLOOKUP($A75, [6]!ProductsTable[#Data], 8, FALSE)</f>
        <v>#REF!</v>
      </c>
      <c r="K75">
        <f>VLOOKUP($A75, [6]!ProductsTable[#Data], 9, FALSE)</f>
        <v>0</v>
      </c>
      <c r="L75" s="38">
        <f>VLOOKUP($A75, [6]!ProductsTable[#Data], 10, FALSE)</f>
        <v>3</v>
      </c>
      <c r="M75" s="38">
        <f>VLOOKUP($A75, [6]!ProductsTable[#Data], 11, FALSE)</f>
        <v>21.5</v>
      </c>
      <c r="N75" s="38">
        <f>VLOOKUP($A75, [6]!ProductsTable[#Data], 12, FALSE)</f>
        <v>25</v>
      </c>
      <c r="O75" s="38">
        <f>VLOOKUP($A75, [6]!ProductsTable[#Data], 13, FALSE)</f>
        <v>9.5</v>
      </c>
      <c r="R75" s="38" t="str">
        <f>VLOOKUP($A75, [6]!ProductsTable[#Data], 14, FALSE)</f>
        <v>1-Victron</v>
      </c>
      <c r="AE75" t="e">
        <f>COUNTIF('[7]product-export'!$A$2:$A$379, A75)</f>
        <v>#VALUE!</v>
      </c>
    </row>
    <row r="76" spans="1:31" x14ac:dyDescent="0.25">
      <c r="A76" s="76" t="s">
        <v>84</v>
      </c>
      <c r="B76" s="38" t="str">
        <f>VLOOKUP($A76, [6]!ProductsTable[#Data], 2, FALSE)</f>
        <v>Solar Controllers</v>
      </c>
      <c r="C76" s="8" t="s">
        <v>152</v>
      </c>
      <c r="D76" s="8" t="s">
        <v>167</v>
      </c>
      <c r="E76" s="38" t="str">
        <f>VLOOKUP($A76, [6]!ProductsTable[#Data], 3, FALSE)</f>
        <v>Victron</v>
      </c>
      <c r="F76" s="38" t="str">
        <f>VLOOKUP($A76, [6]!ProductsTable[#Data], 4, FALSE)</f>
        <v>BlueSolar MPPT 150/70-Tr</v>
      </c>
      <c r="G76" s="38" t="str">
        <f>VLOOKUP($A76, [6]!ProductsTable[#Data], 5, FALSE)</f>
        <v>SCC010070200</v>
      </c>
      <c r="I76" s="41" t="e">
        <f>VLOOKUP($A76, [6]!ProductsTable[#Data], 7, FALSE)</f>
        <v>#REF!</v>
      </c>
      <c r="J76" s="39" t="e">
        <f>VLOOKUP($A76, [6]!ProductsTable[#Data], 8, FALSE)</f>
        <v>#REF!</v>
      </c>
      <c r="K76">
        <f>VLOOKUP($A76, [6]!ProductsTable[#Data], 9, FALSE)</f>
        <v>0</v>
      </c>
      <c r="L76" s="38">
        <f>VLOOKUP($A76, [6]!ProductsTable[#Data], 10, FALSE)</f>
        <v>3</v>
      </c>
      <c r="M76" s="38">
        <f>VLOOKUP($A76, [6]!ProductsTable[#Data], 11, FALSE)</f>
        <v>18.5</v>
      </c>
      <c r="N76" s="38">
        <f>VLOOKUP($A76, [6]!ProductsTable[#Data], 12, FALSE)</f>
        <v>25</v>
      </c>
      <c r="O76" s="38">
        <f>VLOOKUP($A76, [6]!ProductsTable[#Data], 13, FALSE)</f>
        <v>9.5</v>
      </c>
      <c r="R76" s="38" t="str">
        <f>VLOOKUP($A76, [6]!ProductsTable[#Data], 14, FALSE)</f>
        <v>1-Victron</v>
      </c>
      <c r="AE76" t="e">
        <f>COUNTIF('[7]product-export'!$A$2:$A$379, A76)</f>
        <v>#VALUE!</v>
      </c>
    </row>
    <row r="77" spans="1:31" x14ac:dyDescent="0.25">
      <c r="A77" s="76" t="s">
        <v>359</v>
      </c>
      <c r="B77" s="38" t="str">
        <f>VLOOKUP($A77, [6]!ProductsTable[#Data], 2, FALSE)</f>
        <v>Solar Controllers</v>
      </c>
      <c r="C77" s="8" t="s">
        <v>217</v>
      </c>
      <c r="D77" s="8" t="s">
        <v>167</v>
      </c>
      <c r="E77" s="38" t="str">
        <f>VLOOKUP($A77, [6]!ProductsTable[#Data], 3, FALSE)</f>
        <v>Victron</v>
      </c>
      <c r="F77" s="38" t="str">
        <f>VLOOKUP($A77, [6]!ProductsTable[#Data], 4, FALSE)</f>
        <v>BlueSolar MPPT 150/70-MC4</v>
      </c>
      <c r="G77" s="38" t="str">
        <f>VLOOKUP($A77, [6]!ProductsTable[#Data], 5, FALSE)</f>
        <v>SCC010070300</v>
      </c>
      <c r="I77" s="41" t="e">
        <f>VLOOKUP($A77, [6]!ProductsTable[#Data], 7, FALSE)</f>
        <v>#REF!</v>
      </c>
      <c r="J77" s="39" t="e">
        <f>VLOOKUP($A77, [6]!ProductsTable[#Data], 8, FALSE)</f>
        <v>#REF!</v>
      </c>
      <c r="K77">
        <f>VLOOKUP($A77, [6]!ProductsTable[#Data], 9, FALSE)</f>
        <v>0</v>
      </c>
      <c r="L77" s="38">
        <f>VLOOKUP($A77, [6]!ProductsTable[#Data], 10, FALSE)</f>
        <v>3</v>
      </c>
      <c r="M77" s="38">
        <f>VLOOKUP($A77, [6]!ProductsTable[#Data], 11, FALSE)</f>
        <v>21.5</v>
      </c>
      <c r="N77" s="38">
        <f>VLOOKUP($A77, [6]!ProductsTable[#Data], 12, FALSE)</f>
        <v>25</v>
      </c>
      <c r="O77" s="38">
        <f>VLOOKUP($A77, [6]!ProductsTable[#Data], 13, FALSE)</f>
        <v>9.5</v>
      </c>
      <c r="R77" s="38" t="str">
        <f>VLOOKUP($A77, [6]!ProductsTable[#Data], 14, FALSE)</f>
        <v>1-Victron</v>
      </c>
      <c r="AE77" t="e">
        <f>COUNTIF('[7]product-export'!$A$2:$A$379, A77)</f>
        <v>#VALUE!</v>
      </c>
    </row>
    <row r="78" spans="1:31" x14ac:dyDescent="0.25">
      <c r="A78" s="76" t="s">
        <v>360</v>
      </c>
      <c r="B78" s="38" t="str">
        <f>VLOOKUP($A78, [6]!ProductsTable[#Data], 2, FALSE)</f>
        <v>Solar Controllers</v>
      </c>
      <c r="C78" s="8" t="s">
        <v>217</v>
      </c>
      <c r="D78" s="8" t="s">
        <v>167</v>
      </c>
      <c r="E78" s="38" t="str">
        <f>VLOOKUP($A78, [6]!ProductsTable[#Data], 3, FALSE)</f>
        <v>Victron</v>
      </c>
      <c r="F78" s="38" t="str">
        <f>VLOOKUP($A78, [6]!ProductsTable[#Data], 4, FALSE)</f>
        <v>SmartSolar MPPT 75/10</v>
      </c>
      <c r="G78" s="38" t="str">
        <f>VLOOKUP($A78, [6]!ProductsTable[#Data], 5, FALSE)</f>
        <v>SCC075010060R</v>
      </c>
      <c r="I78" s="41" t="e">
        <f>VLOOKUP($A78, [6]!ProductsTable[#Data], 7, FALSE)</f>
        <v>#REF!</v>
      </c>
      <c r="J78" s="39" t="e">
        <f>VLOOKUP($A78, [6]!ProductsTable[#Data], 8, FALSE)</f>
        <v>#REF!</v>
      </c>
      <c r="K78">
        <f>VLOOKUP($A78, [6]!ProductsTable[#Data], 9, FALSE)</f>
        <v>0</v>
      </c>
      <c r="L78" s="38">
        <f>VLOOKUP($A78, [6]!ProductsTable[#Data], 10, FALSE)</f>
        <v>0.5</v>
      </c>
      <c r="M78" s="38">
        <f>VLOOKUP($A78, [6]!ProductsTable[#Data], 11, FALSE)</f>
        <v>11.3</v>
      </c>
      <c r="N78" s="38">
        <f>VLOOKUP($A78, [6]!ProductsTable[#Data], 12, FALSE)</f>
        <v>10</v>
      </c>
      <c r="O78" s="38">
        <f>VLOOKUP($A78, [6]!ProductsTable[#Data], 13, FALSE)</f>
        <v>4</v>
      </c>
      <c r="R78" s="38" t="str">
        <f>VLOOKUP($A78, [6]!ProductsTable[#Data], 14, FALSE)</f>
        <v>1-Victron</v>
      </c>
      <c r="AE78" t="e">
        <f>COUNTIF('[7]product-export'!$A$2:$A$379, A78)</f>
        <v>#VALUE!</v>
      </c>
    </row>
    <row r="79" spans="1:31" x14ac:dyDescent="0.25">
      <c r="A79" s="76" t="s">
        <v>361</v>
      </c>
      <c r="B79" s="38" t="str">
        <f>VLOOKUP($A79, [6]!ProductsTable[#Data], 2, FALSE)</f>
        <v>Solar Controllers</v>
      </c>
      <c r="C79" s="8" t="s">
        <v>217</v>
      </c>
      <c r="D79" s="8" t="s">
        <v>167</v>
      </c>
      <c r="E79" s="38" t="str">
        <f>VLOOKUP($A79, [6]!ProductsTable[#Data], 3, FALSE)</f>
        <v>Victron</v>
      </c>
      <c r="F79" s="38" t="str">
        <f>VLOOKUP($A79, [6]!ProductsTable[#Data], 4, FALSE)</f>
        <v>SmartSolar MPPT 75/15</v>
      </c>
      <c r="G79" s="38" t="str">
        <f>VLOOKUP($A79, [6]!ProductsTable[#Data], 5, FALSE)</f>
        <v>SCC075015060R</v>
      </c>
      <c r="I79" s="41" t="e">
        <f>VLOOKUP($A79, [6]!ProductsTable[#Data], 7, FALSE)</f>
        <v>#REF!</v>
      </c>
      <c r="J79" s="39" t="e">
        <f>VLOOKUP($A79, [6]!ProductsTable[#Data], 8, FALSE)</f>
        <v>#REF!</v>
      </c>
      <c r="K79">
        <f>VLOOKUP($A79, [6]!ProductsTable[#Data], 9, FALSE)</f>
        <v>0</v>
      </c>
      <c r="L79" s="38">
        <f>VLOOKUP($A79, [6]!ProductsTable[#Data], 10, FALSE)</f>
        <v>0.5</v>
      </c>
      <c r="M79" s="38">
        <f>VLOOKUP($A79, [6]!ProductsTable[#Data], 11, FALSE)</f>
        <v>11.3</v>
      </c>
      <c r="N79" s="38">
        <f>VLOOKUP($A79, [6]!ProductsTable[#Data], 12, FALSE)</f>
        <v>10</v>
      </c>
      <c r="O79" s="38">
        <f>VLOOKUP($A79, [6]!ProductsTable[#Data], 13, FALSE)</f>
        <v>4</v>
      </c>
      <c r="R79" s="38" t="str">
        <f>VLOOKUP($A79, [6]!ProductsTable[#Data], 14, FALSE)</f>
        <v>1-Victron</v>
      </c>
      <c r="AE79" t="e">
        <f>COUNTIF('[7]product-export'!$A$2:$A$379, A79)</f>
        <v>#VALUE!</v>
      </c>
    </row>
    <row r="80" spans="1:31" x14ac:dyDescent="0.25">
      <c r="A80" s="76" t="s">
        <v>362</v>
      </c>
      <c r="B80" s="38" t="str">
        <f>VLOOKUP($A80, [6]!ProductsTable[#Data], 2, FALSE)</f>
        <v>Solar Controllers</v>
      </c>
      <c r="C80" s="8" t="s">
        <v>217</v>
      </c>
      <c r="D80" s="8" t="s">
        <v>167</v>
      </c>
      <c r="E80" s="38" t="str">
        <f>VLOOKUP($A80, [6]!ProductsTable[#Data], 3, FALSE)</f>
        <v>Victron</v>
      </c>
      <c r="F80" s="38" t="str">
        <f>VLOOKUP($A80, [6]!ProductsTable[#Data], 4, FALSE)</f>
        <v>SmartSolar MPPT 100/15</v>
      </c>
      <c r="G80" s="38" t="str">
        <f>VLOOKUP($A80, [6]!ProductsTable[#Data], 5, FALSE)</f>
        <v>SCC110015060R</v>
      </c>
      <c r="I80" s="41" t="e">
        <f>VLOOKUP($A80, [6]!ProductsTable[#Data], 7, FALSE)</f>
        <v>#REF!</v>
      </c>
      <c r="J80" s="39" t="e">
        <f>VLOOKUP($A80, [6]!ProductsTable[#Data], 8, FALSE)</f>
        <v>#REF!</v>
      </c>
      <c r="K80">
        <f>VLOOKUP($A80, [6]!ProductsTable[#Data], 9, FALSE)</f>
        <v>0</v>
      </c>
      <c r="L80" s="38">
        <f>VLOOKUP($A80, [6]!ProductsTable[#Data], 10, FALSE)</f>
        <v>0.6</v>
      </c>
      <c r="M80" s="38">
        <f>VLOOKUP($A80, [6]!ProductsTable[#Data], 11, FALSE)</f>
        <v>11.3</v>
      </c>
      <c r="N80" s="38">
        <f>VLOOKUP($A80, [6]!ProductsTable[#Data], 12, FALSE)</f>
        <v>10</v>
      </c>
      <c r="O80" s="38">
        <f>VLOOKUP($A80, [6]!ProductsTable[#Data], 13, FALSE)</f>
        <v>5</v>
      </c>
      <c r="R80" s="38" t="str">
        <f>VLOOKUP($A80, [6]!ProductsTable[#Data], 14, FALSE)</f>
        <v>1-Victron</v>
      </c>
      <c r="AE80" t="e">
        <f>COUNTIF('[7]product-export'!$A$2:$A$379, A80)</f>
        <v>#VALUE!</v>
      </c>
    </row>
    <row r="81" spans="1:31" x14ac:dyDescent="0.25">
      <c r="A81" s="76" t="s">
        <v>363</v>
      </c>
      <c r="B81" s="38" t="str">
        <f>VLOOKUP($A81, [6]!ProductsTable[#Data], 2, FALSE)</f>
        <v>Solar Controllers</v>
      </c>
      <c r="C81" s="8" t="s">
        <v>217</v>
      </c>
      <c r="D81" s="8" t="s">
        <v>167</v>
      </c>
      <c r="E81" s="38" t="str">
        <f>VLOOKUP($A81, [6]!ProductsTable[#Data], 3, FALSE)</f>
        <v>Victron</v>
      </c>
      <c r="F81" s="38" t="str">
        <f>VLOOKUP($A81, [6]!ProductsTable[#Data], 4, FALSE)</f>
        <v>SmartSolar MPPT 100/20</v>
      </c>
      <c r="G81" s="38" t="str">
        <f>VLOOKUP($A81, [6]!ProductsTable[#Data], 5, FALSE)</f>
        <v>SCC110020060R</v>
      </c>
      <c r="I81" s="41" t="e">
        <f>VLOOKUP($A81, [6]!ProductsTable[#Data], 7, FALSE)</f>
        <v>#REF!</v>
      </c>
      <c r="J81" s="39" t="e">
        <f>VLOOKUP($A81, [6]!ProductsTable[#Data], 8, FALSE)</f>
        <v>#REF!</v>
      </c>
      <c r="K81">
        <f>VLOOKUP($A81, [6]!ProductsTable[#Data], 9, FALSE)</f>
        <v>0</v>
      </c>
      <c r="L81" s="38">
        <f>VLOOKUP($A81, [6]!ProductsTable[#Data], 10, FALSE)</f>
        <v>0.7</v>
      </c>
      <c r="M81" s="38">
        <f>VLOOKUP($A81, [6]!ProductsTable[#Data], 11, FALSE)</f>
        <v>11.3</v>
      </c>
      <c r="N81" s="38">
        <f>VLOOKUP($A81, [6]!ProductsTable[#Data], 12, FALSE)</f>
        <v>10</v>
      </c>
      <c r="O81" s="38">
        <f>VLOOKUP($A81, [6]!ProductsTable[#Data], 13, FALSE)</f>
        <v>5</v>
      </c>
      <c r="R81" s="38" t="str">
        <f>VLOOKUP($A81, [6]!ProductsTable[#Data], 14, FALSE)</f>
        <v>1-Victron</v>
      </c>
      <c r="AE81" t="e">
        <f>COUNTIF('[7]product-export'!$A$2:$A$379, A81)</f>
        <v>#VALUE!</v>
      </c>
    </row>
    <row r="82" spans="1:31" x14ac:dyDescent="0.25">
      <c r="A82" s="76" t="s">
        <v>365</v>
      </c>
      <c r="B82" s="38" t="str">
        <f>VLOOKUP($A82, [6]!ProductsTable[#Data], 2, FALSE)</f>
        <v>Solar Controllers</v>
      </c>
      <c r="C82" s="8" t="s">
        <v>217</v>
      </c>
      <c r="D82" s="8" t="s">
        <v>167</v>
      </c>
      <c r="E82" s="38" t="str">
        <f>VLOOKUP($A82, [6]!ProductsTable[#Data], 3, FALSE)</f>
        <v>Victron</v>
      </c>
      <c r="F82" s="38" t="str">
        <f>VLOOKUP($A82, [6]!ProductsTable[#Data], 4, FALSE)</f>
        <v>SmartSolar MPPT 100/30</v>
      </c>
      <c r="G82" s="38" t="str">
        <f>VLOOKUP($A82, [6]!ProductsTable[#Data], 5, FALSE)</f>
        <v>SCC110030210</v>
      </c>
      <c r="I82" s="41" t="e">
        <f>VLOOKUP($A82, [6]!ProductsTable[#Data], 7, FALSE)</f>
        <v>#REF!</v>
      </c>
      <c r="J82" s="39" t="e">
        <f>VLOOKUP($A82, [6]!ProductsTable[#Data], 8, FALSE)</f>
        <v>#REF!</v>
      </c>
      <c r="K82">
        <f>VLOOKUP($A82, [6]!ProductsTable[#Data], 9, FALSE)</f>
        <v>0</v>
      </c>
      <c r="L82" s="38">
        <f>VLOOKUP($A82, [6]!ProductsTable[#Data], 10, FALSE)</f>
        <v>1.3</v>
      </c>
      <c r="M82" s="38">
        <f>VLOOKUP($A82, [6]!ProductsTable[#Data], 11, FALSE)</f>
        <v>18.600000000000001</v>
      </c>
      <c r="N82" s="38">
        <f>VLOOKUP($A82, [6]!ProductsTable[#Data], 12, FALSE)</f>
        <v>13</v>
      </c>
      <c r="O82" s="38">
        <f>VLOOKUP($A82, [6]!ProductsTable[#Data], 13, FALSE)</f>
        <v>7</v>
      </c>
      <c r="R82" s="38" t="str">
        <f>VLOOKUP($A82, [6]!ProductsTable[#Data], 14, FALSE)</f>
        <v>1-Victron</v>
      </c>
      <c r="AE82" t="e">
        <f>COUNTIF('[7]product-export'!$A$2:$A$379, A82)</f>
        <v>#VALUE!</v>
      </c>
    </row>
    <row r="83" spans="1:31" x14ac:dyDescent="0.25">
      <c r="A83" s="76" t="s">
        <v>294</v>
      </c>
      <c r="B83" s="38" t="str">
        <f>VLOOKUP($A83, [6]!ProductsTable[#Data], 2, FALSE)</f>
        <v>Solar Controllers</v>
      </c>
      <c r="C83" s="8" t="s">
        <v>217</v>
      </c>
      <c r="D83" s="8" t="s">
        <v>167</v>
      </c>
      <c r="E83" s="38" t="str">
        <f>VLOOKUP($A83, [6]!ProductsTable[#Data], 3, FALSE)</f>
        <v>Victron</v>
      </c>
      <c r="F83" s="38" t="str">
        <f>VLOOKUP($A83, [6]!ProductsTable[#Data], 4, FALSE)</f>
        <v>SmartSolar MPPT 100/50</v>
      </c>
      <c r="G83" s="38" t="str">
        <f>VLOOKUP($A83, [6]!ProductsTable[#Data], 5, FALSE)</f>
        <v>SCC110050210</v>
      </c>
      <c r="I83" s="41" t="e">
        <f>VLOOKUP($A83, [6]!ProductsTable[#Data], 7, FALSE)</f>
        <v>#REF!</v>
      </c>
      <c r="J83" s="39" t="e">
        <f>VLOOKUP($A83, [6]!ProductsTable[#Data], 8, FALSE)</f>
        <v>#REF!</v>
      </c>
      <c r="K83">
        <f>VLOOKUP($A83, [6]!ProductsTable[#Data], 9, FALSE)</f>
        <v>0</v>
      </c>
      <c r="L83" s="38">
        <f>VLOOKUP($A83, [6]!ProductsTable[#Data], 10, FALSE)</f>
        <v>1.3</v>
      </c>
      <c r="M83" s="38">
        <f>VLOOKUP($A83, [6]!ProductsTable[#Data], 11, FALSE)</f>
        <v>18.600000000000001</v>
      </c>
      <c r="N83" s="38">
        <f>VLOOKUP($A83, [6]!ProductsTable[#Data], 12, FALSE)</f>
        <v>13</v>
      </c>
      <c r="O83" s="38">
        <f>VLOOKUP($A83, [6]!ProductsTable[#Data], 13, FALSE)</f>
        <v>7</v>
      </c>
      <c r="R83" s="38" t="str">
        <f>VLOOKUP($A83, [6]!ProductsTable[#Data], 14, FALSE)</f>
        <v>1-Victron</v>
      </c>
      <c r="AE83" t="e">
        <f>COUNTIF('[7]product-export'!$A$2:$A$379, A83)</f>
        <v>#VALUE!</v>
      </c>
    </row>
    <row r="84" spans="1:31" x14ac:dyDescent="0.25">
      <c r="A84" s="76" t="s">
        <v>295</v>
      </c>
      <c r="B84" s="38" t="str">
        <f>VLOOKUP($A84, [6]!ProductsTable[#Data], 2, FALSE)</f>
        <v>Solar Controllers</v>
      </c>
      <c r="C84" s="8" t="s">
        <v>217</v>
      </c>
      <c r="D84" s="8" t="s">
        <v>167</v>
      </c>
      <c r="E84" s="38" t="str">
        <f>VLOOKUP($A84, [6]!ProductsTable[#Data], 3, FALSE)</f>
        <v>Victron</v>
      </c>
      <c r="F84" s="38" t="str">
        <f>VLOOKUP($A84, [6]!ProductsTable[#Data], 4, FALSE)</f>
        <v>SmartSolar MPPT 150/45-Tr</v>
      </c>
      <c r="G84" s="38" t="str">
        <f>VLOOKUP($A84, [6]!ProductsTable[#Data], 5, FALSE)</f>
        <v>SCC115045210</v>
      </c>
      <c r="I84" s="41" t="e">
        <f>VLOOKUP($A84, [6]!ProductsTable[#Data], 7, FALSE)</f>
        <v>#REF!</v>
      </c>
      <c r="J84" s="39" t="e">
        <f>VLOOKUP($A84, [6]!ProductsTable[#Data], 8, FALSE)</f>
        <v>#REF!</v>
      </c>
      <c r="K84">
        <f>VLOOKUP($A84, [6]!ProductsTable[#Data], 9, FALSE)</f>
        <v>0</v>
      </c>
      <c r="L84" s="38">
        <f>VLOOKUP($A84, [6]!ProductsTable[#Data], 10, FALSE)</f>
        <v>3</v>
      </c>
      <c r="M84" s="38">
        <f>VLOOKUP($A84, [6]!ProductsTable[#Data], 11, FALSE)</f>
        <v>25</v>
      </c>
      <c r="N84" s="38">
        <f>VLOOKUP($A84, [6]!ProductsTable[#Data], 12, FALSE)</f>
        <v>20</v>
      </c>
      <c r="O84" s="38">
        <f>VLOOKUP($A84, [6]!ProductsTable[#Data], 13, FALSE)</f>
        <v>9.5</v>
      </c>
      <c r="R84" s="38" t="str">
        <f>VLOOKUP($A84, [6]!ProductsTable[#Data], 14, FALSE)</f>
        <v>1-Victron</v>
      </c>
      <c r="AE84" t="e">
        <f>COUNTIF('[7]product-export'!$A$2:$A$379, A84)</f>
        <v>#VALUE!</v>
      </c>
    </row>
    <row r="85" spans="1:31" x14ac:dyDescent="0.25">
      <c r="A85" s="76" t="s">
        <v>296</v>
      </c>
      <c r="B85" s="38" t="str">
        <f>VLOOKUP($A85, [6]!ProductsTable[#Data], 2, FALSE)</f>
        <v>Solar Controllers</v>
      </c>
      <c r="C85" s="8" t="s">
        <v>217</v>
      </c>
      <c r="D85" s="8" t="s">
        <v>167</v>
      </c>
      <c r="E85" s="38" t="str">
        <f>VLOOKUP($A85, [6]!ProductsTable[#Data], 3, FALSE)</f>
        <v>Victron</v>
      </c>
      <c r="F85" s="38" t="str">
        <f>VLOOKUP($A85, [6]!ProductsTable[#Data], 4, FALSE)</f>
        <v>SmartSolar MPPT 150/45-MC4</v>
      </c>
      <c r="G85" s="38" t="str">
        <f>VLOOKUP($A85, [6]!ProductsTable[#Data], 5, FALSE)</f>
        <v>SCC115045310</v>
      </c>
      <c r="I85" s="41" t="e">
        <f>VLOOKUP($A85, [6]!ProductsTable[#Data], 7, FALSE)</f>
        <v>#REF!</v>
      </c>
      <c r="J85" s="39" t="e">
        <f>VLOOKUP($A85, [6]!ProductsTable[#Data], 8, FALSE)</f>
        <v>#REF!</v>
      </c>
      <c r="K85">
        <f>VLOOKUP($A85, [6]!ProductsTable[#Data], 9, FALSE)</f>
        <v>0</v>
      </c>
      <c r="L85" s="38">
        <f>VLOOKUP($A85, [6]!ProductsTable[#Data], 10, FALSE)</f>
        <v>3</v>
      </c>
      <c r="M85" s="38">
        <f>VLOOKUP($A85, [6]!ProductsTable[#Data], 11, FALSE)</f>
        <v>25</v>
      </c>
      <c r="N85" s="38">
        <f>VLOOKUP($A85, [6]!ProductsTable[#Data], 12, FALSE)</f>
        <v>20</v>
      </c>
      <c r="O85" s="38">
        <f>VLOOKUP($A85, [6]!ProductsTable[#Data], 13, FALSE)</f>
        <v>9.5</v>
      </c>
      <c r="R85" s="38" t="str">
        <f>VLOOKUP($A85, [6]!ProductsTable[#Data], 14, FALSE)</f>
        <v>1-Victron</v>
      </c>
      <c r="AE85" t="e">
        <f>COUNTIF('[7]product-export'!$A$2:$A$379, A85)</f>
        <v>#VALUE!</v>
      </c>
    </row>
    <row r="86" spans="1:31" x14ac:dyDescent="0.25">
      <c r="A86" s="76" t="s">
        <v>297</v>
      </c>
      <c r="B86" s="38" t="str">
        <f>VLOOKUP($A86, [6]!ProductsTable[#Data], 2, FALSE)</f>
        <v>Solar Controllers</v>
      </c>
      <c r="C86" s="8" t="s">
        <v>217</v>
      </c>
      <c r="D86" s="8" t="s">
        <v>167</v>
      </c>
      <c r="E86" s="38" t="str">
        <f>VLOOKUP($A86, [6]!ProductsTable[#Data], 3, FALSE)</f>
        <v>Victron</v>
      </c>
      <c r="F86" s="38" t="str">
        <f>VLOOKUP($A86, [6]!ProductsTable[#Data], 4, FALSE)</f>
        <v>SmartSolar MPPT 150/60-MC4</v>
      </c>
      <c r="G86" s="38" t="str">
        <f>VLOOKUP($A86, [6]!ProductsTable[#Data], 5, FALSE)</f>
        <v>SCC115060310</v>
      </c>
      <c r="I86" s="41" t="e">
        <f>VLOOKUP($A86, [6]!ProductsTable[#Data], 7, FALSE)</f>
        <v>#REF!</v>
      </c>
      <c r="J86" s="39" t="e">
        <f>VLOOKUP($A86, [6]!ProductsTable[#Data], 8, FALSE)</f>
        <v>#REF!</v>
      </c>
      <c r="K86">
        <f>VLOOKUP($A86, [6]!ProductsTable[#Data], 9, FALSE)</f>
        <v>0</v>
      </c>
      <c r="L86" s="38">
        <f>VLOOKUP($A86, [6]!ProductsTable[#Data], 10, FALSE)</f>
        <v>3</v>
      </c>
      <c r="M86" s="38">
        <f>VLOOKUP($A86, [6]!ProductsTable[#Data], 11, FALSE)</f>
        <v>25</v>
      </c>
      <c r="N86" s="38">
        <f>VLOOKUP($A86, [6]!ProductsTable[#Data], 12, FALSE)</f>
        <v>20</v>
      </c>
      <c r="O86" s="38">
        <f>VLOOKUP($A86, [6]!ProductsTable[#Data], 13, FALSE)</f>
        <v>9.5</v>
      </c>
      <c r="R86" s="38" t="str">
        <f>VLOOKUP($A86, [6]!ProductsTable[#Data], 14, FALSE)</f>
        <v>1-Victron</v>
      </c>
      <c r="AE86" t="e">
        <f>COUNTIF('[7]product-export'!$A$2:$A$379, A86)</f>
        <v>#VALUE!</v>
      </c>
    </row>
    <row r="87" spans="1:31" x14ac:dyDescent="0.25">
      <c r="A87" s="76" t="s">
        <v>298</v>
      </c>
      <c r="B87" s="38" t="str">
        <f>VLOOKUP($A87, [6]!ProductsTable[#Data], 2, FALSE)</f>
        <v>Solar Controllers</v>
      </c>
      <c r="C87" s="8" t="s">
        <v>217</v>
      </c>
      <c r="D87" s="8" t="s">
        <v>167</v>
      </c>
      <c r="E87" s="38" t="str">
        <f>VLOOKUP($A87, [6]!ProductsTable[#Data], 3, FALSE)</f>
        <v>Victron</v>
      </c>
      <c r="F87" s="38" t="str">
        <f>VLOOKUP($A87, [6]!ProductsTable[#Data], 4, FALSE)</f>
        <v>SmartSolar MPPT 150/70-Tr</v>
      </c>
      <c r="G87" s="38" t="str">
        <f>VLOOKUP($A87, [6]!ProductsTable[#Data], 5, FALSE)</f>
        <v>SCC115070210</v>
      </c>
      <c r="I87" s="41" t="e">
        <f>VLOOKUP($A87, [6]!ProductsTable[#Data], 7, FALSE)</f>
        <v>#REF!</v>
      </c>
      <c r="J87" s="39" t="e">
        <f>VLOOKUP($A87, [6]!ProductsTable[#Data], 8, FALSE)</f>
        <v>#REF!</v>
      </c>
      <c r="K87">
        <f>VLOOKUP($A87, [6]!ProductsTable[#Data], 9, FALSE)</f>
        <v>0</v>
      </c>
      <c r="L87" s="38">
        <f>VLOOKUP($A87, [6]!ProductsTable[#Data], 10, FALSE)</f>
        <v>3</v>
      </c>
      <c r="M87" s="38">
        <f>VLOOKUP($A87, [6]!ProductsTable[#Data], 11, FALSE)</f>
        <v>25</v>
      </c>
      <c r="N87" s="38">
        <f>VLOOKUP($A87, [6]!ProductsTable[#Data], 12, FALSE)</f>
        <v>20</v>
      </c>
      <c r="O87" s="38">
        <f>VLOOKUP($A87, [6]!ProductsTable[#Data], 13, FALSE)</f>
        <v>9.5</v>
      </c>
      <c r="R87" s="38" t="str">
        <f>VLOOKUP($A87, [6]!ProductsTable[#Data], 14, FALSE)</f>
        <v>1-Victron</v>
      </c>
      <c r="AE87" t="e">
        <f>COUNTIF('[7]product-export'!$A$2:$A$379, A87)</f>
        <v>#VALUE!</v>
      </c>
    </row>
    <row r="88" spans="1:31" x14ac:dyDescent="0.25">
      <c r="A88" s="76" t="s">
        <v>299</v>
      </c>
      <c r="B88" s="38" t="str">
        <f>VLOOKUP($A88, [6]!ProductsTable[#Data], 2, FALSE)</f>
        <v>Solar Controllers</v>
      </c>
      <c r="C88" s="8" t="s">
        <v>217</v>
      </c>
      <c r="D88" s="8" t="s">
        <v>167</v>
      </c>
      <c r="E88" s="38" t="str">
        <f>VLOOKUP($A88, [6]!ProductsTable[#Data], 3, FALSE)</f>
        <v>Victron</v>
      </c>
      <c r="F88" s="38" t="str">
        <f>VLOOKUP($A88, [6]!ProductsTable[#Data], 4, FALSE)</f>
        <v>SmartSolar MPPT 150/70-MC4 VE.Can</v>
      </c>
      <c r="G88" s="38" t="str">
        <f>VLOOKUP($A88, [6]!ProductsTable[#Data], 5, FALSE)</f>
        <v xml:space="preserve">SCC115070511 </v>
      </c>
      <c r="I88" s="41" t="e">
        <f>VLOOKUP($A88, [6]!ProductsTable[#Data], 7, FALSE)</f>
        <v>#REF!</v>
      </c>
      <c r="J88" s="39" t="e">
        <f>VLOOKUP($A88, [6]!ProductsTable[#Data], 8, FALSE)</f>
        <v>#REF!</v>
      </c>
      <c r="K88">
        <f>VLOOKUP($A88, [6]!ProductsTable[#Data], 9, FALSE)</f>
        <v>0</v>
      </c>
      <c r="L88" s="38">
        <f>VLOOKUP($A88, [6]!ProductsTable[#Data], 10, FALSE)</f>
        <v>3</v>
      </c>
      <c r="M88" s="38">
        <f>VLOOKUP($A88, [6]!ProductsTable[#Data], 11, FALSE)</f>
        <v>25</v>
      </c>
      <c r="N88" s="38">
        <f>VLOOKUP($A88, [6]!ProductsTable[#Data], 12, FALSE)</f>
        <v>20</v>
      </c>
      <c r="O88" s="38">
        <f>VLOOKUP($A88, [6]!ProductsTable[#Data], 13, FALSE)</f>
        <v>9.5</v>
      </c>
      <c r="R88" s="38" t="str">
        <f>VLOOKUP($A88, [6]!ProductsTable[#Data], 14, FALSE)</f>
        <v>1-Victron</v>
      </c>
      <c r="AE88" t="e">
        <f>COUNTIF('[7]product-export'!$A$2:$A$379, A88)</f>
        <v>#VALUE!</v>
      </c>
    </row>
    <row r="89" spans="1:31" x14ac:dyDescent="0.25">
      <c r="A89" s="76" t="s">
        <v>300</v>
      </c>
      <c r="B89" s="38" t="str">
        <f>VLOOKUP($A89, [6]!ProductsTable[#Data], 2, FALSE)</f>
        <v>Solar Controllers</v>
      </c>
      <c r="C89" s="8" t="s">
        <v>217</v>
      </c>
      <c r="D89" s="8" t="s">
        <v>167</v>
      </c>
      <c r="E89" s="38" t="str">
        <f>VLOOKUP($A89, [6]!ProductsTable[#Data], 3, FALSE)</f>
        <v>Victron</v>
      </c>
      <c r="F89" s="38" t="str">
        <f>VLOOKUP($A89, [6]!ProductsTable[#Data], 4, FALSE)</f>
        <v>SmartSolar MPPT 150/85-MC-4</v>
      </c>
      <c r="G89" s="38" t="str">
        <f>VLOOKUP($A89, [6]!ProductsTable[#Data], 5, FALSE)</f>
        <v>SCC115085311</v>
      </c>
      <c r="I89" s="41" t="e">
        <f>VLOOKUP($A89, [6]!ProductsTable[#Data], 7, FALSE)</f>
        <v>#REF!</v>
      </c>
      <c r="J89" s="39" t="e">
        <f>VLOOKUP($A89, [6]!ProductsTable[#Data], 8, FALSE)</f>
        <v>#REF!</v>
      </c>
      <c r="K89">
        <f>VLOOKUP($A89, [6]!ProductsTable[#Data], 9, FALSE)</f>
        <v>0</v>
      </c>
      <c r="L89" s="38">
        <f>VLOOKUP($A89, [6]!ProductsTable[#Data], 10, FALSE)</f>
        <v>4.5</v>
      </c>
      <c r="M89" s="38">
        <f>VLOOKUP($A89, [6]!ProductsTable[#Data], 11, FALSE)</f>
        <v>29.5</v>
      </c>
      <c r="N89" s="38">
        <f>VLOOKUP($A89, [6]!ProductsTable[#Data], 12, FALSE)</f>
        <v>21.6</v>
      </c>
      <c r="O89" s="38">
        <f>VLOOKUP($A89, [6]!ProductsTable[#Data], 13, FALSE)</f>
        <v>10.3</v>
      </c>
      <c r="R89" s="38" t="str">
        <f>VLOOKUP($A89, [6]!ProductsTable[#Data], 14, FALSE)</f>
        <v>1-Victron</v>
      </c>
      <c r="AE89" t="e">
        <f>COUNTIF('[7]product-export'!$A$2:$A$379, A89)</f>
        <v>#VALUE!</v>
      </c>
    </row>
    <row r="90" spans="1:31" x14ac:dyDescent="0.25">
      <c r="A90" s="76" t="s">
        <v>301</v>
      </c>
      <c r="B90" s="38" t="str">
        <f>VLOOKUP($A90, [6]!ProductsTable[#Data], 2, FALSE)</f>
        <v>Solar Controllers</v>
      </c>
      <c r="C90" s="8" t="s">
        <v>217</v>
      </c>
      <c r="D90" s="8" t="s">
        <v>167</v>
      </c>
      <c r="E90" s="38" t="str">
        <f>VLOOKUP($A90, [6]!ProductsTable[#Data], 3, FALSE)</f>
        <v>Victron</v>
      </c>
      <c r="F90" s="38" t="str">
        <f>VLOOKUP($A90, [6]!ProductsTable[#Data], 4, FALSE)</f>
        <v>SmartSolar MPPT 150/100-MC-4</v>
      </c>
      <c r="G90" s="38" t="str">
        <f>VLOOKUP($A90, [6]!ProductsTable[#Data], 5, FALSE)</f>
        <v>SCC115110311</v>
      </c>
      <c r="I90" s="41" t="e">
        <f>VLOOKUP($A90, [6]!ProductsTable[#Data], 7, FALSE)</f>
        <v>#REF!</v>
      </c>
      <c r="J90" s="39" t="e">
        <f>VLOOKUP($A90, [6]!ProductsTable[#Data], 8, FALSE)</f>
        <v>#REF!</v>
      </c>
      <c r="K90">
        <f>VLOOKUP($A90, [6]!ProductsTable[#Data], 9, FALSE)</f>
        <v>0</v>
      </c>
      <c r="L90" s="38">
        <f>VLOOKUP($A90, [6]!ProductsTable[#Data], 10, FALSE)</f>
        <v>4.5</v>
      </c>
      <c r="M90" s="38">
        <f>VLOOKUP($A90, [6]!ProductsTable[#Data], 11, FALSE)</f>
        <v>29.5</v>
      </c>
      <c r="N90" s="38">
        <f>VLOOKUP($A90, [6]!ProductsTable[#Data], 12, FALSE)</f>
        <v>21.6</v>
      </c>
      <c r="O90" s="38">
        <f>VLOOKUP($A90, [6]!ProductsTable[#Data], 13, FALSE)</f>
        <v>10.3</v>
      </c>
      <c r="R90" s="38" t="str">
        <f>VLOOKUP($A90, [6]!ProductsTable[#Data], 14, FALSE)</f>
        <v>1-Victron</v>
      </c>
      <c r="AE90" t="e">
        <f>COUNTIF('[7]product-export'!$A$2:$A$379, A90)</f>
        <v>#VALUE!</v>
      </c>
    </row>
    <row r="91" spans="1:31" x14ac:dyDescent="0.25">
      <c r="A91" s="76" t="s">
        <v>86</v>
      </c>
      <c r="B91" s="38" t="str">
        <f>VLOOKUP($A91, [6]!ProductsTable[#Data], 2, FALSE)</f>
        <v>Solar Controllers</v>
      </c>
      <c r="C91" s="8" t="s">
        <v>152</v>
      </c>
      <c r="D91" s="8" t="s">
        <v>167</v>
      </c>
      <c r="E91" s="38" t="str">
        <f>VLOOKUP($A91, [6]!ProductsTable[#Data], 3, FALSE)</f>
        <v>Victron</v>
      </c>
      <c r="F91" s="38" t="str">
        <f>VLOOKUP($A91, [6]!ProductsTable[#Data], 4, FALSE)</f>
        <v>SmartSolar MPPT 250/60-Tr</v>
      </c>
      <c r="G91" s="38" t="str">
        <f>VLOOKUP($A91, [6]!ProductsTable[#Data], 5, FALSE)</f>
        <v>SCC125060221</v>
      </c>
      <c r="I91" s="41" t="e">
        <f>VLOOKUP($A91, [6]!ProductsTable[#Data], 7, FALSE)</f>
        <v>#REF!</v>
      </c>
      <c r="J91" s="39" t="e">
        <f>VLOOKUP($A91, [6]!ProductsTable[#Data], 8, FALSE)</f>
        <v>#REF!</v>
      </c>
      <c r="K91">
        <f>VLOOKUP($A91, [6]!ProductsTable[#Data], 9, FALSE)</f>
        <v>0</v>
      </c>
      <c r="L91" s="38">
        <f>VLOOKUP($A91, [6]!ProductsTable[#Data], 10, FALSE)</f>
        <v>3</v>
      </c>
      <c r="M91" s="38">
        <f>VLOOKUP($A91, [6]!ProductsTable[#Data], 11, FALSE)</f>
        <v>25</v>
      </c>
      <c r="N91" s="38">
        <f>VLOOKUP($A91, [6]!ProductsTable[#Data], 12, FALSE)</f>
        <v>20</v>
      </c>
      <c r="O91" s="38">
        <f>VLOOKUP($A91, [6]!ProductsTable[#Data], 13, FALSE)</f>
        <v>9.5</v>
      </c>
      <c r="R91" s="38" t="str">
        <f>VLOOKUP($A91, [6]!ProductsTable[#Data], 14, FALSE)</f>
        <v>1-Victron</v>
      </c>
      <c r="AE91" t="e">
        <f>COUNTIF('[7]product-export'!$A$2:$A$379, A91)</f>
        <v>#VALUE!</v>
      </c>
    </row>
    <row r="92" spans="1:31" x14ac:dyDescent="0.25">
      <c r="A92" s="76" t="s">
        <v>302</v>
      </c>
      <c r="B92" s="38" t="str">
        <f>VLOOKUP($A92, [6]!ProductsTable[#Data], 2, FALSE)</f>
        <v>Solar Controllers</v>
      </c>
      <c r="C92" s="8" t="s">
        <v>217</v>
      </c>
      <c r="D92" s="8" t="s">
        <v>167</v>
      </c>
      <c r="E92" s="38" t="str">
        <f>VLOOKUP($A92, [6]!ProductsTable[#Data], 3, FALSE)</f>
        <v>Victron</v>
      </c>
      <c r="F92" s="38" t="str">
        <f>VLOOKUP($A92, [6]!ProductsTable[#Data], 4, FALSE)</f>
        <v>SmartSolar MPPT 250/60-MC4</v>
      </c>
      <c r="G92" s="38" t="str">
        <f>VLOOKUP($A92, [6]!ProductsTable[#Data], 5, FALSE)</f>
        <v>SCC125060320</v>
      </c>
      <c r="I92" s="41" t="e">
        <f>VLOOKUP($A92, [6]!ProductsTable[#Data], 7, FALSE)</f>
        <v>#REF!</v>
      </c>
      <c r="J92" s="39" t="e">
        <f>VLOOKUP($A92, [6]!ProductsTable[#Data], 8, FALSE)</f>
        <v>#REF!</v>
      </c>
      <c r="K92">
        <f>VLOOKUP($A92, [6]!ProductsTable[#Data], 9, FALSE)</f>
        <v>0</v>
      </c>
      <c r="L92" s="38">
        <f>VLOOKUP($A92, [6]!ProductsTable[#Data], 10, FALSE)</f>
        <v>3</v>
      </c>
      <c r="M92" s="38">
        <f>VLOOKUP($A92, [6]!ProductsTable[#Data], 11, FALSE)</f>
        <v>25</v>
      </c>
      <c r="N92" s="38">
        <f>VLOOKUP($A92, [6]!ProductsTable[#Data], 12, FALSE)</f>
        <v>20</v>
      </c>
      <c r="O92" s="38">
        <f>VLOOKUP($A92, [6]!ProductsTable[#Data], 13, FALSE)</f>
        <v>9.5</v>
      </c>
      <c r="R92" s="38" t="str">
        <f>VLOOKUP($A92, [6]!ProductsTable[#Data], 14, FALSE)</f>
        <v>1-Victron</v>
      </c>
      <c r="AE92" t="e">
        <f>COUNTIF('[7]product-export'!$A$2:$A$379, A92)</f>
        <v>#VALUE!</v>
      </c>
    </row>
    <row r="93" spans="1:31" x14ac:dyDescent="0.25">
      <c r="A93" s="76" t="s">
        <v>87</v>
      </c>
      <c r="B93" s="38" t="str">
        <f>VLOOKUP($A93, [6]!ProductsTable[#Data], 2, FALSE)</f>
        <v>Solar Controllers</v>
      </c>
      <c r="C93" s="8" t="s">
        <v>152</v>
      </c>
      <c r="D93" s="8" t="s">
        <v>167</v>
      </c>
      <c r="E93" s="38" t="str">
        <f>VLOOKUP($A93, [6]!ProductsTable[#Data], 3, FALSE)</f>
        <v>Victron</v>
      </c>
      <c r="F93" s="38" t="str">
        <f>VLOOKUP($A93, [6]!ProductsTable[#Data], 4, FALSE)</f>
        <v>SmartSolar MPPT 250/70-Tr</v>
      </c>
      <c r="G93" s="38" t="str">
        <f>VLOOKUP($A93, [6]!ProductsTable[#Data], 5, FALSE)</f>
        <v>SCC125070221</v>
      </c>
      <c r="I93" s="41" t="e">
        <f>VLOOKUP($A93, [6]!ProductsTable[#Data], 7, FALSE)</f>
        <v>#REF!</v>
      </c>
      <c r="J93" s="39" t="e">
        <f>VLOOKUP($A93, [6]!ProductsTable[#Data], 8, FALSE)</f>
        <v>#REF!</v>
      </c>
      <c r="K93">
        <f>VLOOKUP($A93, [6]!ProductsTable[#Data], 9, FALSE)</f>
        <v>0</v>
      </c>
      <c r="L93" s="38">
        <f>VLOOKUP($A93, [6]!ProductsTable[#Data], 10, FALSE)</f>
        <v>3</v>
      </c>
      <c r="M93" s="38">
        <f>VLOOKUP($A93, [6]!ProductsTable[#Data], 11, FALSE)</f>
        <v>18.5</v>
      </c>
      <c r="N93" s="38">
        <f>VLOOKUP($A93, [6]!ProductsTable[#Data], 12, FALSE)</f>
        <v>25</v>
      </c>
      <c r="O93" s="38">
        <f>VLOOKUP($A93, [6]!ProductsTable[#Data], 13, FALSE)</f>
        <v>9.5</v>
      </c>
      <c r="R93" s="38" t="str">
        <f>VLOOKUP($A93, [6]!ProductsTable[#Data], 14, FALSE)</f>
        <v>1-Victron</v>
      </c>
      <c r="AE93" t="e">
        <f>COUNTIF('[7]product-export'!$A$2:$A$379, A93)</f>
        <v>#VALUE!</v>
      </c>
    </row>
    <row r="94" spans="1:31" x14ac:dyDescent="0.25">
      <c r="A94" s="76" t="s">
        <v>366</v>
      </c>
      <c r="B94" s="38" t="str">
        <f>VLOOKUP($A94, [6]!ProductsTable[#Data], 2, FALSE)</f>
        <v>Solar Controllers</v>
      </c>
      <c r="C94" s="8" t="s">
        <v>217</v>
      </c>
      <c r="D94" s="8" t="s">
        <v>167</v>
      </c>
      <c r="E94" s="38" t="str">
        <f>VLOOKUP($A94, [6]!ProductsTable[#Data], 3, FALSE)</f>
        <v>Victron</v>
      </c>
      <c r="F94" s="38" t="str">
        <f>VLOOKUP($A94, [6]!ProductsTable[#Data], 4, FALSE)</f>
        <v>SmartSolar MPPT 250/70-MC4</v>
      </c>
      <c r="G94" s="38" t="str">
        <f>VLOOKUP($A94, [6]!ProductsTable[#Data], 5, FALSE)</f>
        <v>SCC125070310</v>
      </c>
      <c r="I94" s="41" t="e">
        <f>VLOOKUP($A94, [6]!ProductsTable[#Data], 7, FALSE)</f>
        <v>#REF!</v>
      </c>
      <c r="J94" s="39" t="e">
        <f>VLOOKUP($A94, [6]!ProductsTable[#Data], 8, FALSE)</f>
        <v>#REF!</v>
      </c>
      <c r="K94">
        <f>VLOOKUP($A94, [6]!ProductsTable[#Data], 9, FALSE)</f>
        <v>0</v>
      </c>
      <c r="L94" s="38">
        <f>VLOOKUP($A94, [6]!ProductsTable[#Data], 10, FALSE)</f>
        <v>3</v>
      </c>
      <c r="M94" s="38">
        <f>VLOOKUP($A94, [6]!ProductsTable[#Data], 11, FALSE)</f>
        <v>25</v>
      </c>
      <c r="N94" s="38">
        <f>VLOOKUP($A94, [6]!ProductsTable[#Data], 12, FALSE)</f>
        <v>20</v>
      </c>
      <c r="O94" s="38">
        <f>VLOOKUP($A94, [6]!ProductsTable[#Data], 13, FALSE)</f>
        <v>9.5</v>
      </c>
      <c r="R94" s="38" t="str">
        <f>VLOOKUP($A94, [6]!ProductsTable[#Data], 14, FALSE)</f>
        <v>1-Victron</v>
      </c>
      <c r="AE94" t="e">
        <f>COUNTIF('[7]product-export'!$A$2:$A$379, A94)</f>
        <v>#VALUE!</v>
      </c>
    </row>
    <row r="95" spans="1:31" x14ac:dyDescent="0.25">
      <c r="A95" s="76" t="s">
        <v>367</v>
      </c>
      <c r="B95" s="38" t="str">
        <f>VLOOKUP($A95, [6]!ProductsTable[#Data], 2, FALSE)</f>
        <v>Solar Controllers</v>
      </c>
      <c r="C95" s="8" t="s">
        <v>217</v>
      </c>
      <c r="D95" s="8" t="s">
        <v>167</v>
      </c>
      <c r="E95" s="38" t="str">
        <f>VLOOKUP($A95, [6]!ProductsTable[#Data], 3, FALSE)</f>
        <v>Victron</v>
      </c>
      <c r="F95" s="38" t="str">
        <f>VLOOKUP($A95, [6]!ProductsTable[#Data], 4, FALSE)</f>
        <v>SmartSolar MPPT 250/85-Tr</v>
      </c>
      <c r="G95" s="38" t="str">
        <f>VLOOKUP($A95, [6]!ProductsTable[#Data], 5, FALSE)</f>
        <v>SCC125085210</v>
      </c>
      <c r="I95" s="41" t="e">
        <f>VLOOKUP($A95, [6]!ProductsTable[#Data], 7, FALSE)</f>
        <v>#REF!</v>
      </c>
      <c r="J95" s="39" t="e">
        <f>VLOOKUP($A95, [6]!ProductsTable[#Data], 8, FALSE)</f>
        <v>#REF!</v>
      </c>
      <c r="K95">
        <f>VLOOKUP($A95, [6]!ProductsTable[#Data], 9, FALSE)</f>
        <v>0</v>
      </c>
      <c r="L95" s="38">
        <f>VLOOKUP($A95, [6]!ProductsTable[#Data], 10, FALSE)</f>
        <v>4.5</v>
      </c>
      <c r="M95" s="38">
        <f>VLOOKUP($A95, [6]!ProductsTable[#Data], 11, FALSE)</f>
        <v>29.5</v>
      </c>
      <c r="N95" s="38">
        <f>VLOOKUP($A95, [6]!ProductsTable[#Data], 12, FALSE)</f>
        <v>21.5</v>
      </c>
      <c r="O95" s="38">
        <f>VLOOKUP($A95, [6]!ProductsTable[#Data], 13, FALSE)</f>
        <v>10.3</v>
      </c>
      <c r="R95" s="38" t="str">
        <f>VLOOKUP($A95, [6]!ProductsTable[#Data], 14, FALSE)</f>
        <v>1-Victron</v>
      </c>
      <c r="AE95" t="e">
        <f>COUNTIF('[7]product-export'!$A$2:$A$379, A95)</f>
        <v>#VALUE!</v>
      </c>
    </row>
    <row r="96" spans="1:31" x14ac:dyDescent="0.25">
      <c r="A96" s="76" t="s">
        <v>368</v>
      </c>
      <c r="B96" s="38" t="str">
        <f>VLOOKUP($A96, [6]!ProductsTable[#Data], 2, FALSE)</f>
        <v>Solar Controllers</v>
      </c>
      <c r="C96" s="8" t="s">
        <v>217</v>
      </c>
      <c r="D96" s="8" t="s">
        <v>167</v>
      </c>
      <c r="E96" s="38" t="str">
        <f>VLOOKUP($A96, [6]!ProductsTable[#Data], 3, FALSE)</f>
        <v>Victron</v>
      </c>
      <c r="F96" s="38" t="str">
        <f>VLOOKUP($A96, [6]!ProductsTable[#Data], 4, FALSE)</f>
        <v>SmartSolar MPPT 250/85-MC4</v>
      </c>
      <c r="G96" s="38" t="str">
        <f>VLOOKUP($A96, [6]!ProductsTable[#Data], 5, FALSE)</f>
        <v>SCC125085310</v>
      </c>
      <c r="I96" s="41" t="e">
        <f>VLOOKUP($A96, [6]!ProductsTable[#Data], 7, FALSE)</f>
        <v>#REF!</v>
      </c>
      <c r="J96" s="39" t="e">
        <f>VLOOKUP($A96, [6]!ProductsTable[#Data], 8, FALSE)</f>
        <v>#REF!</v>
      </c>
      <c r="K96">
        <f>VLOOKUP($A96, [6]!ProductsTable[#Data], 9, FALSE)</f>
        <v>0</v>
      </c>
      <c r="L96" s="38">
        <f>VLOOKUP($A96, [6]!ProductsTable[#Data], 10, FALSE)</f>
        <v>4.5</v>
      </c>
      <c r="M96" s="38">
        <f>VLOOKUP($A96, [6]!ProductsTable[#Data], 11, FALSE)</f>
        <v>29.5</v>
      </c>
      <c r="N96" s="38">
        <f>VLOOKUP($A96, [6]!ProductsTable[#Data], 12, FALSE)</f>
        <v>21.6</v>
      </c>
      <c r="O96" s="38">
        <f>VLOOKUP($A96, [6]!ProductsTable[#Data], 13, FALSE)</f>
        <v>10.3</v>
      </c>
      <c r="R96" s="38" t="str">
        <f>VLOOKUP($A96, [6]!ProductsTable[#Data], 14, FALSE)</f>
        <v>1-Victron</v>
      </c>
      <c r="AE96" t="e">
        <f>COUNTIF('[7]product-export'!$A$2:$A$379, A96)</f>
        <v>#VALUE!</v>
      </c>
    </row>
    <row r="97" spans="1:31" x14ac:dyDescent="0.25">
      <c r="A97" s="76" t="s">
        <v>479</v>
      </c>
      <c r="B97" s="38" t="str">
        <f>VLOOKUP($A97, [6]!ProductsTable[#Data], 2, FALSE)</f>
        <v>Cables</v>
      </c>
      <c r="C97" s="8" t="s">
        <v>154</v>
      </c>
      <c r="D97" s="8" t="s">
        <v>233</v>
      </c>
      <c r="E97" s="38" t="str">
        <f>VLOOKUP($A97, [6]!ProductsTable[#Data], 3, FALSE)</f>
        <v>Victron</v>
      </c>
      <c r="F97" s="38" t="str">
        <f>VLOOKUP($A97, [6]!ProductsTable[#Data], 4, FALSE)</f>
        <v>RJ45 UTP Cable 3m</v>
      </c>
      <c r="G97" s="38" t="str">
        <f>VLOOKUP($A97, [6]!ProductsTable[#Data], 5, FALSE)</f>
        <v>ASS030064980</v>
      </c>
      <c r="I97" s="41" t="e">
        <f>VLOOKUP($A97, [6]!ProductsTable[#Data], 7, FALSE)</f>
        <v>#REF!</v>
      </c>
      <c r="J97" s="39" t="e">
        <f>VLOOKUP($A97, [6]!ProductsTable[#Data], 8, FALSE)</f>
        <v>#REF!</v>
      </c>
      <c r="K97">
        <f>VLOOKUP($A97, [6]!ProductsTable[#Data], 9, FALSE)</f>
        <v>0</v>
      </c>
      <c r="L97" s="38">
        <f>VLOOKUP($A97, [6]!ProductsTable[#Data], 10, FALSE)</f>
        <v>0.15</v>
      </c>
      <c r="M97" s="38">
        <f>VLOOKUP($A97, [6]!ProductsTable[#Data], 11, FALSE)</f>
        <v>10</v>
      </c>
      <c r="N97" s="38">
        <f>VLOOKUP($A97, [6]!ProductsTable[#Data], 12, FALSE)</f>
        <v>10</v>
      </c>
      <c r="O97" s="38">
        <f>VLOOKUP($A97, [6]!ProductsTable[#Data], 13, FALSE)</f>
        <v>1</v>
      </c>
      <c r="R97" s="38" t="str">
        <f>VLOOKUP($A97, [6]!ProductsTable[#Data], 14, FALSE)</f>
        <v>1-Victron</v>
      </c>
      <c r="AE97" t="e">
        <f>COUNTIF('[7]product-export'!$A$2:$A$379, A97)</f>
        <v>#VALUE!</v>
      </c>
    </row>
    <row r="98" spans="1:31" x14ac:dyDescent="0.25">
      <c r="A98" s="76" t="s">
        <v>403</v>
      </c>
      <c r="B98" s="38" t="str">
        <f>VLOOKUP($A98, [6]!ProductsTable[#Data], 2, FALSE)</f>
        <v>Solar Controllers</v>
      </c>
      <c r="C98" s="8" t="s">
        <v>217</v>
      </c>
      <c r="D98" s="8" t="s">
        <v>167</v>
      </c>
      <c r="E98" s="38" t="str">
        <f>VLOOKUP($A98, [6]!ProductsTable[#Data], 3, FALSE)</f>
        <v>Victron</v>
      </c>
      <c r="F98" s="38" t="str">
        <f>VLOOKUP($A98, [6]!ProductsTable[#Data], 4, FALSE)</f>
        <v>WireBox-L Tr (for Tr h=200mm)</v>
      </c>
      <c r="G98" s="38" t="str">
        <f>VLOOKUP($A98, [6]!ProductsTable[#Data], 5, FALSE)</f>
        <v>SCC950300210</v>
      </c>
      <c r="I98" s="41" t="e">
        <f>VLOOKUP($A98, [6]!ProductsTable[#Data], 7, FALSE)</f>
        <v>#REF!</v>
      </c>
      <c r="J98" s="39" t="e">
        <f>VLOOKUP($A98, [6]!ProductsTable[#Data], 8, FALSE)</f>
        <v>#REF!</v>
      </c>
      <c r="K98">
        <f>VLOOKUP($A98, [6]!ProductsTable[#Data], 9, FALSE)</f>
        <v>0</v>
      </c>
      <c r="L98" s="38">
        <f>VLOOKUP($A98, [6]!ProductsTable[#Data], 10, FALSE)</f>
        <v>0.5</v>
      </c>
      <c r="M98" s="38">
        <f>VLOOKUP($A98, [6]!ProductsTable[#Data], 11, FALSE)</f>
        <v>250</v>
      </c>
      <c r="N98" s="38">
        <f>VLOOKUP($A98, [6]!ProductsTable[#Data], 12, FALSE)</f>
        <v>65</v>
      </c>
      <c r="O98" s="38">
        <f>VLOOKUP($A98, [6]!ProductsTable[#Data], 13, FALSE)</f>
        <v>100</v>
      </c>
      <c r="R98" s="38" t="str">
        <f>VLOOKUP($A98, [6]!ProductsTable[#Data], 14, FALSE)</f>
        <v>1-Victron</v>
      </c>
      <c r="AE98" t="e">
        <f>COUNTIF('[7]product-export'!$A$2:$A$379, A98)</f>
        <v>#VALUE!</v>
      </c>
    </row>
    <row r="99" spans="1:31" x14ac:dyDescent="0.25">
      <c r="A99" s="76" t="s">
        <v>404</v>
      </c>
      <c r="B99" s="38" t="str">
        <f>VLOOKUP($A99, [6]!ProductsTable[#Data], 2, FALSE)</f>
        <v>Solar Controllers</v>
      </c>
      <c r="C99" s="8" t="s">
        <v>217</v>
      </c>
      <c r="D99" s="8" t="s">
        <v>167</v>
      </c>
      <c r="E99" s="38" t="str">
        <f>VLOOKUP($A99, [6]!ProductsTable[#Data], 3, FALSE)</f>
        <v>Victron</v>
      </c>
      <c r="F99" s="38" t="str">
        <f>VLOOKUP($A99, [6]!ProductsTable[#Data], 4, FALSE)</f>
        <v>WireBox-L MC4 (for MC4 h=200mm)</v>
      </c>
      <c r="G99" s="38" t="str">
        <f>VLOOKUP($A99, [6]!ProductsTable[#Data], 5, FALSE)</f>
        <v>SCC950300300</v>
      </c>
      <c r="I99" s="41" t="e">
        <f>VLOOKUP($A99, [6]!ProductsTable[#Data], 7, FALSE)</f>
        <v>#REF!</v>
      </c>
      <c r="J99" s="39" t="e">
        <f>VLOOKUP($A99, [6]!ProductsTable[#Data], 8, FALSE)</f>
        <v>#REF!</v>
      </c>
      <c r="K99">
        <f>VLOOKUP($A99, [6]!ProductsTable[#Data], 9, FALSE)</f>
        <v>0</v>
      </c>
      <c r="L99" s="38">
        <f>VLOOKUP($A99, [6]!ProductsTable[#Data], 10, FALSE)</f>
        <v>0.5</v>
      </c>
      <c r="M99" s="38">
        <f>VLOOKUP($A99, [6]!ProductsTable[#Data], 11, FALSE)</f>
        <v>250</v>
      </c>
      <c r="N99" s="38">
        <f>VLOOKUP($A99, [6]!ProductsTable[#Data], 12, FALSE)</f>
        <v>65</v>
      </c>
      <c r="O99" s="38">
        <f>VLOOKUP($A99, [6]!ProductsTable[#Data], 13, FALSE)</f>
        <v>100</v>
      </c>
      <c r="R99" s="38" t="str">
        <f>VLOOKUP($A99, [6]!ProductsTable[#Data], 14, FALSE)</f>
        <v>1-Victron</v>
      </c>
      <c r="AE99" t="e">
        <f>COUNTIF('[7]product-export'!$A$2:$A$379, A99)</f>
        <v>#VALUE!</v>
      </c>
    </row>
    <row r="100" spans="1:31" x14ac:dyDescent="0.25">
      <c r="A100" s="76" t="s">
        <v>405</v>
      </c>
      <c r="B100" s="38" t="str">
        <f>VLOOKUP($A100, [6]!ProductsTable[#Data], 2, FALSE)</f>
        <v>Solar Controllers</v>
      </c>
      <c r="C100" s="8" t="s">
        <v>217</v>
      </c>
      <c r="D100" s="8" t="s">
        <v>167</v>
      </c>
      <c r="E100" s="38" t="str">
        <f>VLOOKUP($A100, [6]!ProductsTable[#Data], 3, FALSE)</f>
        <v>Victron</v>
      </c>
      <c r="F100" s="38" t="str">
        <f>VLOOKUP($A100, [6]!ProductsTable[#Data], 4, FALSE)</f>
        <v>WireBox-XL Tr (for Tr h=216mm)</v>
      </c>
      <c r="G100" s="38" t="str">
        <f>VLOOKUP($A100, [6]!ProductsTable[#Data], 5, FALSE)</f>
        <v>SCC950400200</v>
      </c>
      <c r="I100" s="41" t="e">
        <f>VLOOKUP($A100, [6]!ProductsTable[#Data], 7, FALSE)</f>
        <v>#REF!</v>
      </c>
      <c r="J100" s="39" t="e">
        <f>VLOOKUP($A100, [6]!ProductsTable[#Data], 8, FALSE)</f>
        <v>#REF!</v>
      </c>
      <c r="K100">
        <f>VLOOKUP($A100, [6]!ProductsTable[#Data], 9, FALSE)</f>
        <v>0</v>
      </c>
      <c r="L100" s="38">
        <f>VLOOKUP($A100, [6]!ProductsTable[#Data], 10, FALSE)</f>
        <v>0.5</v>
      </c>
      <c r="M100" s="38">
        <f>VLOOKUP($A100, [6]!ProductsTable[#Data], 11, FALSE)</f>
        <v>250</v>
      </c>
      <c r="N100" s="38">
        <f>VLOOKUP($A100, [6]!ProductsTable[#Data], 12, FALSE)</f>
        <v>85</v>
      </c>
      <c r="O100" s="38">
        <f>VLOOKUP($A100, [6]!ProductsTable[#Data], 13, FALSE)</f>
        <v>100</v>
      </c>
      <c r="R100" s="38" t="str">
        <f>VLOOKUP($A100, [6]!ProductsTable[#Data], 14, FALSE)</f>
        <v>1-Victron</v>
      </c>
      <c r="AE100" t="e">
        <f>COUNTIF('[7]product-export'!$A$2:$A$379, A100)</f>
        <v>#VALUE!</v>
      </c>
    </row>
    <row r="101" spans="1:31" x14ac:dyDescent="0.25">
      <c r="A101" s="76" t="s">
        <v>406</v>
      </c>
      <c r="B101" s="38" t="str">
        <f>VLOOKUP($A101, [6]!ProductsTable[#Data], 2, FALSE)</f>
        <v>Solar Controllers</v>
      </c>
      <c r="C101" s="8" t="s">
        <v>217</v>
      </c>
      <c r="D101" s="8" t="s">
        <v>167</v>
      </c>
      <c r="E101" s="38" t="str">
        <f>VLOOKUP($A101, [6]!ProductsTable[#Data], 3, FALSE)</f>
        <v>Victron</v>
      </c>
      <c r="F101" s="38" t="str">
        <f>VLOOKUP($A101, [6]!ProductsTable[#Data], 4, FALSE)</f>
        <v>WireBox-XL MC4 (for MC4 h=216mm)</v>
      </c>
      <c r="G101" s="38" t="str">
        <f>VLOOKUP($A101, [6]!ProductsTable[#Data], 5, FALSE)</f>
        <v>SCC950400300</v>
      </c>
      <c r="I101" s="41" t="e">
        <f>VLOOKUP($A101, [6]!ProductsTable[#Data], 7, FALSE)</f>
        <v>#REF!</v>
      </c>
      <c r="J101" s="39" t="e">
        <f>VLOOKUP($A101, [6]!ProductsTable[#Data], 8, FALSE)</f>
        <v>#REF!</v>
      </c>
      <c r="K101">
        <f>VLOOKUP($A101, [6]!ProductsTable[#Data], 9, FALSE)</f>
        <v>0</v>
      </c>
      <c r="L101" s="38">
        <f>VLOOKUP($A101, [6]!ProductsTable[#Data], 10, FALSE)</f>
        <v>0.5</v>
      </c>
      <c r="M101" s="38">
        <f>VLOOKUP($A101, [6]!ProductsTable[#Data], 11, FALSE)</f>
        <v>250</v>
      </c>
      <c r="N101" s="38">
        <f>VLOOKUP($A101, [6]!ProductsTable[#Data], 12, FALSE)</f>
        <v>85</v>
      </c>
      <c r="O101" s="38">
        <f>VLOOKUP($A101, [6]!ProductsTable[#Data], 13, FALSE)</f>
        <v>100</v>
      </c>
      <c r="R101" s="38" t="str">
        <f>VLOOKUP($A101, [6]!ProductsTable[#Data], 14, FALSE)</f>
        <v>1-Victron</v>
      </c>
      <c r="AE101" t="e">
        <f>COUNTIF('[7]product-export'!$A$2:$A$379, A101)</f>
        <v>#VALUE!</v>
      </c>
    </row>
    <row r="102" spans="1:31" x14ac:dyDescent="0.25">
      <c r="A102" s="76" t="s">
        <v>397</v>
      </c>
      <c r="B102" s="38" t="str">
        <f>VLOOKUP($A102, [6]!ProductsTable[#Data], 2, FALSE)</f>
        <v>Inverters</v>
      </c>
      <c r="C102" s="8" t="s">
        <v>217</v>
      </c>
      <c r="D102" s="8" t="s">
        <v>231</v>
      </c>
      <c r="E102" s="38" t="str">
        <f>VLOOKUP($A102, [6]!ProductsTable[#Data], 3, FALSE)</f>
        <v>Victron</v>
      </c>
      <c r="F102" s="38" t="str">
        <f>VLOOKUP($A102, [6]!ProductsTable[#Data], 4, FALSE)</f>
        <v>Phoenix 12/800 VE.Direct AU/NZ</v>
      </c>
      <c r="G102" s="38" t="str">
        <f>VLOOKUP($A102, [6]!ProductsTable[#Data], 5, FALSE)</f>
        <v>PIN121800300</v>
      </c>
      <c r="I102" s="41" t="e">
        <f>VLOOKUP($A102, [6]!ProductsTable[#Data], 7, FALSE)</f>
        <v>#REF!</v>
      </c>
      <c r="J102" s="39" t="e">
        <f>VLOOKUP($A102, [6]!ProductsTable[#Data], 8, FALSE)</f>
        <v>#REF!</v>
      </c>
      <c r="K102">
        <f>VLOOKUP($A102, [6]!ProductsTable[#Data], 9, FALSE)</f>
        <v>0</v>
      </c>
      <c r="L102" s="38">
        <f>VLOOKUP($A102, [6]!ProductsTable[#Data], 10, FALSE)</f>
        <v>5.5</v>
      </c>
      <c r="M102" s="38">
        <f>VLOOKUP($A102, [6]!ProductsTable[#Data], 11, FALSE)</f>
        <v>30.5</v>
      </c>
      <c r="N102" s="38">
        <f>VLOOKUP($A102, [6]!ProductsTable[#Data], 12, FALSE)</f>
        <v>21.6</v>
      </c>
      <c r="O102" s="38">
        <f>VLOOKUP($A102, [6]!ProductsTable[#Data], 13, FALSE)</f>
        <v>10.5</v>
      </c>
      <c r="R102" s="38" t="str">
        <f>VLOOKUP($A102, [6]!ProductsTable[#Data], 14, FALSE)</f>
        <v>1-Victron</v>
      </c>
      <c r="AE102" t="e">
        <f>COUNTIF('[7]product-export'!$A$2:$A$379, A102)</f>
        <v>#VALUE!</v>
      </c>
    </row>
    <row r="103" spans="1:31" x14ac:dyDescent="0.25">
      <c r="A103" s="76" t="s">
        <v>331</v>
      </c>
      <c r="B103" s="38" t="str">
        <f>VLOOKUP($A103, [6]!ProductsTable[#Data], 2, FALSE)</f>
        <v>Inverters</v>
      </c>
      <c r="C103" s="8" t="s">
        <v>217</v>
      </c>
      <c r="D103" s="8" t="s">
        <v>231</v>
      </c>
      <c r="E103" s="38" t="str">
        <f>VLOOKUP($A103, [6]!ProductsTable[#Data], 3, FALSE)</f>
        <v>Victron</v>
      </c>
      <c r="F103" s="38" t="str">
        <f>VLOOKUP($A103, [6]!ProductsTable[#Data], 4, FALSE)</f>
        <v>Phoenix 24/250 VE.Direct AU/NZ</v>
      </c>
      <c r="G103" s="38" t="str">
        <f>VLOOKUP($A103, [6]!ProductsTable[#Data], 5, FALSE)</f>
        <v>PIN242510300</v>
      </c>
      <c r="I103" s="41" t="e">
        <f>VLOOKUP($A103, [6]!ProductsTable[#Data], 7, FALSE)</f>
        <v>#REF!</v>
      </c>
      <c r="J103" s="39" t="e">
        <f>VLOOKUP($A103, [6]!ProductsTable[#Data], 8, FALSE)</f>
        <v>#REF!</v>
      </c>
      <c r="K103">
        <f>VLOOKUP($A103, [6]!ProductsTable[#Data], 9, FALSE)</f>
        <v>0</v>
      </c>
      <c r="L103" s="38">
        <f>VLOOKUP($A103, [6]!ProductsTable[#Data], 10, FALSE)</f>
        <v>2.4</v>
      </c>
      <c r="M103" s="38">
        <f>VLOOKUP($A103, [6]!ProductsTable[#Data], 11, FALSE)</f>
        <v>20</v>
      </c>
      <c r="N103" s="38">
        <f>VLOOKUP($A103, [6]!ProductsTable[#Data], 12, FALSE)</f>
        <v>13.2</v>
      </c>
      <c r="O103" s="38">
        <f>VLOOKUP($A103, [6]!ProductsTable[#Data], 13, FALSE)</f>
        <v>7.2</v>
      </c>
      <c r="R103" s="38" t="str">
        <f>VLOOKUP($A103, [6]!ProductsTable[#Data], 14, FALSE)</f>
        <v>1-Victron</v>
      </c>
      <c r="AE103" t="e">
        <f>COUNTIF('[7]product-export'!$A$2:$A$379, A103)</f>
        <v>#VALUE!</v>
      </c>
    </row>
    <row r="104" spans="1:31" x14ac:dyDescent="0.25">
      <c r="A104" s="76" t="s">
        <v>332</v>
      </c>
      <c r="B104" s="38" t="str">
        <f>VLOOKUP($A104, [6]!ProductsTable[#Data], 2, FALSE)</f>
        <v>Inverters</v>
      </c>
      <c r="C104" s="8" t="s">
        <v>217</v>
      </c>
      <c r="D104" s="8" t="s">
        <v>231</v>
      </c>
      <c r="E104" s="38" t="str">
        <f>VLOOKUP($A104, [6]!ProductsTable[#Data], 3, FALSE)</f>
        <v>Victron</v>
      </c>
      <c r="F104" s="38" t="str">
        <f>VLOOKUP($A104, [6]!ProductsTable[#Data], 4, FALSE)</f>
        <v>Phoenix 24/500 VE.Direct AU/NZ</v>
      </c>
      <c r="G104" s="38" t="str">
        <f>VLOOKUP($A104, [6]!ProductsTable[#Data], 5, FALSE)</f>
        <v>PIN245010300</v>
      </c>
      <c r="I104" s="41" t="e">
        <f>VLOOKUP($A104, [6]!ProductsTable[#Data], 7, FALSE)</f>
        <v>#REF!</v>
      </c>
      <c r="J104" s="39" t="e">
        <f>VLOOKUP($A104, [6]!ProductsTable[#Data], 8, FALSE)</f>
        <v>#REF!</v>
      </c>
      <c r="K104">
        <f>VLOOKUP($A104, [6]!ProductsTable[#Data], 9, FALSE)</f>
        <v>0</v>
      </c>
      <c r="L104" s="38">
        <f>VLOOKUP($A104, [6]!ProductsTable[#Data], 10, FALSE)</f>
        <v>3.9</v>
      </c>
      <c r="M104" s="38">
        <f>VLOOKUP($A104, [6]!ProductsTable[#Data], 11, FALSE)</f>
        <v>27.5</v>
      </c>
      <c r="N104" s="38">
        <f>VLOOKUP($A104, [6]!ProductsTable[#Data], 12, FALSE)</f>
        <v>17.2</v>
      </c>
      <c r="O104" s="38">
        <f>VLOOKUP($A104, [6]!ProductsTable[#Data], 13, FALSE)</f>
        <v>8.6</v>
      </c>
      <c r="R104" s="38" t="str">
        <f>VLOOKUP($A104, [6]!ProductsTable[#Data], 14, FALSE)</f>
        <v>1-Victron</v>
      </c>
      <c r="AE104" t="e">
        <f>COUNTIF('[7]product-export'!$A$2:$A$379, A104)</f>
        <v>#VALUE!</v>
      </c>
    </row>
    <row r="105" spans="1:31" x14ac:dyDescent="0.25">
      <c r="A105" s="76" t="s">
        <v>333</v>
      </c>
      <c r="B105" s="38" t="str">
        <f>VLOOKUP($A105, [6]!ProductsTable[#Data], 2, FALSE)</f>
        <v>Inverters</v>
      </c>
      <c r="C105" s="8" t="s">
        <v>217</v>
      </c>
      <c r="D105" s="8" t="s">
        <v>231</v>
      </c>
      <c r="E105" s="38" t="str">
        <f>VLOOKUP($A105, [6]!ProductsTable[#Data], 3, FALSE)</f>
        <v>Victron</v>
      </c>
      <c r="F105" s="38" t="str">
        <f>VLOOKUP($A105, [6]!ProductsTable[#Data], 4, FALSE)</f>
        <v>Phoenix 24/800 VE.Direct AU/NZ</v>
      </c>
      <c r="G105" s="38" t="str">
        <f>VLOOKUP($A105, [6]!ProductsTable[#Data], 5, FALSE)</f>
        <v>PIN241800300</v>
      </c>
      <c r="I105" s="41" t="e">
        <f>VLOOKUP($A105, [6]!ProductsTable[#Data], 7, FALSE)</f>
        <v>#REF!</v>
      </c>
      <c r="J105" s="39" t="e">
        <f>VLOOKUP($A105, [6]!ProductsTable[#Data], 8, FALSE)</f>
        <v>#REF!</v>
      </c>
      <c r="K105">
        <f>VLOOKUP($A105, [6]!ProductsTable[#Data], 9, FALSE)</f>
        <v>0</v>
      </c>
      <c r="L105" s="38">
        <f>VLOOKUP($A105, [6]!ProductsTable[#Data], 10, FALSE)</f>
        <v>5.5</v>
      </c>
      <c r="M105" s="38">
        <f>VLOOKUP($A105, [6]!ProductsTable[#Data], 11, FALSE)</f>
        <v>30.5</v>
      </c>
      <c r="N105" s="38">
        <f>VLOOKUP($A105, [6]!ProductsTable[#Data], 12, FALSE)</f>
        <v>21.6</v>
      </c>
      <c r="O105" s="38">
        <f>VLOOKUP($A105, [6]!ProductsTable[#Data], 13, FALSE)</f>
        <v>10.5</v>
      </c>
      <c r="R105" s="38" t="str">
        <f>VLOOKUP($A105, [6]!ProductsTable[#Data], 14, FALSE)</f>
        <v>1-Victron</v>
      </c>
      <c r="AE105" t="e">
        <f>COUNTIF('[7]product-export'!$A$2:$A$379, A105)</f>
        <v>#VALUE!</v>
      </c>
    </row>
    <row r="106" spans="1:31" x14ac:dyDescent="0.25">
      <c r="A106" s="76" t="s">
        <v>536</v>
      </c>
      <c r="B106" s="38" t="str">
        <f>VLOOKUP($A106, [6]!ProductsTable[#Data], 2, FALSE)</f>
        <v>Inverters</v>
      </c>
      <c r="C106" s="8" t="s">
        <v>217</v>
      </c>
      <c r="D106" s="8" t="s">
        <v>168</v>
      </c>
      <c r="E106" s="38" t="str">
        <f>VLOOKUP($A106, [6]!ProductsTable[#Data], 3, FALSE)</f>
        <v>SMA</v>
      </c>
      <c r="F106" s="38" t="str">
        <f>VLOOKUP($A106, [6]!ProductsTable[#Data], 4, FALSE)</f>
        <v>Sunny Highpower Peak1 75KW</v>
      </c>
      <c r="G106" s="38" t="str">
        <f>VLOOKUP($A106, [6]!ProductsTable[#Data], 5, FALSE)</f>
        <v>SHP-75-10-Peak3</v>
      </c>
      <c r="I106" s="41" t="e">
        <f>VLOOKUP($A106, [6]!ProductsTable[#Data], 7, FALSE)</f>
        <v>#REF!</v>
      </c>
      <c r="J106" s="39" t="e">
        <f>VLOOKUP($A106, [6]!ProductsTable[#Data], 8, FALSE)</f>
        <v>#REF!</v>
      </c>
      <c r="K106">
        <f>VLOOKUP($A106, [6]!ProductsTable[#Data], 9, FALSE)</f>
        <v>0</v>
      </c>
      <c r="L106" s="38">
        <f>VLOOKUP($A106, [6]!ProductsTable[#Data], 10, FALSE)</f>
        <v>17.5</v>
      </c>
      <c r="M106" s="38">
        <f>VLOOKUP($A106, [6]!ProductsTable[#Data], 11, FALSE)</f>
        <v>47</v>
      </c>
      <c r="N106" s="38">
        <f>VLOOKUP($A106, [6]!ProductsTable[#Data], 12, FALSE)</f>
        <v>44</v>
      </c>
      <c r="O106" s="38">
        <f>VLOOKUP($A106, [6]!ProductsTable[#Data], 13, FALSE)</f>
        <v>18</v>
      </c>
      <c r="R106" s="38" t="str">
        <f>VLOOKUP($A106, [6]!ProductsTable[#Data], 14, FALSE)</f>
        <v>2-Krannich</v>
      </c>
      <c r="AE106" t="e">
        <f>COUNTIF('[7]product-export'!$A$2:$A$379, A106)</f>
        <v>#VALUE!</v>
      </c>
    </row>
    <row r="107" spans="1:31" x14ac:dyDescent="0.25">
      <c r="A107" s="76" t="s">
        <v>401</v>
      </c>
      <c r="B107" s="38" t="str">
        <f>VLOOKUP($A107, [6]!ProductsTable[#Data], 2, FALSE)</f>
        <v>Inverters</v>
      </c>
      <c r="C107" s="8" t="s">
        <v>217</v>
      </c>
      <c r="D107" s="8" t="s">
        <v>231</v>
      </c>
      <c r="E107" s="38" t="str">
        <f>VLOOKUP($A107, [6]!ProductsTable[#Data], 3, FALSE)</f>
        <v>Victron</v>
      </c>
      <c r="F107" s="38" t="str">
        <f>VLOOKUP($A107, [6]!ProductsTable[#Data], 4, FALSE)</f>
        <v>Phoenix 48/800 VE.Direct AU/NZ</v>
      </c>
      <c r="G107" s="38" t="str">
        <f>VLOOKUP($A107, [6]!ProductsTable[#Data], 5, FALSE)</f>
        <v>PIN481800300</v>
      </c>
      <c r="I107" s="41" t="e">
        <f>VLOOKUP($A107, [6]!ProductsTable[#Data], 7, FALSE)</f>
        <v>#REF!</v>
      </c>
      <c r="J107" s="39" t="e">
        <f>VLOOKUP($A107, [6]!ProductsTable[#Data], 8, FALSE)</f>
        <v>#REF!</v>
      </c>
      <c r="K107">
        <f>VLOOKUP($A107, [6]!ProductsTable[#Data], 9, FALSE)</f>
        <v>0</v>
      </c>
      <c r="L107" s="38">
        <f>VLOOKUP($A107, [6]!ProductsTable[#Data], 10, FALSE)</f>
        <v>5.5</v>
      </c>
      <c r="M107" s="38">
        <f>VLOOKUP($A107, [6]!ProductsTable[#Data], 11, FALSE)</f>
        <v>30.5</v>
      </c>
      <c r="N107" s="38">
        <f>VLOOKUP($A107, [6]!ProductsTable[#Data], 12, FALSE)</f>
        <v>21.6</v>
      </c>
      <c r="O107" s="38">
        <f>VLOOKUP($A107, [6]!ProductsTable[#Data], 13, FALSE)</f>
        <v>10.5</v>
      </c>
      <c r="R107" s="38" t="str">
        <f>VLOOKUP($A107, [6]!ProductsTable[#Data], 14, FALSE)</f>
        <v>1-Victron</v>
      </c>
      <c r="AE107" t="e">
        <f>COUNTIF('[7]product-export'!$A$2:$A$379, A107)</f>
        <v>#VALUE!</v>
      </c>
    </row>
    <row r="108" spans="1:31" x14ac:dyDescent="0.25">
      <c r="A108" s="76" t="s">
        <v>407</v>
      </c>
      <c r="B108" s="38">
        <f>VLOOKUP($A108, [6]!ProductsTable[#Data], 2, FALSE)</f>
        <v>0</v>
      </c>
      <c r="C108" s="8" t="s">
        <v>217</v>
      </c>
      <c r="D108" s="8" t="s">
        <v>231</v>
      </c>
      <c r="E108" s="38">
        <f>VLOOKUP($A108, [6]!ProductsTable[#Data], 3, FALSE)</f>
        <v>0</v>
      </c>
      <c r="F108" s="38" t="str">
        <f>VLOOKUP($A108, [6]!ProductsTable[#Data], 4, FALSE)</f>
        <v>Inverter Victron Phoenix 48/1200 VE.Direct AU</v>
      </c>
      <c r="G108" s="38">
        <f>VLOOKUP($A108, [6]!ProductsTable[#Data], 5, FALSE)</f>
        <v>0</v>
      </c>
      <c r="I108" s="41" t="e">
        <f>VLOOKUP($A108, [6]!ProductsTable[#Data], 7, FALSE)</f>
        <v>#REF!</v>
      </c>
      <c r="J108" s="39" t="e">
        <f>VLOOKUP($A108, [6]!ProductsTable[#Data], 8, FALSE)</f>
        <v>#REF!</v>
      </c>
      <c r="K108">
        <f>VLOOKUP($A108, [6]!ProductsTable[#Data], 9, FALSE)</f>
        <v>0</v>
      </c>
      <c r="L108" s="38">
        <f>VLOOKUP($A108, [6]!ProductsTable[#Data], 10, FALSE)</f>
        <v>0</v>
      </c>
      <c r="M108" s="38">
        <f>VLOOKUP($A108, [6]!ProductsTable[#Data], 11, FALSE)</f>
        <v>0</v>
      </c>
      <c r="N108" s="38">
        <f>VLOOKUP($A108, [6]!ProductsTable[#Data], 12, FALSE)</f>
        <v>0</v>
      </c>
      <c r="O108" s="38">
        <f>VLOOKUP($A108, [6]!ProductsTable[#Data], 13, FALSE)</f>
        <v>0</v>
      </c>
      <c r="R108" s="38" t="str">
        <f>VLOOKUP($A108, [6]!ProductsTable[#Data], 14, FALSE)</f>
        <v>1-Victron</v>
      </c>
      <c r="AE108" t="e">
        <f>COUNTIF('[7]product-export'!$A$2:$A$379, A108)</f>
        <v>#VALUE!</v>
      </c>
    </row>
    <row r="109" spans="1:31" x14ac:dyDescent="0.25">
      <c r="A109" s="76" t="s">
        <v>402</v>
      </c>
      <c r="B109" s="38" t="str">
        <f>VLOOKUP($A109, [6]!ProductsTable[#Data], 2, FALSE)</f>
        <v>Inverters</v>
      </c>
      <c r="C109" s="8" t="s">
        <v>217</v>
      </c>
      <c r="D109" s="8" t="s">
        <v>231</v>
      </c>
      <c r="E109" s="38" t="str">
        <f>VLOOKUP($A109, [6]!ProductsTable[#Data], 3, FALSE)</f>
        <v>Victron</v>
      </c>
      <c r="F109" s="38" t="str">
        <f>VLOOKUP($A109, [6]!ProductsTable[#Data], 4, FALSE)</f>
        <v>Phoenix 48/1200 VE.Direct IEC</v>
      </c>
      <c r="G109" s="38" t="str">
        <f>VLOOKUP($A109, [6]!ProductsTable[#Data], 5, FALSE)</f>
        <v>PIN482120100</v>
      </c>
      <c r="I109" s="41" t="e">
        <f>VLOOKUP($A109, [6]!ProductsTable[#Data], 7, FALSE)</f>
        <v>#REF!</v>
      </c>
      <c r="J109" s="39" t="e">
        <f>VLOOKUP($A109, [6]!ProductsTable[#Data], 8, FALSE)</f>
        <v>#REF!</v>
      </c>
      <c r="K109">
        <f>VLOOKUP($A109, [6]!ProductsTable[#Data], 9, FALSE)</f>
        <v>0</v>
      </c>
      <c r="L109" s="38">
        <f>VLOOKUP($A109, [6]!ProductsTable[#Data], 10, FALSE)</f>
        <v>7.4</v>
      </c>
      <c r="M109" s="38">
        <f>VLOOKUP($A109, [6]!ProductsTable[#Data], 11, FALSE)</f>
        <v>32.700000000000003</v>
      </c>
      <c r="N109" s="38">
        <f>VLOOKUP($A109, [6]!ProductsTable[#Data], 12, FALSE)</f>
        <v>23.2</v>
      </c>
      <c r="O109" s="38">
        <f>VLOOKUP($A109, [6]!ProductsTable[#Data], 13, FALSE)</f>
        <v>11.7</v>
      </c>
      <c r="R109" s="38" t="str">
        <f>VLOOKUP($A109, [6]!ProductsTable[#Data], 14, FALSE)</f>
        <v>1-Victron</v>
      </c>
      <c r="AE109" t="e">
        <f>COUNTIF('[7]product-export'!$A$2:$A$379, A109)</f>
        <v>#VALUE!</v>
      </c>
    </row>
    <row r="110" spans="1:31" x14ac:dyDescent="0.25">
      <c r="A110" s="76" t="s">
        <v>381</v>
      </c>
      <c r="B110" s="38" t="str">
        <f>VLOOKUP($A110, [6]!ProductsTable[#Data], 2, FALSE)</f>
        <v>Inverters</v>
      </c>
      <c r="C110" s="8" t="s">
        <v>217</v>
      </c>
      <c r="D110" s="8" t="s">
        <v>231</v>
      </c>
      <c r="E110" s="38" t="str">
        <f>VLOOKUP($A110, [6]!ProductsTable[#Data], 3, FALSE)</f>
        <v>Victron</v>
      </c>
      <c r="F110" s="38" t="str">
        <f>VLOOKUP($A110, [6]!ProductsTable[#Data], 4, FALSE)</f>
        <v>Phoenix Inverter C 12/1200</v>
      </c>
      <c r="G110" s="38" t="str">
        <f>VLOOKUP($A110, [6]!ProductsTable[#Data], 5, FALSE)</f>
        <v>CIN121220000</v>
      </c>
      <c r="I110" s="41" t="e">
        <f>VLOOKUP($A110, [6]!ProductsTable[#Data], 7, FALSE)</f>
        <v>#REF!</v>
      </c>
      <c r="J110" s="39" t="e">
        <f>VLOOKUP($A110, [6]!ProductsTable[#Data], 8, FALSE)</f>
        <v>#REF!</v>
      </c>
      <c r="K110">
        <f>VLOOKUP($A110, [6]!ProductsTable[#Data], 9, FALSE)</f>
        <v>0</v>
      </c>
      <c r="L110" s="38">
        <f>VLOOKUP($A110, [6]!ProductsTable[#Data], 10, FALSE)</f>
        <v>10</v>
      </c>
      <c r="M110" s="38">
        <f>VLOOKUP($A110, [6]!ProductsTable[#Data], 11, FALSE)</f>
        <v>37.5</v>
      </c>
      <c r="N110" s="38">
        <f>VLOOKUP($A110, [6]!ProductsTable[#Data], 12, FALSE)</f>
        <v>21.4</v>
      </c>
      <c r="O110" s="38">
        <f>VLOOKUP($A110, [6]!ProductsTable[#Data], 13, FALSE)</f>
        <v>11</v>
      </c>
      <c r="R110" s="38" t="str">
        <f>VLOOKUP($A110, [6]!ProductsTable[#Data], 14, FALSE)</f>
        <v>1-Victron</v>
      </c>
      <c r="AE110" t="e">
        <f>COUNTIF('[7]product-export'!$A$2:$A$379, A110)</f>
        <v>#VALUE!</v>
      </c>
    </row>
    <row r="111" spans="1:31" x14ac:dyDescent="0.25">
      <c r="A111" s="76" t="s">
        <v>382</v>
      </c>
      <c r="B111" s="38" t="str">
        <f>VLOOKUP($A111, [6]!ProductsTable[#Data], 2, FALSE)</f>
        <v>Inverters</v>
      </c>
      <c r="C111" s="8" t="s">
        <v>217</v>
      </c>
      <c r="D111" s="8" t="s">
        <v>231</v>
      </c>
      <c r="E111" s="38" t="str">
        <f>VLOOKUP($A111, [6]!ProductsTable[#Data], 3, FALSE)</f>
        <v>Victron</v>
      </c>
      <c r="F111" s="38" t="str">
        <f>VLOOKUP($A111, [6]!ProductsTable[#Data], 4, FALSE)</f>
        <v>Phoenix Inverter C 12/1600</v>
      </c>
      <c r="G111" s="38" t="str">
        <f>VLOOKUP($A111, [6]!ProductsTable[#Data], 5, FALSE)</f>
        <v>CIN121620000</v>
      </c>
      <c r="I111" s="41" t="e">
        <f>VLOOKUP($A111, [6]!ProductsTable[#Data], 7, FALSE)</f>
        <v>#REF!</v>
      </c>
      <c r="J111" s="39" t="e">
        <f>VLOOKUP($A111, [6]!ProductsTable[#Data], 8, FALSE)</f>
        <v>#REF!</v>
      </c>
      <c r="K111">
        <f>VLOOKUP($A111, [6]!ProductsTable[#Data], 9, FALSE)</f>
        <v>0</v>
      </c>
      <c r="L111" s="38">
        <f>VLOOKUP($A111, [6]!ProductsTable[#Data], 10, FALSE)</f>
        <v>10</v>
      </c>
      <c r="M111" s="38">
        <f>VLOOKUP($A111, [6]!ProductsTable[#Data], 11, FALSE)</f>
        <v>37.5</v>
      </c>
      <c r="N111" s="38">
        <f>VLOOKUP($A111, [6]!ProductsTable[#Data], 12, FALSE)</f>
        <v>21.4</v>
      </c>
      <c r="O111" s="38">
        <f>VLOOKUP($A111, [6]!ProductsTable[#Data], 13, FALSE)</f>
        <v>11</v>
      </c>
      <c r="R111" s="38" t="str">
        <f>VLOOKUP($A111, [6]!ProductsTable[#Data], 14, FALSE)</f>
        <v>1-Victron</v>
      </c>
      <c r="AE111" t="e">
        <f>COUNTIF('[7]product-export'!$A$2:$A$379, A111)</f>
        <v>#VALUE!</v>
      </c>
    </row>
    <row r="112" spans="1:31" x14ac:dyDescent="0.25">
      <c r="A112" s="76" t="s">
        <v>383</v>
      </c>
      <c r="B112" s="38" t="str">
        <f>VLOOKUP($A112, [6]!ProductsTable[#Data], 2, FALSE)</f>
        <v>Inverters</v>
      </c>
      <c r="C112" s="8" t="s">
        <v>217</v>
      </c>
      <c r="D112" s="8" t="s">
        <v>231</v>
      </c>
      <c r="E112" s="38" t="str">
        <f>VLOOKUP($A112, [6]!ProductsTable[#Data], 3, FALSE)</f>
        <v>Victron</v>
      </c>
      <c r="F112" s="38" t="str">
        <f>VLOOKUP($A112, [6]!ProductsTable[#Data], 4, FALSE)</f>
        <v xml:space="preserve">Phoenix Inverter C 12/2000 </v>
      </c>
      <c r="G112" s="38" t="str">
        <f>VLOOKUP($A112, [6]!ProductsTable[#Data], 5, FALSE)</f>
        <v>CIN122200000</v>
      </c>
      <c r="I112" s="41" t="e">
        <f>VLOOKUP($A112, [6]!ProductsTable[#Data], 7, FALSE)</f>
        <v>#REF!</v>
      </c>
      <c r="J112" s="39" t="e">
        <f>VLOOKUP($A112, [6]!ProductsTable[#Data], 8, FALSE)</f>
        <v>#REF!</v>
      </c>
      <c r="K112">
        <f>VLOOKUP($A112, [6]!ProductsTable[#Data], 9, FALSE)</f>
        <v>0</v>
      </c>
      <c r="L112" s="38">
        <f>VLOOKUP($A112, [6]!ProductsTable[#Data], 10, FALSE)</f>
        <v>13</v>
      </c>
      <c r="M112" s="38">
        <f>VLOOKUP($A112, [6]!ProductsTable[#Data], 11, FALSE)</f>
        <v>52</v>
      </c>
      <c r="N112" s="38">
        <f>VLOOKUP($A112, [6]!ProductsTable[#Data], 12, FALSE)</f>
        <v>25.5</v>
      </c>
      <c r="O112" s="38">
        <f>VLOOKUP($A112, [6]!ProductsTable[#Data], 13, FALSE)</f>
        <v>12.5</v>
      </c>
      <c r="R112" s="38" t="str">
        <f>VLOOKUP($A112, [6]!ProductsTable[#Data], 14, FALSE)</f>
        <v>1-Victron</v>
      </c>
      <c r="AE112" t="e">
        <f>COUNTIF('[7]product-export'!$A$2:$A$379, A112)</f>
        <v>#VALUE!</v>
      </c>
    </row>
    <row r="113" spans="1:31" x14ac:dyDescent="0.25">
      <c r="A113" s="76" t="s">
        <v>391</v>
      </c>
      <c r="B113" s="38" t="str">
        <f>VLOOKUP($A113, [6]!ProductsTable[#Data], 2, FALSE)</f>
        <v>Inverters</v>
      </c>
      <c r="C113" s="8" t="s">
        <v>217</v>
      </c>
      <c r="D113" s="8" t="s">
        <v>231</v>
      </c>
      <c r="E113" s="38" t="str">
        <f>VLOOKUP($A113, [6]!ProductsTable[#Data], 3, FALSE)</f>
        <v>Victron</v>
      </c>
      <c r="F113" s="38" t="str">
        <f>VLOOKUP($A113, [6]!ProductsTable[#Data], 4, FALSE)</f>
        <v xml:space="preserve">Phoenix Inverter  24/2000 SMART </v>
      </c>
      <c r="G113" s="38" t="str">
        <f>VLOOKUP($A113, [6]!ProductsTable[#Data], 5, FALSE)</f>
        <v>PIN242200000</v>
      </c>
      <c r="I113" s="41" t="e">
        <f>VLOOKUP($A113, [6]!ProductsTable[#Data], 7, FALSE)</f>
        <v>#REF!</v>
      </c>
      <c r="J113" s="39" t="e">
        <f>VLOOKUP($A113, [6]!ProductsTable[#Data], 8, FALSE)</f>
        <v>#REF!</v>
      </c>
      <c r="K113">
        <f>VLOOKUP($A113, [6]!ProductsTable[#Data], 9, FALSE)</f>
        <v>0</v>
      </c>
      <c r="L113" s="38">
        <f>VLOOKUP($A113, [6]!ProductsTable[#Data], 10, FALSE)</f>
        <v>13</v>
      </c>
      <c r="M113" s="38">
        <f>VLOOKUP($A113, [6]!ProductsTable[#Data], 11, FALSE)</f>
        <v>48.5</v>
      </c>
      <c r="N113" s="38">
        <f>VLOOKUP($A113, [6]!ProductsTable[#Data], 12, FALSE)</f>
        <v>21.9</v>
      </c>
      <c r="O113" s="38">
        <f>VLOOKUP($A113, [6]!ProductsTable[#Data], 13, FALSE)</f>
        <v>12.5</v>
      </c>
      <c r="R113" s="38" t="str">
        <f>VLOOKUP($A113, [6]!ProductsTable[#Data], 14, FALSE)</f>
        <v>1-Victron</v>
      </c>
      <c r="AE113" t="e">
        <f>COUNTIF('[7]product-export'!$A$2:$A$379, A113)</f>
        <v>#VALUE!</v>
      </c>
    </row>
    <row r="114" spans="1:31" x14ac:dyDescent="0.25">
      <c r="A114" s="76" t="s">
        <v>384</v>
      </c>
      <c r="B114" s="38" t="str">
        <f>VLOOKUP($A114, [6]!ProductsTable[#Data], 2, FALSE)</f>
        <v>Inverters</v>
      </c>
      <c r="C114" s="8" t="s">
        <v>217</v>
      </c>
      <c r="D114" s="8" t="s">
        <v>231</v>
      </c>
      <c r="E114" s="38" t="str">
        <f>VLOOKUP($A114, [6]!ProductsTable[#Data], 3, FALSE)</f>
        <v>Victron</v>
      </c>
      <c r="F114" s="38" t="str">
        <f>VLOOKUP($A114, [6]!ProductsTable[#Data], 4, FALSE)</f>
        <v>Phoenix Inverter C 24/1200</v>
      </c>
      <c r="G114" s="38" t="str">
        <f>VLOOKUP($A114, [6]!ProductsTable[#Data], 5, FALSE)</f>
        <v>CIN241220000</v>
      </c>
      <c r="I114" s="41" t="e">
        <f>VLOOKUP($A114, [6]!ProductsTable[#Data], 7, FALSE)</f>
        <v>#REF!</v>
      </c>
      <c r="J114" s="39" t="e">
        <f>VLOOKUP($A114, [6]!ProductsTable[#Data], 8, FALSE)</f>
        <v>#REF!</v>
      </c>
      <c r="K114">
        <f>VLOOKUP($A114, [6]!ProductsTable[#Data], 9, FALSE)</f>
        <v>0</v>
      </c>
      <c r="L114" s="38">
        <f>VLOOKUP($A114, [6]!ProductsTable[#Data], 10, FALSE)</f>
        <v>10</v>
      </c>
      <c r="M114" s="38">
        <f>VLOOKUP($A114, [6]!ProductsTable[#Data], 11, FALSE)</f>
        <v>37.5</v>
      </c>
      <c r="N114" s="38">
        <f>VLOOKUP($A114, [6]!ProductsTable[#Data], 12, FALSE)</f>
        <v>21.4</v>
      </c>
      <c r="O114" s="38">
        <f>VLOOKUP($A114, [6]!ProductsTable[#Data], 13, FALSE)</f>
        <v>11</v>
      </c>
      <c r="R114" s="38" t="str">
        <f>VLOOKUP($A114, [6]!ProductsTable[#Data], 14, FALSE)</f>
        <v>1-Victron</v>
      </c>
      <c r="AE114" t="e">
        <f>COUNTIF('[7]product-export'!$A$2:$A$379, A114)</f>
        <v>#VALUE!</v>
      </c>
    </row>
    <row r="115" spans="1:31" x14ac:dyDescent="0.25">
      <c r="A115" s="76" t="s">
        <v>385</v>
      </c>
      <c r="B115" s="38" t="str">
        <f>VLOOKUP($A115, [6]!ProductsTable[#Data], 2, FALSE)</f>
        <v>Inverters</v>
      </c>
      <c r="C115" s="8" t="s">
        <v>217</v>
      </c>
      <c r="D115" s="8" t="s">
        <v>231</v>
      </c>
      <c r="E115" s="38" t="str">
        <f>VLOOKUP($A115, [6]!ProductsTable[#Data], 3, FALSE)</f>
        <v>Victron</v>
      </c>
      <c r="F115" s="38" t="str">
        <f>VLOOKUP($A115, [6]!ProductsTable[#Data], 4, FALSE)</f>
        <v>Phoenix Inverter C 24/1600</v>
      </c>
      <c r="G115" s="38" t="str">
        <f>VLOOKUP($A115, [6]!ProductsTable[#Data], 5, FALSE)</f>
        <v>CIN241620000</v>
      </c>
      <c r="I115" s="41" t="e">
        <f>VLOOKUP($A115, [6]!ProductsTable[#Data], 7, FALSE)</f>
        <v>#REF!</v>
      </c>
      <c r="J115" s="39" t="e">
        <f>VLOOKUP($A115, [6]!ProductsTable[#Data], 8, FALSE)</f>
        <v>#REF!</v>
      </c>
      <c r="K115">
        <f>VLOOKUP($A115, [6]!ProductsTable[#Data], 9, FALSE)</f>
        <v>0</v>
      </c>
      <c r="L115" s="38">
        <f>VLOOKUP($A115, [6]!ProductsTable[#Data], 10, FALSE)</f>
        <v>10</v>
      </c>
      <c r="M115" s="38">
        <f>VLOOKUP($A115, [6]!ProductsTable[#Data], 11, FALSE)</f>
        <v>37.5</v>
      </c>
      <c r="N115" s="38">
        <f>VLOOKUP($A115, [6]!ProductsTable[#Data], 12, FALSE)</f>
        <v>21.4</v>
      </c>
      <c r="O115" s="38">
        <f>VLOOKUP($A115, [6]!ProductsTable[#Data], 13, FALSE)</f>
        <v>11</v>
      </c>
      <c r="R115" s="38" t="str">
        <f>VLOOKUP($A115, [6]!ProductsTable[#Data], 14, FALSE)</f>
        <v>1-Victron</v>
      </c>
      <c r="AE115" t="e">
        <f>COUNTIF('[7]product-export'!$A$2:$A$379, A115)</f>
        <v>#VALUE!</v>
      </c>
    </row>
    <row r="116" spans="1:31" x14ac:dyDescent="0.25">
      <c r="A116" s="76" t="s">
        <v>386</v>
      </c>
      <c r="B116" s="38" t="str">
        <f>VLOOKUP($A116, [6]!ProductsTable[#Data], 2, FALSE)</f>
        <v>Inverters</v>
      </c>
      <c r="C116" s="8" t="s">
        <v>217</v>
      </c>
      <c r="D116" s="8" t="s">
        <v>231</v>
      </c>
      <c r="E116" s="38" t="str">
        <f>VLOOKUP($A116, [6]!ProductsTable[#Data], 3, FALSE)</f>
        <v>Victron</v>
      </c>
      <c r="F116" s="38" t="str">
        <f>VLOOKUP($A116, [6]!ProductsTable[#Data], 4, FALSE)</f>
        <v>Phoenix Inverter C 24/2000</v>
      </c>
      <c r="G116" s="38" t="str">
        <f>VLOOKUP($A116, [6]!ProductsTable[#Data], 5, FALSE)</f>
        <v>CIN242200000</v>
      </c>
      <c r="I116" s="41" t="e">
        <f>VLOOKUP($A116, [6]!ProductsTable[#Data], 7, FALSE)</f>
        <v>#REF!</v>
      </c>
      <c r="J116" s="39" t="e">
        <f>VLOOKUP($A116, [6]!ProductsTable[#Data], 8, FALSE)</f>
        <v>#REF!</v>
      </c>
      <c r="K116">
        <f>VLOOKUP($A116, [6]!ProductsTable[#Data], 9, FALSE)</f>
        <v>0</v>
      </c>
      <c r="L116" s="38">
        <f>VLOOKUP($A116, [6]!ProductsTable[#Data], 10, FALSE)</f>
        <v>13</v>
      </c>
      <c r="M116" s="38">
        <f>VLOOKUP($A116, [6]!ProductsTable[#Data], 11, FALSE)</f>
        <v>52</v>
      </c>
      <c r="N116" s="38">
        <f>VLOOKUP($A116, [6]!ProductsTable[#Data], 12, FALSE)</f>
        <v>25.5</v>
      </c>
      <c r="O116" s="38">
        <f>VLOOKUP($A116, [6]!ProductsTable[#Data], 13, FALSE)</f>
        <v>12.5</v>
      </c>
      <c r="R116" s="38" t="str">
        <f>VLOOKUP($A116, [6]!ProductsTable[#Data], 14, FALSE)</f>
        <v>1-Victron</v>
      </c>
      <c r="AE116" t="e">
        <f>COUNTIF('[7]product-export'!$A$2:$A$379, A116)</f>
        <v>#VALUE!</v>
      </c>
    </row>
    <row r="117" spans="1:31" x14ac:dyDescent="0.25">
      <c r="A117" s="76" t="s">
        <v>387</v>
      </c>
      <c r="B117" s="38" t="str">
        <f>VLOOKUP($A117, [6]!ProductsTable[#Data], 2, FALSE)</f>
        <v>Inverters</v>
      </c>
      <c r="C117" s="8" t="s">
        <v>217</v>
      </c>
      <c r="D117" s="8" t="s">
        <v>231</v>
      </c>
      <c r="E117" s="38" t="str">
        <f>VLOOKUP($A117, [6]!ProductsTable[#Data], 3, FALSE)</f>
        <v>Victron</v>
      </c>
      <c r="F117" s="38" t="str">
        <f>VLOOKUP($A117, [6]!ProductsTable[#Data], 4, FALSE)</f>
        <v>Phoenix Inverter 24/3000</v>
      </c>
      <c r="G117" s="38" t="str">
        <f>VLOOKUP($A117, [6]!ProductsTable[#Data], 5, FALSE)</f>
        <v>PIN243020000</v>
      </c>
      <c r="I117" s="41" t="e">
        <f>VLOOKUP($A117, [6]!ProductsTable[#Data], 7, FALSE)</f>
        <v>#REF!</v>
      </c>
      <c r="J117" s="39" t="e">
        <f>VLOOKUP($A117, [6]!ProductsTable[#Data], 8, FALSE)</f>
        <v>#REF!</v>
      </c>
      <c r="K117">
        <f>VLOOKUP($A117, [6]!ProductsTable[#Data], 9, FALSE)</f>
        <v>0</v>
      </c>
      <c r="L117" s="38">
        <f>VLOOKUP($A117, [6]!ProductsTable[#Data], 10, FALSE)</f>
        <v>18</v>
      </c>
      <c r="M117" s="38">
        <f>VLOOKUP($A117, [6]!ProductsTable[#Data], 11, FALSE)</f>
        <v>36.200000000000003</v>
      </c>
      <c r="N117" s="38">
        <f>VLOOKUP($A117, [6]!ProductsTable[#Data], 12, FALSE)</f>
        <v>25.8</v>
      </c>
      <c r="O117" s="38">
        <f>VLOOKUP($A117, [6]!ProductsTable[#Data], 13, FALSE)</f>
        <v>21.8</v>
      </c>
      <c r="R117" s="38" t="str">
        <f>VLOOKUP($A117, [6]!ProductsTable[#Data], 14, FALSE)</f>
        <v>1-Victron</v>
      </c>
      <c r="AE117" t="e">
        <f>COUNTIF('[7]product-export'!$A$2:$A$379, A117)</f>
        <v>#VALUE!</v>
      </c>
    </row>
    <row r="118" spans="1:31" x14ac:dyDescent="0.25">
      <c r="A118" s="76" t="s">
        <v>388</v>
      </c>
      <c r="B118" s="38" t="str">
        <f>VLOOKUP($A118, [6]!ProductsTable[#Data], 2, FALSE)</f>
        <v>Inverters</v>
      </c>
      <c r="C118" s="8" t="s">
        <v>217</v>
      </c>
      <c r="D118" s="8" t="s">
        <v>231</v>
      </c>
      <c r="E118" s="38" t="str">
        <f>VLOOKUP($A118, [6]!ProductsTable[#Data], 3, FALSE)</f>
        <v>Victron</v>
      </c>
      <c r="F118" s="38" t="str">
        <f>VLOOKUP($A118, [6]!ProductsTable[#Data], 4, FALSE)</f>
        <v>Phoenix Inverter 24/5000</v>
      </c>
      <c r="G118" s="38" t="str">
        <f>VLOOKUP($A118, [6]!ProductsTable[#Data], 5, FALSE)</f>
        <v>PIN245020000</v>
      </c>
      <c r="I118" s="41" t="e">
        <f>VLOOKUP($A118, [6]!ProductsTable[#Data], 7, FALSE)</f>
        <v>#REF!</v>
      </c>
      <c r="J118" s="39" t="e">
        <f>VLOOKUP($A118, [6]!ProductsTable[#Data], 8, FALSE)</f>
        <v>#REF!</v>
      </c>
      <c r="K118">
        <f>VLOOKUP($A118, [6]!ProductsTable[#Data], 9, FALSE)</f>
        <v>0</v>
      </c>
      <c r="L118" s="38">
        <f>VLOOKUP($A118, [6]!ProductsTable[#Data], 10, FALSE)</f>
        <v>28</v>
      </c>
      <c r="M118" s="38">
        <f>VLOOKUP($A118, [6]!ProductsTable[#Data], 11, FALSE)</f>
        <v>44.4</v>
      </c>
      <c r="N118" s="38">
        <f>VLOOKUP($A118, [6]!ProductsTable[#Data], 12, FALSE)</f>
        <v>32.799999999999997</v>
      </c>
      <c r="O118" s="38">
        <f>VLOOKUP($A118, [6]!ProductsTable[#Data], 13, FALSE)</f>
        <v>24</v>
      </c>
      <c r="R118" s="38" t="str">
        <f>VLOOKUP($A118, [6]!ProductsTable[#Data], 14, FALSE)</f>
        <v>1-Victron</v>
      </c>
      <c r="AE118" t="e">
        <f>COUNTIF('[7]product-export'!$A$2:$A$379, A118)</f>
        <v>#VALUE!</v>
      </c>
    </row>
    <row r="119" spans="1:31" x14ac:dyDescent="0.25">
      <c r="A119" s="76" t="s">
        <v>389</v>
      </c>
      <c r="B119" s="38" t="str">
        <f>VLOOKUP($A119, [6]!ProductsTable[#Data], 2, FALSE)</f>
        <v>Inverters</v>
      </c>
      <c r="C119" s="8" t="s">
        <v>217</v>
      </c>
      <c r="D119" s="8" t="s">
        <v>231</v>
      </c>
      <c r="E119" s="38" t="str">
        <f>VLOOKUP($A119, [6]!ProductsTable[#Data], 3, FALSE)</f>
        <v>Victron</v>
      </c>
      <c r="F119" s="38" t="str">
        <f>VLOOKUP($A119, [6]!ProductsTable[#Data], 4, FALSE)</f>
        <v>Phoenix Inverter 48/3000</v>
      </c>
      <c r="G119" s="38" t="str">
        <f>VLOOKUP($A119, [6]!ProductsTable[#Data], 5, FALSE)</f>
        <v>PIN483020000</v>
      </c>
      <c r="I119" s="41" t="e">
        <f>VLOOKUP($A119, [6]!ProductsTable[#Data], 7, FALSE)</f>
        <v>#REF!</v>
      </c>
      <c r="J119" s="39" t="e">
        <f>VLOOKUP($A119, [6]!ProductsTable[#Data], 8, FALSE)</f>
        <v>#REF!</v>
      </c>
      <c r="K119">
        <f>VLOOKUP($A119, [6]!ProductsTable[#Data], 9, FALSE)</f>
        <v>0</v>
      </c>
      <c r="L119" s="38">
        <f>VLOOKUP($A119, [6]!ProductsTable[#Data], 10, FALSE)</f>
        <v>18</v>
      </c>
      <c r="M119" s="38">
        <f>VLOOKUP($A119, [6]!ProductsTable[#Data], 11, FALSE)</f>
        <v>36.200000000000003</v>
      </c>
      <c r="N119" s="38">
        <f>VLOOKUP($A119, [6]!ProductsTable[#Data], 12, FALSE)</f>
        <v>25.8</v>
      </c>
      <c r="O119" s="38">
        <f>VLOOKUP($A119, [6]!ProductsTable[#Data], 13, FALSE)</f>
        <v>21.8</v>
      </c>
      <c r="R119" s="38" t="str">
        <f>VLOOKUP($A119, [6]!ProductsTable[#Data], 14, FALSE)</f>
        <v>1-Victron</v>
      </c>
      <c r="AE119" t="e">
        <f>COUNTIF('[7]product-export'!$A$2:$A$379, A119)</f>
        <v>#VALUE!</v>
      </c>
    </row>
    <row r="120" spans="1:31" x14ac:dyDescent="0.25">
      <c r="A120" s="76" t="s">
        <v>390</v>
      </c>
      <c r="B120" s="38" t="str">
        <f>VLOOKUP($A120, [6]!ProductsTable[#Data], 2, FALSE)</f>
        <v>Inverters</v>
      </c>
      <c r="C120" s="8" t="s">
        <v>217</v>
      </c>
      <c r="D120" s="8" t="s">
        <v>231</v>
      </c>
      <c r="E120" s="38" t="str">
        <f>VLOOKUP($A120, [6]!ProductsTable[#Data], 3, FALSE)</f>
        <v>Victron</v>
      </c>
      <c r="F120" s="38" t="str">
        <f>VLOOKUP($A120, [6]!ProductsTable[#Data], 4, FALSE)</f>
        <v>Phoenix Inverter 48/5000</v>
      </c>
      <c r="G120" s="38" t="str">
        <f>VLOOKUP($A120, [6]!ProductsTable[#Data], 5, FALSE)</f>
        <v>PIN485020000</v>
      </c>
      <c r="I120" s="41" t="e">
        <f>VLOOKUP($A120, [6]!ProductsTable[#Data], 7, FALSE)</f>
        <v>#REF!</v>
      </c>
      <c r="J120" s="39" t="e">
        <f>VLOOKUP($A120, [6]!ProductsTable[#Data], 8, FALSE)</f>
        <v>#REF!</v>
      </c>
      <c r="K120">
        <f>VLOOKUP($A120, [6]!ProductsTable[#Data], 9, FALSE)</f>
        <v>0</v>
      </c>
      <c r="L120" s="38">
        <f>VLOOKUP($A120, [6]!ProductsTable[#Data], 10, FALSE)</f>
        <v>28</v>
      </c>
      <c r="M120" s="38">
        <f>VLOOKUP($A120, [6]!ProductsTable[#Data], 11, FALSE)</f>
        <v>44.4</v>
      </c>
      <c r="N120" s="38">
        <f>VLOOKUP($A120, [6]!ProductsTable[#Data], 12, FALSE)</f>
        <v>32.799999999999997</v>
      </c>
      <c r="O120" s="38">
        <f>VLOOKUP($A120, [6]!ProductsTable[#Data], 13, FALSE)</f>
        <v>24</v>
      </c>
      <c r="R120" s="38" t="str">
        <f>VLOOKUP($A120, [6]!ProductsTable[#Data], 14, FALSE)</f>
        <v>1-Victron</v>
      </c>
      <c r="AE120" t="e">
        <f>COUNTIF('[7]product-export'!$A$2:$A$379, A120)</f>
        <v>#VALUE!</v>
      </c>
    </row>
    <row r="121" spans="1:31" x14ac:dyDescent="0.25">
      <c r="A121" s="76" t="s">
        <v>371</v>
      </c>
      <c r="B121" s="38" t="str">
        <f>VLOOKUP($A121, [6]!ProductsTable[#Data], 2, FALSE)</f>
        <v>Inverter-Chargers</v>
      </c>
      <c r="C121" s="8" t="s">
        <v>217</v>
      </c>
      <c r="D121" s="8" t="s">
        <v>171</v>
      </c>
      <c r="E121" s="38" t="str">
        <f>VLOOKUP($A121, [6]!ProductsTable[#Data], 3, FALSE)</f>
        <v>Victron</v>
      </c>
      <c r="F121" s="38" t="str">
        <f>VLOOKUP($A121, [6]!ProductsTable[#Data], 4, FALSE)</f>
        <v>MultiPlus 12/500/20-16</v>
      </c>
      <c r="G121" s="38" t="str">
        <f>VLOOKUP($A121, [6]!ProductsTable[#Data], 5, FALSE)</f>
        <v>PMP121500000</v>
      </c>
      <c r="I121" s="41" t="e">
        <f>VLOOKUP($A121, [6]!ProductsTable[#Data], 7, FALSE)</f>
        <v>#REF!</v>
      </c>
      <c r="J121" s="39" t="e">
        <f>VLOOKUP($A121, [6]!ProductsTable[#Data], 8, FALSE)</f>
        <v>#REF!</v>
      </c>
      <c r="K121">
        <f>VLOOKUP($A121, [6]!ProductsTable[#Data], 9, FALSE)</f>
        <v>0</v>
      </c>
      <c r="L121" s="38">
        <f>VLOOKUP($A121, [6]!ProductsTable[#Data], 10, FALSE)</f>
        <v>4.4000000000000004</v>
      </c>
      <c r="M121" s="38">
        <f>VLOOKUP($A121, [6]!ProductsTable[#Data], 11, FALSE)</f>
        <v>31.1</v>
      </c>
      <c r="N121" s="38">
        <f>VLOOKUP($A121, [6]!ProductsTable[#Data], 12, FALSE)</f>
        <v>18.2</v>
      </c>
      <c r="O121" s="38">
        <f>VLOOKUP($A121, [6]!ProductsTable[#Data], 13, FALSE)</f>
        <v>10</v>
      </c>
      <c r="R121" s="38" t="str">
        <f>VLOOKUP($A121, [6]!ProductsTable[#Data], 14, FALSE)</f>
        <v>1-Victron</v>
      </c>
      <c r="AE121" t="e">
        <f>COUNTIF('[7]product-export'!$A$2:$A$379, A121)</f>
        <v>#VALUE!</v>
      </c>
    </row>
    <row r="122" spans="1:31" x14ac:dyDescent="0.25">
      <c r="A122" s="76" t="s">
        <v>372</v>
      </c>
      <c r="B122" s="38" t="str">
        <f>VLOOKUP($A122, [6]!ProductsTable[#Data], 2, FALSE)</f>
        <v>Inverter-Chargers</v>
      </c>
      <c r="C122" s="8" t="s">
        <v>217</v>
      </c>
      <c r="D122" s="8" t="s">
        <v>171</v>
      </c>
      <c r="E122" s="38" t="str">
        <f>VLOOKUP($A122, [6]!ProductsTable[#Data], 3, FALSE)</f>
        <v>Victron</v>
      </c>
      <c r="F122" s="38" t="str">
        <f>VLOOKUP($A122, [6]!ProductsTable[#Data], 4, FALSE)</f>
        <v>MultiPlus 12/800/35-16</v>
      </c>
      <c r="G122" s="38" t="str">
        <f>VLOOKUP($A122, [6]!ProductsTable[#Data], 5, FALSE)</f>
        <v>PMP121800000</v>
      </c>
      <c r="I122" s="41" t="e">
        <f>VLOOKUP($A122, [6]!ProductsTable[#Data], 7, FALSE)</f>
        <v>#REF!</v>
      </c>
      <c r="J122" s="39" t="e">
        <f>VLOOKUP($A122, [6]!ProductsTable[#Data], 8, FALSE)</f>
        <v>#REF!</v>
      </c>
      <c r="K122">
        <f>VLOOKUP($A122, [6]!ProductsTable[#Data], 9, FALSE)</f>
        <v>0</v>
      </c>
      <c r="L122" s="38">
        <f>VLOOKUP($A122, [6]!ProductsTable[#Data], 10, FALSE)</f>
        <v>10</v>
      </c>
      <c r="M122" s="38">
        <f>VLOOKUP($A122, [6]!ProductsTable[#Data], 11, FALSE)</f>
        <v>37.5</v>
      </c>
      <c r="N122" s="38">
        <f>VLOOKUP($A122, [6]!ProductsTable[#Data], 12, FALSE)</f>
        <v>21.4</v>
      </c>
      <c r="O122" s="38">
        <f>VLOOKUP($A122, [6]!ProductsTable[#Data], 13, FALSE)</f>
        <v>11</v>
      </c>
      <c r="R122" s="38" t="str">
        <f>VLOOKUP($A122, [6]!ProductsTable[#Data], 14, FALSE)</f>
        <v>1-Victron</v>
      </c>
      <c r="AE122" t="e">
        <f>COUNTIF('[7]product-export'!$A$2:$A$379, A122)</f>
        <v>#VALUE!</v>
      </c>
    </row>
    <row r="123" spans="1:31" x14ac:dyDescent="0.25">
      <c r="A123" s="76" t="s">
        <v>373</v>
      </c>
      <c r="B123" s="38" t="str">
        <f>VLOOKUP($A123, [6]!ProductsTable[#Data], 2, FALSE)</f>
        <v>Inverter-Chargers</v>
      </c>
      <c r="C123" s="8" t="s">
        <v>217</v>
      </c>
      <c r="D123" s="8" t="s">
        <v>171</v>
      </c>
      <c r="E123" s="38" t="str">
        <f>VLOOKUP($A123, [6]!ProductsTable[#Data], 3, FALSE)</f>
        <v>Victron</v>
      </c>
      <c r="F123" s="38" t="str">
        <f>VLOOKUP($A123, [6]!ProductsTable[#Data], 4, FALSE)</f>
        <v>MultiPlus 12/1200/50-16</v>
      </c>
      <c r="G123" s="38" t="str">
        <f>VLOOKUP($A123, [6]!ProductsTable[#Data], 5, FALSE)</f>
        <v>PMP122120000</v>
      </c>
      <c r="I123" s="41" t="e">
        <f>VLOOKUP($A123, [6]!ProductsTable[#Data], 7, FALSE)</f>
        <v>#REF!</v>
      </c>
      <c r="J123" s="39" t="e">
        <f>VLOOKUP($A123, [6]!ProductsTable[#Data], 8, FALSE)</f>
        <v>#REF!</v>
      </c>
      <c r="K123">
        <f>VLOOKUP($A123, [6]!ProductsTable[#Data], 9, FALSE)</f>
        <v>0</v>
      </c>
      <c r="L123" s="38">
        <f>VLOOKUP($A123, [6]!ProductsTable[#Data], 10, FALSE)</f>
        <v>10</v>
      </c>
      <c r="M123" s="38">
        <f>VLOOKUP($A123, [6]!ProductsTable[#Data], 11, FALSE)</f>
        <v>37.5</v>
      </c>
      <c r="N123" s="38">
        <f>VLOOKUP($A123, [6]!ProductsTable[#Data], 12, FALSE)</f>
        <v>21.4</v>
      </c>
      <c r="O123" s="38">
        <f>VLOOKUP($A123, [6]!ProductsTable[#Data], 13, FALSE)</f>
        <v>11</v>
      </c>
      <c r="R123" s="38" t="str">
        <f>VLOOKUP($A123, [6]!ProductsTable[#Data], 14, FALSE)</f>
        <v>1-Victron</v>
      </c>
      <c r="AE123" t="e">
        <f>COUNTIF('[7]product-export'!$A$2:$A$379, A123)</f>
        <v>#VALUE!</v>
      </c>
    </row>
    <row r="124" spans="1:31" x14ac:dyDescent="0.25">
      <c r="A124" s="76" t="s">
        <v>374</v>
      </c>
      <c r="B124" s="38" t="str">
        <f>VLOOKUP($A124, [6]!ProductsTable[#Data], 2, FALSE)</f>
        <v>Inverter-Chargers</v>
      </c>
      <c r="C124" s="8" t="s">
        <v>217</v>
      </c>
      <c r="D124" s="8" t="s">
        <v>171</v>
      </c>
      <c r="E124" s="38" t="str">
        <f>VLOOKUP($A124, [6]!ProductsTable[#Data], 3, FALSE)</f>
        <v>Victron</v>
      </c>
      <c r="F124" s="38" t="str">
        <f>VLOOKUP($A124, [6]!ProductsTable[#Data], 4, FALSE)</f>
        <v>MultiPlus C 12/800/35-16</v>
      </c>
      <c r="G124" s="38" t="str">
        <f>VLOOKUP($A124, [6]!ProductsTable[#Data], 5, FALSE)</f>
        <v>CMP128010000</v>
      </c>
      <c r="I124" s="41" t="e">
        <f>VLOOKUP($A124, [6]!ProductsTable[#Data], 7, FALSE)</f>
        <v>#REF!</v>
      </c>
      <c r="J124" s="39" t="e">
        <f>VLOOKUP($A124, [6]!ProductsTable[#Data], 8, FALSE)</f>
        <v>#REF!</v>
      </c>
      <c r="K124">
        <f>VLOOKUP($A124, [6]!ProductsTable[#Data], 9, FALSE)</f>
        <v>0</v>
      </c>
      <c r="L124" s="38">
        <f>VLOOKUP($A124, [6]!ProductsTable[#Data], 10, FALSE)</f>
        <v>10</v>
      </c>
      <c r="M124" s="38">
        <f>VLOOKUP($A124, [6]!ProductsTable[#Data], 11, FALSE)</f>
        <v>37.5</v>
      </c>
      <c r="N124" s="38">
        <f>VLOOKUP($A124, [6]!ProductsTable[#Data], 12, FALSE)</f>
        <v>21.4</v>
      </c>
      <c r="O124" s="38">
        <f>VLOOKUP($A124, [6]!ProductsTable[#Data], 13, FALSE)</f>
        <v>11</v>
      </c>
      <c r="R124" s="38" t="str">
        <f>VLOOKUP($A124, [6]!ProductsTable[#Data], 14, FALSE)</f>
        <v>1-Victron</v>
      </c>
      <c r="AE124" t="e">
        <f>COUNTIF('[7]product-export'!$A$2:$A$379, A124)</f>
        <v>#VALUE!</v>
      </c>
    </row>
    <row r="125" spans="1:31" x14ac:dyDescent="0.25">
      <c r="A125" s="76" t="s">
        <v>375</v>
      </c>
      <c r="B125" s="38" t="str">
        <f>VLOOKUP($A125, [6]!ProductsTable[#Data], 2, FALSE)</f>
        <v>Inverter-Chargers</v>
      </c>
      <c r="C125" s="8" t="s">
        <v>217</v>
      </c>
      <c r="D125" s="8" t="s">
        <v>171</v>
      </c>
      <c r="E125" s="38" t="str">
        <f>VLOOKUP($A125, [6]!ProductsTable[#Data], 3, FALSE)</f>
        <v>Victron</v>
      </c>
      <c r="F125" s="38" t="str">
        <f>VLOOKUP($A125, [6]!ProductsTable[#Data], 4, FALSE)</f>
        <v>MultiPlus C 12/1200/50-16</v>
      </c>
      <c r="G125" s="38" t="str">
        <f>VLOOKUP($A125, [6]!ProductsTable[#Data], 5, FALSE)</f>
        <v>CMP121220000</v>
      </c>
      <c r="I125" s="41" t="e">
        <f>VLOOKUP($A125, [6]!ProductsTable[#Data], 7, FALSE)</f>
        <v>#REF!</v>
      </c>
      <c r="J125" s="39" t="e">
        <f>VLOOKUP($A125, [6]!ProductsTable[#Data], 8, FALSE)</f>
        <v>#REF!</v>
      </c>
      <c r="K125">
        <f>VLOOKUP($A125, [6]!ProductsTable[#Data], 9, FALSE)</f>
        <v>0</v>
      </c>
      <c r="L125" s="38">
        <f>VLOOKUP($A125, [6]!ProductsTable[#Data], 10, FALSE)</f>
        <v>10</v>
      </c>
      <c r="M125" s="38">
        <f>VLOOKUP($A125, [6]!ProductsTable[#Data], 11, FALSE)</f>
        <v>37.5</v>
      </c>
      <c r="N125" s="38">
        <f>VLOOKUP($A125, [6]!ProductsTable[#Data], 12, FALSE)</f>
        <v>21.4</v>
      </c>
      <c r="O125" s="38">
        <f>VLOOKUP($A125, [6]!ProductsTable[#Data], 13, FALSE)</f>
        <v>11</v>
      </c>
      <c r="R125" s="38" t="str">
        <f>VLOOKUP($A125, [6]!ProductsTable[#Data], 14, FALSE)</f>
        <v>1-Victron</v>
      </c>
      <c r="AE125" t="e">
        <f>COUNTIF('[7]product-export'!$A$2:$A$379, A125)</f>
        <v>#VALUE!</v>
      </c>
    </row>
    <row r="126" spans="1:31" x14ac:dyDescent="0.25">
      <c r="A126" s="76" t="s">
        <v>376</v>
      </c>
      <c r="B126" s="38" t="str">
        <f>VLOOKUP($A126, [6]!ProductsTable[#Data], 2, FALSE)</f>
        <v>Inverter-Chargers</v>
      </c>
      <c r="C126" s="8" t="s">
        <v>217</v>
      </c>
      <c r="D126" s="8" t="s">
        <v>171</v>
      </c>
      <c r="E126" s="38" t="str">
        <f>VLOOKUP($A126, [6]!ProductsTable[#Data], 3, FALSE)</f>
        <v>Victron</v>
      </c>
      <c r="F126" s="38" t="str">
        <f>VLOOKUP($A126, [6]!ProductsTable[#Data], 4, FALSE)</f>
        <v>MultiPlus C 12/1600/70-16</v>
      </c>
      <c r="G126" s="38" t="str">
        <f>VLOOKUP($A126, [6]!ProductsTable[#Data], 5, FALSE)</f>
        <v>CMP121620000</v>
      </c>
      <c r="I126" s="41" t="e">
        <f>VLOOKUP($A126, [6]!ProductsTable[#Data], 7, FALSE)</f>
        <v>#REF!</v>
      </c>
      <c r="J126" s="39" t="e">
        <f>VLOOKUP($A126, [6]!ProductsTable[#Data], 8, FALSE)</f>
        <v>#REF!</v>
      </c>
      <c r="K126">
        <f>VLOOKUP($A126, [6]!ProductsTable[#Data], 9, FALSE)</f>
        <v>0</v>
      </c>
      <c r="L126" s="38">
        <f>VLOOKUP($A126, [6]!ProductsTable[#Data], 10, FALSE)</f>
        <v>10</v>
      </c>
      <c r="M126" s="38">
        <f>VLOOKUP($A126, [6]!ProductsTable[#Data], 11, FALSE)</f>
        <v>37.5</v>
      </c>
      <c r="N126" s="38">
        <f>VLOOKUP($A126, [6]!ProductsTable[#Data], 12, FALSE)</f>
        <v>21.4</v>
      </c>
      <c r="O126" s="38">
        <f>VLOOKUP($A126, [6]!ProductsTable[#Data], 13, FALSE)</f>
        <v>11</v>
      </c>
      <c r="R126" s="38" t="str">
        <f>VLOOKUP($A126, [6]!ProductsTable[#Data], 14, FALSE)</f>
        <v>1-Victron</v>
      </c>
      <c r="AE126" t="e">
        <f>COUNTIF('[7]product-export'!$A$2:$A$379, A126)</f>
        <v>#VALUE!</v>
      </c>
    </row>
    <row r="127" spans="1:31" x14ac:dyDescent="0.25">
      <c r="A127" s="76" t="s">
        <v>377</v>
      </c>
      <c r="B127" s="38" t="str">
        <f>VLOOKUP($A127, [6]!ProductsTable[#Data], 2, FALSE)</f>
        <v>Inverter-Chargers</v>
      </c>
      <c r="C127" s="8" t="s">
        <v>217</v>
      </c>
      <c r="D127" s="8" t="s">
        <v>171</v>
      </c>
      <c r="E127" s="38" t="str">
        <f>VLOOKUP($A127, [6]!ProductsTable[#Data], 3, FALSE)</f>
        <v>Victron</v>
      </c>
      <c r="F127" s="38" t="str">
        <f>VLOOKUP($A127, [6]!ProductsTable[#Data], 4, FALSE)</f>
        <v>MultiPlus C 12/2000/80-30</v>
      </c>
      <c r="G127" s="38" t="str">
        <f>VLOOKUP($A127, [6]!ProductsTable[#Data], 5, FALSE)</f>
        <v>CMP122200000</v>
      </c>
      <c r="I127" s="41" t="e">
        <f>VLOOKUP($A127, [6]!ProductsTable[#Data], 7, FALSE)</f>
        <v>#REF!</v>
      </c>
      <c r="J127" s="39" t="e">
        <f>VLOOKUP($A127, [6]!ProductsTable[#Data], 8, FALSE)</f>
        <v>#REF!</v>
      </c>
      <c r="K127">
        <f>VLOOKUP($A127, [6]!ProductsTable[#Data], 9, FALSE)</f>
        <v>0</v>
      </c>
      <c r="L127" s="38">
        <f>VLOOKUP($A127, [6]!ProductsTable[#Data], 10, FALSE)</f>
        <v>13</v>
      </c>
      <c r="M127" s="38">
        <f>VLOOKUP($A127, [6]!ProductsTable[#Data], 11, FALSE)</f>
        <v>52</v>
      </c>
      <c r="N127" s="38">
        <f>VLOOKUP($A127, [6]!ProductsTable[#Data], 12, FALSE)</f>
        <v>25.5</v>
      </c>
      <c r="O127" s="38">
        <f>VLOOKUP($A127, [6]!ProductsTable[#Data], 13, FALSE)</f>
        <v>12.5</v>
      </c>
      <c r="R127" s="38" t="str">
        <f>VLOOKUP($A127, [6]!ProductsTable[#Data], 14, FALSE)</f>
        <v>1-Victron</v>
      </c>
      <c r="AE127" t="e">
        <f>COUNTIF('[7]product-export'!$A$2:$A$379, A127)</f>
        <v>#VALUE!</v>
      </c>
    </row>
    <row r="128" spans="1:31" x14ac:dyDescent="0.25">
      <c r="A128" s="76" t="s">
        <v>378</v>
      </c>
      <c r="B128" s="38" t="str">
        <f>VLOOKUP($A128, [6]!ProductsTable[#Data], 2, FALSE)</f>
        <v>Inverter-Chargers</v>
      </c>
      <c r="C128" s="8" t="s">
        <v>217</v>
      </c>
      <c r="D128" s="8" t="s">
        <v>171</v>
      </c>
      <c r="E128" s="38" t="str">
        <f>VLOOKUP($A128, [6]!ProductsTable[#Data], 3, FALSE)</f>
        <v>Victron</v>
      </c>
      <c r="F128" s="38" t="str">
        <f>VLOOKUP($A128, [6]!ProductsTable[#Data], 4, FALSE)</f>
        <v>MultiPlus 12/3000/120-50</v>
      </c>
      <c r="G128" s="38" t="str">
        <f>VLOOKUP($A128, [6]!ProductsTable[#Data], 5, FALSE)</f>
        <v>PMP123021010</v>
      </c>
      <c r="I128" s="41" t="e">
        <f>VLOOKUP($A128, [6]!ProductsTable[#Data], 7, FALSE)</f>
        <v>#REF!</v>
      </c>
      <c r="J128" s="39" t="e">
        <f>VLOOKUP($A128, [6]!ProductsTable[#Data], 8, FALSE)</f>
        <v>#REF!</v>
      </c>
      <c r="K128">
        <f>VLOOKUP($A128, [6]!ProductsTable[#Data], 9, FALSE)</f>
        <v>0</v>
      </c>
      <c r="L128" s="38">
        <f>VLOOKUP($A128, [6]!ProductsTable[#Data], 10, FALSE)</f>
        <v>18</v>
      </c>
      <c r="M128" s="38">
        <f>VLOOKUP($A128, [6]!ProductsTable[#Data], 11, FALSE)</f>
        <v>36.200000000000003</v>
      </c>
      <c r="N128" s="38">
        <f>VLOOKUP($A128, [6]!ProductsTable[#Data], 12, FALSE)</f>
        <v>25.8</v>
      </c>
      <c r="O128" s="38">
        <f>VLOOKUP($A128, [6]!ProductsTable[#Data], 13, FALSE)</f>
        <v>21.8</v>
      </c>
      <c r="R128" s="38" t="str">
        <f>VLOOKUP($A128, [6]!ProductsTable[#Data], 14, FALSE)</f>
        <v>1-Victron</v>
      </c>
      <c r="AE128" t="e">
        <f>COUNTIF('[7]product-export'!$A$2:$A$379, A128)</f>
        <v>#VALUE!</v>
      </c>
    </row>
    <row r="129" spans="1:31" x14ac:dyDescent="0.25">
      <c r="A129" s="76" t="s">
        <v>379</v>
      </c>
      <c r="B129" s="38" t="str">
        <f>VLOOKUP($A129, [6]!ProductsTable[#Data], 2, FALSE)</f>
        <v>Inverter-Chargers</v>
      </c>
      <c r="C129" s="8" t="s">
        <v>217</v>
      </c>
      <c r="D129" s="8" t="s">
        <v>171</v>
      </c>
      <c r="E129" s="38" t="str">
        <f>VLOOKUP($A129, [6]!ProductsTable[#Data], 3, FALSE)</f>
        <v>Victron</v>
      </c>
      <c r="F129" s="38" t="str">
        <f>VLOOKUP($A129, [6]!ProductsTable[#Data], 4, FALSE)</f>
        <v>Quattro 12/3000/120-50/50</v>
      </c>
      <c r="G129" s="38" t="str">
        <f>VLOOKUP($A129, [6]!ProductsTable[#Data], 5, FALSE)</f>
        <v>QUA123020010</v>
      </c>
      <c r="I129" s="41" t="e">
        <f>VLOOKUP($A129, [6]!ProductsTable[#Data], 7, FALSE)</f>
        <v>#REF!</v>
      </c>
      <c r="J129" s="39" t="e">
        <f>VLOOKUP($A129, [6]!ProductsTable[#Data], 8, FALSE)</f>
        <v>#REF!</v>
      </c>
      <c r="K129">
        <f>VLOOKUP($A129, [6]!ProductsTable[#Data], 9, FALSE)</f>
        <v>0</v>
      </c>
      <c r="L129" s="38">
        <f>VLOOKUP($A129, [6]!ProductsTable[#Data], 10, FALSE)</f>
        <v>19</v>
      </c>
      <c r="M129" s="38">
        <f>VLOOKUP($A129, [6]!ProductsTable[#Data], 11, FALSE)</f>
        <v>36.200000000000003</v>
      </c>
      <c r="N129" s="38">
        <f>VLOOKUP($A129, [6]!ProductsTable[#Data], 12, FALSE)</f>
        <v>25.8</v>
      </c>
      <c r="O129" s="38">
        <f>VLOOKUP($A129, [6]!ProductsTable[#Data], 13, FALSE)</f>
        <v>21.8</v>
      </c>
      <c r="R129" s="38" t="str">
        <f>VLOOKUP($A129, [6]!ProductsTable[#Data], 14, FALSE)</f>
        <v>1-Victron</v>
      </c>
      <c r="AE129" t="e">
        <f>COUNTIF('[7]product-export'!$A$2:$A$379, A129)</f>
        <v>#VALUE!</v>
      </c>
    </row>
    <row r="130" spans="1:31" x14ac:dyDescent="0.25">
      <c r="A130" s="76" t="s">
        <v>380</v>
      </c>
      <c r="B130" s="38" t="str">
        <f>VLOOKUP($A130, [6]!ProductsTable[#Data], 2, FALSE)</f>
        <v>Inverter-Chargers</v>
      </c>
      <c r="C130" s="8" t="s">
        <v>217</v>
      </c>
      <c r="D130" s="8" t="s">
        <v>171</v>
      </c>
      <c r="E130" s="38" t="str">
        <f>VLOOKUP($A130, [6]!ProductsTable[#Data], 3, FALSE)</f>
        <v>Victron</v>
      </c>
      <c r="F130" s="38" t="str">
        <f>VLOOKUP($A130, [6]!ProductsTable[#Data], 4, FALSE)</f>
        <v>Quattro 12/5000/220-100/100</v>
      </c>
      <c r="G130" s="38" t="str">
        <f>VLOOKUP($A130, [6]!ProductsTable[#Data], 5, FALSE)</f>
        <v>QUA125020000</v>
      </c>
      <c r="I130" s="41" t="e">
        <f>VLOOKUP($A130, [6]!ProductsTable[#Data], 7, FALSE)</f>
        <v>#REF!</v>
      </c>
      <c r="J130" s="39" t="e">
        <f>VLOOKUP($A130, [6]!ProductsTable[#Data], 8, FALSE)</f>
        <v>#REF!</v>
      </c>
      <c r="K130">
        <f>VLOOKUP($A130, [6]!ProductsTable[#Data], 9, FALSE)</f>
        <v>0</v>
      </c>
      <c r="L130" s="38">
        <f>VLOOKUP($A130, [6]!ProductsTable[#Data], 10, FALSE)</f>
        <v>34</v>
      </c>
      <c r="M130" s="38">
        <f>VLOOKUP($A130, [6]!ProductsTable[#Data], 11, FALSE)</f>
        <v>47</v>
      </c>
      <c r="N130" s="38">
        <f>VLOOKUP($A130, [6]!ProductsTable[#Data], 12, FALSE)</f>
        <v>35</v>
      </c>
      <c r="O130" s="38">
        <f>VLOOKUP($A130, [6]!ProductsTable[#Data], 13, FALSE)</f>
        <v>28</v>
      </c>
      <c r="R130" s="38" t="str">
        <f>VLOOKUP($A130, [6]!ProductsTable[#Data], 14, FALSE)</f>
        <v>1-Victron</v>
      </c>
      <c r="AE130" t="e">
        <f>COUNTIF('[7]product-export'!$A$2:$A$379, A130)</f>
        <v>#VALUE!</v>
      </c>
    </row>
    <row r="131" spans="1:31" x14ac:dyDescent="0.25">
      <c r="A131" s="76" t="s">
        <v>346</v>
      </c>
      <c r="B131" s="38" t="str">
        <f>VLOOKUP($A131, [6]!ProductsTable[#Data], 2, FALSE)</f>
        <v>Inverter-Chargers</v>
      </c>
      <c r="C131" s="8" t="s">
        <v>217</v>
      </c>
      <c r="D131" s="8" t="s">
        <v>171</v>
      </c>
      <c r="E131" s="38" t="str">
        <f>VLOOKUP($A131, [6]!ProductsTable[#Data], 3, FALSE)</f>
        <v>Victron</v>
      </c>
      <c r="F131" s="38" t="str">
        <f>VLOOKUP($A131, [6]!ProductsTable[#Data], 4, FALSE)</f>
        <v>MultiPlus 24/500/10-16</v>
      </c>
      <c r="G131" s="38" t="str">
        <f>VLOOKUP($A131, [6]!ProductsTable[#Data], 5, FALSE)</f>
        <v>PMP241500000</v>
      </c>
      <c r="I131" s="41" t="e">
        <f>VLOOKUP($A131, [6]!ProductsTable[#Data], 7, FALSE)</f>
        <v>#REF!</v>
      </c>
      <c r="J131" s="39" t="e">
        <f>VLOOKUP($A131, [6]!ProductsTable[#Data], 8, FALSE)</f>
        <v>#REF!</v>
      </c>
      <c r="K131">
        <f>VLOOKUP($A131, [6]!ProductsTable[#Data], 9, FALSE)</f>
        <v>0</v>
      </c>
      <c r="L131" s="38">
        <f>VLOOKUP($A131, [6]!ProductsTable[#Data], 10, FALSE)</f>
        <v>4.4000000000000004</v>
      </c>
      <c r="M131" s="38">
        <f>VLOOKUP($A131, [6]!ProductsTable[#Data], 11, FALSE)</f>
        <v>31.1</v>
      </c>
      <c r="N131" s="38">
        <f>VLOOKUP($A131, [6]!ProductsTable[#Data], 12, FALSE)</f>
        <v>18.2</v>
      </c>
      <c r="O131" s="38">
        <f>VLOOKUP($A131, [6]!ProductsTable[#Data], 13, FALSE)</f>
        <v>10</v>
      </c>
      <c r="R131" s="38" t="str">
        <f>VLOOKUP($A131, [6]!ProductsTable[#Data], 14, FALSE)</f>
        <v>1-Victron</v>
      </c>
      <c r="AE131" t="e">
        <f>COUNTIF('[7]product-export'!$A$2:$A$379, A131)</f>
        <v>#VALUE!</v>
      </c>
    </row>
    <row r="132" spans="1:31" x14ac:dyDescent="0.25">
      <c r="A132" s="76" t="s">
        <v>327</v>
      </c>
      <c r="B132" s="38" t="str">
        <f>VLOOKUP($A132, [6]!ProductsTable[#Data], 2, FALSE)</f>
        <v>Inverter-Chargers</v>
      </c>
      <c r="C132" s="8" t="s">
        <v>217</v>
      </c>
      <c r="D132" s="8" t="s">
        <v>171</v>
      </c>
      <c r="E132" s="38" t="str">
        <f>VLOOKUP($A132, [6]!ProductsTable[#Data], 3, FALSE)</f>
        <v>Victron</v>
      </c>
      <c r="F132" s="38" t="str">
        <f>VLOOKUP($A132, [6]!ProductsTable[#Data], 4, FALSE)</f>
        <v>MultiPlus 24/800/16-16</v>
      </c>
      <c r="G132" s="38" t="str">
        <f>VLOOKUP($A132, [6]!ProductsTable[#Data], 5, FALSE)</f>
        <v>PMP241800000</v>
      </c>
      <c r="I132" s="41" t="e">
        <f>VLOOKUP($A132, [6]!ProductsTable[#Data], 7, FALSE)</f>
        <v>#REF!</v>
      </c>
      <c r="J132" s="39" t="e">
        <f>VLOOKUP($A132, [6]!ProductsTable[#Data], 8, FALSE)</f>
        <v>#REF!</v>
      </c>
      <c r="K132">
        <f>VLOOKUP($A132, [6]!ProductsTable[#Data], 9, FALSE)</f>
        <v>0</v>
      </c>
      <c r="L132" s="38">
        <f>VLOOKUP($A132, [6]!ProductsTable[#Data], 10, FALSE)</f>
        <v>6.4</v>
      </c>
      <c r="M132" s="38">
        <f>VLOOKUP($A132, [6]!ProductsTable[#Data], 11, FALSE)</f>
        <v>40.6</v>
      </c>
      <c r="N132" s="38">
        <f>VLOOKUP($A132, [6]!ProductsTable[#Data], 12, FALSE)</f>
        <v>25</v>
      </c>
      <c r="O132" s="38">
        <f>VLOOKUP($A132, [6]!ProductsTable[#Data], 13, FALSE)</f>
        <v>10</v>
      </c>
      <c r="R132" s="38" t="str">
        <f>VLOOKUP($A132, [6]!ProductsTable[#Data], 14, FALSE)</f>
        <v>1-Victron</v>
      </c>
      <c r="AE132" t="e">
        <f>COUNTIF('[7]product-export'!$A$2:$A$379, A132)</f>
        <v>#VALUE!</v>
      </c>
    </row>
    <row r="133" spans="1:31" x14ac:dyDescent="0.25">
      <c r="A133" s="76" t="s">
        <v>347</v>
      </c>
      <c r="B133" s="38" t="str">
        <f>VLOOKUP($A133, [6]!ProductsTable[#Data], 2, FALSE)</f>
        <v>Inverter-Chargers</v>
      </c>
      <c r="C133" s="8" t="s">
        <v>217</v>
      </c>
      <c r="D133" s="8" t="s">
        <v>171</v>
      </c>
      <c r="E133" s="38" t="str">
        <f>VLOOKUP($A133, [6]!ProductsTable[#Data], 3, FALSE)</f>
        <v>Victron</v>
      </c>
      <c r="F133" s="38" t="str">
        <f>VLOOKUP($A133, [6]!ProductsTable[#Data], 4, FALSE)</f>
        <v>MultiPlus 24/1200/25-16</v>
      </c>
      <c r="G133" s="38" t="str">
        <f>VLOOKUP($A133, [6]!ProductsTable[#Data], 5, FALSE)</f>
        <v>PMP242120000</v>
      </c>
      <c r="I133" s="41" t="e">
        <f>VLOOKUP($A133, [6]!ProductsTable[#Data], 7, FALSE)</f>
        <v>#REF!</v>
      </c>
      <c r="J133" s="39" t="e">
        <f>VLOOKUP($A133, [6]!ProductsTable[#Data], 8, FALSE)</f>
        <v>#REF!</v>
      </c>
      <c r="K133">
        <f>VLOOKUP($A133, [6]!ProductsTable[#Data], 9, FALSE)</f>
        <v>0</v>
      </c>
      <c r="L133" s="38">
        <f>VLOOKUP($A133, [6]!ProductsTable[#Data], 10, FALSE)</f>
        <v>8.1999999999999993</v>
      </c>
      <c r="M133" s="38">
        <f>VLOOKUP($A133, [6]!ProductsTable[#Data], 11, FALSE)</f>
        <v>40.6</v>
      </c>
      <c r="N133" s="38">
        <f>VLOOKUP($A133, [6]!ProductsTable[#Data], 12, FALSE)</f>
        <v>25</v>
      </c>
      <c r="O133" s="38">
        <f>VLOOKUP($A133, [6]!ProductsTable[#Data], 13, FALSE)</f>
        <v>10</v>
      </c>
      <c r="R133" s="38" t="str">
        <f>VLOOKUP($A133, [6]!ProductsTable[#Data], 14, FALSE)</f>
        <v>1-Victron</v>
      </c>
      <c r="AE133" t="e">
        <f>COUNTIF('[7]product-export'!$A$2:$A$379, A133)</f>
        <v>#VALUE!</v>
      </c>
    </row>
    <row r="134" spans="1:31" x14ac:dyDescent="0.25">
      <c r="A134" s="76" t="s">
        <v>339</v>
      </c>
      <c r="B134" s="38" t="str">
        <f>VLOOKUP($A134, [6]!ProductsTable[#Data], 2, FALSE)</f>
        <v>Inverter-Chargers</v>
      </c>
      <c r="C134" s="8" t="s">
        <v>217</v>
      </c>
      <c r="D134" s="8" t="s">
        <v>171</v>
      </c>
      <c r="E134" s="38" t="str">
        <f>VLOOKUP($A134, [6]!ProductsTable[#Data], 3, FALSE)</f>
        <v>Victron</v>
      </c>
      <c r="F134" s="38" t="str">
        <f>VLOOKUP($A134, [6]!ProductsTable[#Data], 4, FALSE)</f>
        <v>MultiPlus 24/3000/70-16</v>
      </c>
      <c r="G134" s="38" t="str">
        <f>VLOOKUP($A134, [6]!ProductsTable[#Data], 5, FALSE)</f>
        <v>PMP242300001</v>
      </c>
      <c r="I134" s="41" t="e">
        <f>VLOOKUP($A134, [6]!ProductsTable[#Data], 7, FALSE)</f>
        <v>#REF!</v>
      </c>
      <c r="J134" s="39" t="e">
        <f>VLOOKUP($A134, [6]!ProductsTable[#Data], 8, FALSE)</f>
        <v>#REF!</v>
      </c>
      <c r="K134">
        <f>VLOOKUP($A134, [6]!ProductsTable[#Data], 9, FALSE)</f>
        <v>0</v>
      </c>
      <c r="L134" s="38">
        <f>VLOOKUP($A134, [6]!ProductsTable[#Data], 10, FALSE)</f>
        <v>18</v>
      </c>
      <c r="M134" s="38">
        <f>VLOOKUP($A134, [6]!ProductsTable[#Data], 11, FALSE)</f>
        <v>36.200000000000003</v>
      </c>
      <c r="N134" s="38">
        <f>VLOOKUP($A134, [6]!ProductsTable[#Data], 12, FALSE)</f>
        <v>25.8</v>
      </c>
      <c r="O134" s="38">
        <f>VLOOKUP($A134, [6]!ProductsTable[#Data], 13, FALSE)</f>
        <v>21.8</v>
      </c>
      <c r="R134" s="38" t="str">
        <f>VLOOKUP($A134, [6]!ProductsTable[#Data], 14, FALSE)</f>
        <v>1-Victron</v>
      </c>
      <c r="AE134" t="e">
        <f>COUNTIF('[7]product-export'!$A$2:$A$379, A134)</f>
        <v>#VALUE!</v>
      </c>
    </row>
    <row r="135" spans="1:31" x14ac:dyDescent="0.25">
      <c r="A135" s="76" t="s">
        <v>340</v>
      </c>
      <c r="B135" s="38" t="str">
        <f>VLOOKUP($A135, [6]!ProductsTable[#Data], 2, FALSE)</f>
        <v>Inverter-Chargers</v>
      </c>
      <c r="C135" s="8" t="s">
        <v>217</v>
      </c>
      <c r="D135" s="8" t="s">
        <v>171</v>
      </c>
      <c r="E135" s="38" t="str">
        <f>VLOOKUP($A135, [6]!ProductsTable[#Data], 3, FALSE)</f>
        <v>Victron</v>
      </c>
      <c r="F135" s="38" t="str">
        <f>VLOOKUP($A135, [6]!ProductsTable[#Data], 4, FALSE)</f>
        <v>MultiPlus 24/3000/70-50</v>
      </c>
      <c r="G135" s="38" t="str">
        <f>VLOOKUP($A135, [6]!ProductsTable[#Data], 5, FALSE)</f>
        <v>PMP242301011</v>
      </c>
      <c r="I135" s="41" t="e">
        <f>VLOOKUP($A135, [6]!ProductsTable[#Data], 7, FALSE)</f>
        <v>#REF!</v>
      </c>
      <c r="J135" s="39" t="e">
        <f>VLOOKUP($A135, [6]!ProductsTable[#Data], 8, FALSE)</f>
        <v>#REF!</v>
      </c>
      <c r="K135">
        <f>VLOOKUP($A135, [6]!ProductsTable[#Data], 9, FALSE)</f>
        <v>0</v>
      </c>
      <c r="L135" s="38">
        <f>VLOOKUP($A135, [6]!ProductsTable[#Data], 10, FALSE)</f>
        <v>18</v>
      </c>
      <c r="M135" s="38">
        <f>VLOOKUP($A135, [6]!ProductsTable[#Data], 11, FALSE)</f>
        <v>36.200000000000003</v>
      </c>
      <c r="N135" s="38">
        <f>VLOOKUP($A135, [6]!ProductsTable[#Data], 12, FALSE)</f>
        <v>25.8</v>
      </c>
      <c r="O135" s="38">
        <f>VLOOKUP($A135, [6]!ProductsTable[#Data], 13, FALSE)</f>
        <v>21.8</v>
      </c>
      <c r="R135" s="38" t="str">
        <f>VLOOKUP($A135, [6]!ProductsTable[#Data], 14, FALSE)</f>
        <v>1-Victron</v>
      </c>
      <c r="AE135" t="e">
        <f>COUNTIF('[7]product-export'!$A$2:$A$379, A135)</f>
        <v>#VALUE!</v>
      </c>
    </row>
    <row r="136" spans="1:31" x14ac:dyDescent="0.25">
      <c r="A136" s="76" t="s">
        <v>341</v>
      </c>
      <c r="B136" s="38" t="str">
        <f>VLOOKUP($A136, [6]!ProductsTable[#Data], 2, FALSE)</f>
        <v>Inverter-Chargers</v>
      </c>
      <c r="C136" s="8" t="s">
        <v>217</v>
      </c>
      <c r="D136" s="8" t="s">
        <v>171</v>
      </c>
      <c r="E136" s="38" t="str">
        <f>VLOOKUP($A136, [6]!ProductsTable[#Data], 3, FALSE)</f>
        <v>Victron</v>
      </c>
      <c r="F136" s="38" t="str">
        <f>VLOOKUP($A136, [6]!ProductsTable[#Data], 4, FALSE)</f>
        <v>MultiPlus 24/5000/120-100</v>
      </c>
      <c r="G136" s="38" t="str">
        <f>VLOOKUP($A136, [6]!ProductsTable[#Data], 5, FALSE)</f>
        <v>PMP245021010</v>
      </c>
      <c r="I136" s="41" t="e">
        <f>VLOOKUP($A136, [6]!ProductsTable[#Data], 7, FALSE)</f>
        <v>#REF!</v>
      </c>
      <c r="J136" s="39" t="e">
        <f>VLOOKUP($A136, [6]!ProductsTable[#Data], 8, FALSE)</f>
        <v>#REF!</v>
      </c>
      <c r="K136">
        <f>VLOOKUP($A136, [6]!ProductsTable[#Data], 9, FALSE)</f>
        <v>0</v>
      </c>
      <c r="L136" s="38">
        <f>VLOOKUP($A136, [6]!ProductsTable[#Data], 10, FALSE)</f>
        <v>30</v>
      </c>
      <c r="M136" s="38">
        <f>VLOOKUP($A136, [6]!ProductsTable[#Data], 11, FALSE)</f>
        <v>44.4</v>
      </c>
      <c r="N136" s="38">
        <f>VLOOKUP($A136, [6]!ProductsTable[#Data], 12, FALSE)</f>
        <v>32.799999999999997</v>
      </c>
      <c r="O136" s="38">
        <f>VLOOKUP($A136, [6]!ProductsTable[#Data], 13, FALSE)</f>
        <v>24</v>
      </c>
      <c r="R136" s="38" t="str">
        <f>VLOOKUP($A136, [6]!ProductsTable[#Data], 14, FALSE)</f>
        <v>1-Victron</v>
      </c>
      <c r="AE136" t="e">
        <f>COUNTIF('[7]product-export'!$A$2:$A$379, A136)</f>
        <v>#VALUE!</v>
      </c>
    </row>
    <row r="137" spans="1:31" x14ac:dyDescent="0.25">
      <c r="A137" s="76" t="s">
        <v>352</v>
      </c>
      <c r="B137" s="38" t="str">
        <f>VLOOKUP($A137, [6]!ProductsTable[#Data], 2, FALSE)</f>
        <v>Inverter-Chargers</v>
      </c>
      <c r="C137" s="8" t="s">
        <v>217</v>
      </c>
      <c r="D137" s="8" t="s">
        <v>171</v>
      </c>
      <c r="E137" s="38" t="str">
        <f>VLOOKUP($A137, [6]!ProductsTable[#Data], 3, FALSE)</f>
        <v>Victron</v>
      </c>
      <c r="F137" s="38" t="str">
        <f>VLOOKUP($A137, [6]!ProductsTable[#Data], 4, FALSE)</f>
        <v>Quattro 24/3000/70-50/50</v>
      </c>
      <c r="G137" s="38" t="str">
        <f>VLOOKUP($A137, [6]!ProductsTable[#Data], 5, FALSE)</f>
        <v>QUA243020010</v>
      </c>
      <c r="I137" s="41" t="e">
        <f>VLOOKUP($A137, [6]!ProductsTable[#Data], 7, FALSE)</f>
        <v>#REF!</v>
      </c>
      <c r="J137" s="39" t="e">
        <f>VLOOKUP($A137, [6]!ProductsTable[#Data], 8, FALSE)</f>
        <v>#REF!</v>
      </c>
      <c r="K137">
        <f>VLOOKUP($A137, [6]!ProductsTable[#Data], 9, FALSE)</f>
        <v>0</v>
      </c>
      <c r="L137" s="38">
        <f>VLOOKUP($A137, [6]!ProductsTable[#Data], 10, FALSE)</f>
        <v>19</v>
      </c>
      <c r="M137" s="38">
        <f>VLOOKUP($A137, [6]!ProductsTable[#Data], 11, FALSE)</f>
        <v>36.200000000000003</v>
      </c>
      <c r="N137" s="38">
        <f>VLOOKUP($A137, [6]!ProductsTable[#Data], 12, FALSE)</f>
        <v>25.8</v>
      </c>
      <c r="O137" s="38">
        <f>VLOOKUP($A137, [6]!ProductsTable[#Data], 13, FALSE)</f>
        <v>21.8</v>
      </c>
      <c r="R137" s="38" t="str">
        <f>VLOOKUP($A137, [6]!ProductsTable[#Data], 14, FALSE)</f>
        <v>1-Victron</v>
      </c>
      <c r="AE137" t="e">
        <f>COUNTIF('[7]product-export'!$A$2:$A$379, A137)</f>
        <v>#VALUE!</v>
      </c>
    </row>
    <row r="138" spans="1:31" x14ac:dyDescent="0.25">
      <c r="A138" s="76" t="s">
        <v>353</v>
      </c>
      <c r="B138" s="38" t="str">
        <f>VLOOKUP($A138, [6]!ProductsTable[#Data], 2, FALSE)</f>
        <v>Inverter-Chargers</v>
      </c>
      <c r="C138" s="8" t="s">
        <v>217</v>
      </c>
      <c r="D138" s="8" t="s">
        <v>171</v>
      </c>
      <c r="E138" s="38" t="str">
        <f>VLOOKUP($A138, [6]!ProductsTable[#Data], 3, FALSE)</f>
        <v>Victron</v>
      </c>
      <c r="F138" s="38" t="str">
        <f>VLOOKUP($A138, [6]!ProductsTable[#Data], 4, FALSE)</f>
        <v>Quattro 24/5000/120-100/100</v>
      </c>
      <c r="G138" s="38" t="str">
        <f>VLOOKUP($A138, [6]!ProductsTable[#Data], 5, FALSE)</f>
        <v>QUA245021010</v>
      </c>
      <c r="I138" s="41" t="e">
        <f>VLOOKUP($A138, [6]!ProductsTable[#Data], 7, FALSE)</f>
        <v>#REF!</v>
      </c>
      <c r="J138" s="39" t="e">
        <f>VLOOKUP($A138, [6]!ProductsTable[#Data], 8, FALSE)</f>
        <v>#REF!</v>
      </c>
      <c r="K138">
        <f>VLOOKUP($A138, [6]!ProductsTable[#Data], 9, FALSE)</f>
        <v>0</v>
      </c>
      <c r="L138" s="38">
        <f>VLOOKUP($A138, [6]!ProductsTable[#Data], 10, FALSE)</f>
        <v>30</v>
      </c>
      <c r="M138" s="38">
        <f>VLOOKUP($A138, [6]!ProductsTable[#Data], 11, FALSE)</f>
        <v>44.4</v>
      </c>
      <c r="N138" s="38">
        <f>VLOOKUP($A138, [6]!ProductsTable[#Data], 12, FALSE)</f>
        <v>32.799999999999997</v>
      </c>
      <c r="O138" s="38">
        <f>VLOOKUP($A138, [6]!ProductsTable[#Data], 13, FALSE)</f>
        <v>24</v>
      </c>
      <c r="R138" s="38" t="str">
        <f>VLOOKUP($A138, [6]!ProductsTable[#Data], 14, FALSE)</f>
        <v>1-Victron</v>
      </c>
      <c r="AE138" t="e">
        <f>COUNTIF('[7]product-export'!$A$2:$A$379, A138)</f>
        <v>#VALUE!</v>
      </c>
    </row>
    <row r="139" spans="1:31" x14ac:dyDescent="0.25">
      <c r="A139" s="76" t="s">
        <v>354</v>
      </c>
      <c r="B139" s="38" t="str">
        <f>VLOOKUP($A139, [6]!ProductsTable[#Data], 2, FALSE)</f>
        <v>Inverter-Chargers</v>
      </c>
      <c r="C139" s="8" t="s">
        <v>217</v>
      </c>
      <c r="D139" s="8" t="s">
        <v>171</v>
      </c>
      <c r="E139" s="38" t="str">
        <f>VLOOKUP($A139, [6]!ProductsTable[#Data], 3, FALSE)</f>
        <v>Victron</v>
      </c>
      <c r="F139" s="38" t="str">
        <f>VLOOKUP($A139, [6]!ProductsTable[#Data], 4, FALSE)</f>
        <v>Quattro 24/8000/200-100/100</v>
      </c>
      <c r="G139" s="38" t="str">
        <f>VLOOKUP($A139, [6]!ProductsTable[#Data], 5, FALSE)</f>
        <v>QUA248020010</v>
      </c>
      <c r="I139" s="41" t="e">
        <f>VLOOKUP($A139, [6]!ProductsTable[#Data], 7, FALSE)</f>
        <v>#REF!</v>
      </c>
      <c r="J139" s="39" t="e">
        <f>VLOOKUP($A139, [6]!ProductsTable[#Data], 8, FALSE)</f>
        <v>#REF!</v>
      </c>
      <c r="K139">
        <f>VLOOKUP($A139, [6]!ProductsTable[#Data], 9, FALSE)</f>
        <v>0</v>
      </c>
      <c r="L139" s="38">
        <f>VLOOKUP($A139, [6]!ProductsTable[#Data], 10, FALSE)</f>
        <v>41</v>
      </c>
      <c r="M139" s="38">
        <f>VLOOKUP($A139, [6]!ProductsTable[#Data], 11, FALSE)</f>
        <v>47</v>
      </c>
      <c r="N139" s="38">
        <f>VLOOKUP($A139, [6]!ProductsTable[#Data], 12, FALSE)</f>
        <v>35</v>
      </c>
      <c r="O139" s="38">
        <f>VLOOKUP($A139, [6]!ProductsTable[#Data], 13, FALSE)</f>
        <v>28</v>
      </c>
      <c r="R139" s="38" t="str">
        <f>VLOOKUP($A139, [6]!ProductsTable[#Data], 14, FALSE)</f>
        <v>1-Victron</v>
      </c>
      <c r="AE139" t="e">
        <f>COUNTIF('[7]product-export'!$A$2:$A$379, A139)</f>
        <v>#VALUE!</v>
      </c>
    </row>
    <row r="140" spans="1:31" x14ac:dyDescent="0.25">
      <c r="A140" s="76" t="s">
        <v>345</v>
      </c>
      <c r="B140" s="38" t="str">
        <f>VLOOKUP($A140, [6]!ProductsTable[#Data], 2, FALSE)</f>
        <v>Inverter-Chargers</v>
      </c>
      <c r="C140" s="8" t="s">
        <v>217</v>
      </c>
      <c r="D140" s="8" t="s">
        <v>171</v>
      </c>
      <c r="E140" s="38" t="str">
        <f>VLOOKUP($A140, [6]!ProductsTable[#Data], 3, FALSE)</f>
        <v>Victron</v>
      </c>
      <c r="F140" s="38" t="str">
        <f>VLOOKUP($A140, [6]!ProductsTable[#Data], 4, FALSE)</f>
        <v>MultiPlus 48/500/6-16</v>
      </c>
      <c r="G140" s="38" t="str">
        <f>VLOOKUP($A140, [6]!ProductsTable[#Data], 5, FALSE)</f>
        <v>PMP481500000</v>
      </c>
      <c r="I140" s="41" t="e">
        <f>VLOOKUP($A140, [6]!ProductsTable[#Data], 7, FALSE)</f>
        <v>#REF!</v>
      </c>
      <c r="J140" s="39" t="e">
        <f>VLOOKUP($A140, [6]!ProductsTable[#Data], 8, FALSE)</f>
        <v>#REF!</v>
      </c>
      <c r="K140">
        <f>VLOOKUP($A140, [6]!ProductsTable[#Data], 9, FALSE)</f>
        <v>0</v>
      </c>
      <c r="L140" s="38">
        <f>VLOOKUP($A140, [6]!ProductsTable[#Data], 10, FALSE)</f>
        <v>4.4000000000000004</v>
      </c>
      <c r="M140" s="38">
        <f>VLOOKUP($A140, [6]!ProductsTable[#Data], 11, FALSE)</f>
        <v>31.1</v>
      </c>
      <c r="N140" s="38">
        <f>VLOOKUP($A140, [6]!ProductsTable[#Data], 12, FALSE)</f>
        <v>18.2</v>
      </c>
      <c r="O140" s="38">
        <f>VLOOKUP($A140, [6]!ProductsTable[#Data], 13, FALSE)</f>
        <v>10</v>
      </c>
      <c r="R140" s="38" t="str">
        <f>VLOOKUP($A140, [6]!ProductsTable[#Data], 14, FALSE)</f>
        <v>1-Victron</v>
      </c>
      <c r="AE140" t="e">
        <f>COUNTIF('[7]product-export'!$A$2:$A$379, A140)</f>
        <v>#VALUE!</v>
      </c>
    </row>
    <row r="141" spans="1:31" x14ac:dyDescent="0.25">
      <c r="A141" s="76" t="s">
        <v>342</v>
      </c>
      <c r="B141" s="38" t="str">
        <f>VLOOKUP($A141, [6]!ProductsTable[#Data], 2, FALSE)</f>
        <v>Inverter-Chargers</v>
      </c>
      <c r="C141" s="8" t="s">
        <v>217</v>
      </c>
      <c r="D141" s="8" t="s">
        <v>171</v>
      </c>
      <c r="E141" s="38" t="str">
        <f>VLOOKUP($A141, [6]!ProductsTable[#Data], 3, FALSE)</f>
        <v>Victron</v>
      </c>
      <c r="F141" s="38" t="str">
        <f>VLOOKUP($A141, [6]!ProductsTable[#Data], 4, FALSE)</f>
        <v>MultiPlus 48/3000/35-16</v>
      </c>
      <c r="G141" s="38" t="str">
        <f>VLOOKUP($A141, [6]!ProductsTable[#Data], 5, FALSE)</f>
        <v>PMP483020001</v>
      </c>
      <c r="I141" s="41" t="e">
        <f>VLOOKUP($A141, [6]!ProductsTable[#Data], 7, FALSE)</f>
        <v>#REF!</v>
      </c>
      <c r="J141" s="39" t="e">
        <f>VLOOKUP($A141, [6]!ProductsTable[#Data], 8, FALSE)</f>
        <v>#REF!</v>
      </c>
      <c r="K141">
        <f>VLOOKUP($A141, [6]!ProductsTable[#Data], 9, FALSE)</f>
        <v>0</v>
      </c>
      <c r="L141" s="38">
        <f>VLOOKUP($A141, [6]!ProductsTable[#Data], 10, FALSE)</f>
        <v>18</v>
      </c>
      <c r="M141" s="38">
        <f>VLOOKUP($A141, [6]!ProductsTable[#Data], 11, FALSE)</f>
        <v>36.200000000000003</v>
      </c>
      <c r="N141" s="38">
        <f>VLOOKUP($A141, [6]!ProductsTable[#Data], 12, FALSE)</f>
        <v>25.8</v>
      </c>
      <c r="O141" s="38">
        <f>VLOOKUP($A141, [6]!ProductsTable[#Data], 13, FALSE)</f>
        <v>21.8</v>
      </c>
      <c r="R141" s="38" t="str">
        <f>VLOOKUP($A141, [6]!ProductsTable[#Data], 14, FALSE)</f>
        <v>1-Victron</v>
      </c>
      <c r="AE141" t="e">
        <f>COUNTIF('[7]product-export'!$A$2:$A$379, A141)</f>
        <v>#VALUE!</v>
      </c>
    </row>
    <row r="142" spans="1:31" x14ac:dyDescent="0.25">
      <c r="A142" s="76" t="s">
        <v>344</v>
      </c>
      <c r="B142" s="38" t="str">
        <f>VLOOKUP($A142, [6]!ProductsTable[#Data], 2, FALSE)</f>
        <v>Inverter-Chargers</v>
      </c>
      <c r="C142" s="8" t="s">
        <v>217</v>
      </c>
      <c r="D142" s="8" t="s">
        <v>171</v>
      </c>
      <c r="E142" s="38" t="str">
        <f>VLOOKUP($A142, [6]!ProductsTable[#Data], 3, FALSE)</f>
        <v>Victron</v>
      </c>
      <c r="F142" s="38" t="str">
        <f>VLOOKUP($A142, [6]!ProductsTable[#Data], 4, FALSE)</f>
        <v>MultiPlus 48/5000/70-100</v>
      </c>
      <c r="G142" s="38" t="str">
        <f>VLOOKUP($A142, [6]!ProductsTable[#Data], 5, FALSE)</f>
        <v>PMP485021010</v>
      </c>
      <c r="I142" s="41" t="e">
        <f>VLOOKUP($A142, [6]!ProductsTable[#Data], 7, FALSE)</f>
        <v>#REF!</v>
      </c>
      <c r="J142" s="39" t="e">
        <f>VLOOKUP($A142, [6]!ProductsTable[#Data], 8, FALSE)</f>
        <v>#REF!</v>
      </c>
      <c r="K142">
        <f>VLOOKUP($A142, [6]!ProductsTable[#Data], 9, FALSE)</f>
        <v>0</v>
      </c>
      <c r="L142" s="38">
        <f>VLOOKUP($A142, [6]!ProductsTable[#Data], 10, FALSE)</f>
        <v>30</v>
      </c>
      <c r="M142" s="38">
        <f>VLOOKUP($A142, [6]!ProductsTable[#Data], 11, FALSE)</f>
        <v>44.4</v>
      </c>
      <c r="N142" s="38">
        <f>VLOOKUP($A142, [6]!ProductsTable[#Data], 12, FALSE)</f>
        <v>32.799999999999997</v>
      </c>
      <c r="O142" s="38">
        <f>VLOOKUP($A142, [6]!ProductsTable[#Data], 13, FALSE)</f>
        <v>24</v>
      </c>
      <c r="R142" s="38" t="str">
        <f>VLOOKUP($A142, [6]!ProductsTable[#Data], 14, FALSE)</f>
        <v>1-Victron</v>
      </c>
      <c r="AE142" t="e">
        <f>COUNTIF('[7]product-export'!$A$2:$A$379, A142)</f>
        <v>#VALUE!</v>
      </c>
    </row>
    <row r="143" spans="1:31" x14ac:dyDescent="0.25">
      <c r="A143" s="76" t="s">
        <v>348</v>
      </c>
      <c r="B143" s="38" t="str">
        <f>VLOOKUP($A143, [6]!ProductsTable[#Data], 2, FALSE)</f>
        <v>Inverter-Chargers</v>
      </c>
      <c r="C143" s="8" t="s">
        <v>217</v>
      </c>
      <c r="D143" s="8" t="s">
        <v>171</v>
      </c>
      <c r="E143" s="38" t="str">
        <f>VLOOKUP($A143, [6]!ProductsTable[#Data], 3, FALSE)</f>
        <v>Victron</v>
      </c>
      <c r="F143" s="38" t="str">
        <f>VLOOKUP($A143, [6]!ProductsTable[#Data], 4, FALSE)</f>
        <v>Quattro 48/5000/70-100/100</v>
      </c>
      <c r="G143" s="38" t="str">
        <f>VLOOKUP($A143, [6]!ProductsTable[#Data], 5, FALSE)</f>
        <v>QUA485021010</v>
      </c>
      <c r="I143" s="41" t="e">
        <f>VLOOKUP($A143, [6]!ProductsTable[#Data], 7, FALSE)</f>
        <v>#REF!</v>
      </c>
      <c r="J143" s="39" t="e">
        <f>VLOOKUP($A143, [6]!ProductsTable[#Data], 8, FALSE)</f>
        <v>#REF!</v>
      </c>
      <c r="K143">
        <f>VLOOKUP($A143, [6]!ProductsTable[#Data], 9, FALSE)</f>
        <v>0</v>
      </c>
      <c r="L143" s="38">
        <f>VLOOKUP($A143, [6]!ProductsTable[#Data], 10, FALSE)</f>
        <v>30</v>
      </c>
      <c r="M143" s="38">
        <f>VLOOKUP($A143, [6]!ProductsTable[#Data], 11, FALSE)</f>
        <v>44.4</v>
      </c>
      <c r="N143" s="38">
        <f>VLOOKUP($A143, [6]!ProductsTable[#Data], 12, FALSE)</f>
        <v>32.799999999999997</v>
      </c>
      <c r="O143" s="38">
        <f>VLOOKUP($A143, [6]!ProductsTable[#Data], 13, FALSE)</f>
        <v>24</v>
      </c>
      <c r="R143" s="38" t="str">
        <f>VLOOKUP($A143, [6]!ProductsTable[#Data], 14, FALSE)</f>
        <v>1-Victron</v>
      </c>
      <c r="AE143" t="e">
        <f>COUNTIF('[7]product-export'!$A$2:$A$379, A143)</f>
        <v>#VALUE!</v>
      </c>
    </row>
    <row r="144" spans="1:31" x14ac:dyDescent="0.25">
      <c r="A144" s="76" t="s">
        <v>349</v>
      </c>
      <c r="B144" s="38" t="str">
        <f>VLOOKUP($A144, [6]!ProductsTable[#Data], 2, FALSE)</f>
        <v>Inverter-Chargers</v>
      </c>
      <c r="C144" s="8" t="s">
        <v>217</v>
      </c>
      <c r="D144" s="8" t="s">
        <v>171</v>
      </c>
      <c r="E144" s="38" t="str">
        <f>VLOOKUP($A144, [6]!ProductsTable[#Data], 3, FALSE)</f>
        <v>Victron</v>
      </c>
      <c r="F144" s="38" t="str">
        <f>VLOOKUP($A144, [6]!ProductsTable[#Data], 4, FALSE)</f>
        <v>Quattro 48/8000/110-100/100</v>
      </c>
      <c r="G144" s="38" t="str">
        <f>VLOOKUP($A144, [6]!ProductsTable[#Data], 5, FALSE)</f>
        <v>QUA488024000</v>
      </c>
      <c r="I144" s="41" t="e">
        <f>VLOOKUP($A144, [6]!ProductsTable[#Data], 7, FALSE)</f>
        <v>#REF!</v>
      </c>
      <c r="J144" s="39" t="e">
        <f>VLOOKUP($A144, [6]!ProductsTable[#Data], 8, FALSE)</f>
        <v>#REF!</v>
      </c>
      <c r="K144">
        <f>VLOOKUP($A144, [6]!ProductsTable[#Data], 9, FALSE)</f>
        <v>0</v>
      </c>
      <c r="L144" s="38">
        <f>VLOOKUP($A144, [6]!ProductsTable[#Data], 10, FALSE)</f>
        <v>41</v>
      </c>
      <c r="M144" s="38">
        <f>VLOOKUP($A144, [6]!ProductsTable[#Data], 11, FALSE)</f>
        <v>47</v>
      </c>
      <c r="N144" s="38">
        <f>VLOOKUP($A144, [6]!ProductsTable[#Data], 12, FALSE)</f>
        <v>35</v>
      </c>
      <c r="O144" s="38">
        <f>VLOOKUP($A144, [6]!ProductsTable[#Data], 13, FALSE)</f>
        <v>28</v>
      </c>
      <c r="R144" s="38" t="str">
        <f>VLOOKUP($A144, [6]!ProductsTable[#Data], 14, FALSE)</f>
        <v>1-Victron</v>
      </c>
      <c r="AE144" t="e">
        <f>COUNTIF('[7]product-export'!$A$2:$A$379, A144)</f>
        <v>#VALUE!</v>
      </c>
    </row>
    <row r="145" spans="1:31" x14ac:dyDescent="0.25">
      <c r="A145" s="76" t="s">
        <v>350</v>
      </c>
      <c r="B145" s="38" t="str">
        <f>VLOOKUP($A145, [6]!ProductsTable[#Data], 2, FALSE)</f>
        <v>Inverter-Chargers</v>
      </c>
      <c r="C145" s="8" t="s">
        <v>217</v>
      </c>
      <c r="D145" s="8" t="s">
        <v>171</v>
      </c>
      <c r="E145" s="38" t="str">
        <f>VLOOKUP($A145, [6]!ProductsTable[#Data], 3, FALSE)</f>
        <v>Victron</v>
      </c>
      <c r="F145" s="38" t="str">
        <f>VLOOKUP($A145, [6]!ProductsTable[#Data], 4, FALSE)</f>
        <v>Quattro 48/10000/140-100/100</v>
      </c>
      <c r="G145" s="38" t="str">
        <f>VLOOKUP($A145, [6]!ProductsTable[#Data], 5, FALSE)</f>
        <v>QUA481030010</v>
      </c>
      <c r="I145" s="41" t="e">
        <f>VLOOKUP($A145, [6]!ProductsTable[#Data], 7, FALSE)</f>
        <v>#REF!</v>
      </c>
      <c r="J145" s="39" t="e">
        <f>VLOOKUP($A145, [6]!ProductsTable[#Data], 8, FALSE)</f>
        <v>#REF!</v>
      </c>
      <c r="K145">
        <f>VLOOKUP($A145, [6]!ProductsTable[#Data], 9, FALSE)</f>
        <v>0</v>
      </c>
      <c r="L145" s="38">
        <f>VLOOKUP($A145, [6]!ProductsTable[#Data], 10, FALSE)</f>
        <v>45</v>
      </c>
      <c r="M145" s="38">
        <f>VLOOKUP($A145, [6]!ProductsTable[#Data], 11, FALSE)</f>
        <v>47</v>
      </c>
      <c r="N145" s="38">
        <f>VLOOKUP($A145, [6]!ProductsTable[#Data], 12, FALSE)</f>
        <v>35</v>
      </c>
      <c r="O145" s="38">
        <f>VLOOKUP($A145, [6]!ProductsTable[#Data], 13, FALSE)</f>
        <v>28</v>
      </c>
      <c r="R145" s="38" t="str">
        <f>VLOOKUP($A145, [6]!ProductsTable[#Data], 14, FALSE)</f>
        <v>1-Victron</v>
      </c>
      <c r="AE145" t="e">
        <f>COUNTIF('[7]product-export'!$A$2:$A$379, A145)</f>
        <v>#VALUE!</v>
      </c>
    </row>
    <row r="146" spans="1:31" x14ac:dyDescent="0.25">
      <c r="A146" s="76" t="s">
        <v>351</v>
      </c>
      <c r="B146" s="38" t="str">
        <f>VLOOKUP($A146, [6]!ProductsTable[#Data], 2, FALSE)</f>
        <v>Inverter-Chargers</v>
      </c>
      <c r="C146" s="8" t="s">
        <v>217</v>
      </c>
      <c r="D146" s="8" t="s">
        <v>171</v>
      </c>
      <c r="E146" s="38" t="str">
        <f>VLOOKUP($A146, [6]!ProductsTable[#Data], 3, FALSE)</f>
        <v>Victron</v>
      </c>
      <c r="F146" s="38" t="str">
        <f>VLOOKUP($A146, [6]!ProductsTable[#Data], 4, FALSE)</f>
        <v>Quattro 48/15000/200-100/100</v>
      </c>
      <c r="G146" s="38" t="str">
        <f>VLOOKUP($A146, [6]!ProductsTable[#Data], 5, FALSE)</f>
        <v>QUA483150000</v>
      </c>
      <c r="I146" s="41" t="e">
        <f>VLOOKUP($A146, [6]!ProductsTable[#Data], 7, FALSE)</f>
        <v>#REF!</v>
      </c>
      <c r="J146" s="39" t="e">
        <f>VLOOKUP($A146, [6]!ProductsTable[#Data], 8, FALSE)</f>
        <v>#REF!</v>
      </c>
      <c r="K146">
        <f>VLOOKUP($A146, [6]!ProductsTable[#Data], 9, FALSE)</f>
        <v>0</v>
      </c>
      <c r="L146" s="38">
        <f>VLOOKUP($A146, [6]!ProductsTable[#Data], 10, FALSE)</f>
        <v>72</v>
      </c>
      <c r="M146" s="38">
        <f>VLOOKUP($A146, [6]!ProductsTable[#Data], 11, FALSE)</f>
        <v>57.2</v>
      </c>
      <c r="N146" s="38">
        <f>VLOOKUP($A146, [6]!ProductsTable[#Data], 12, FALSE)</f>
        <v>48.8</v>
      </c>
      <c r="O146" s="38">
        <f>VLOOKUP($A146, [6]!ProductsTable[#Data], 13, FALSE)</f>
        <v>34.4</v>
      </c>
      <c r="R146" s="38" t="str">
        <f>VLOOKUP($A146, [6]!ProductsTable[#Data], 14, FALSE)</f>
        <v>1-Victron</v>
      </c>
      <c r="AE146" t="e">
        <f>COUNTIF('[7]product-export'!$A$2:$A$379, A146)</f>
        <v>#VALUE!</v>
      </c>
    </row>
    <row r="147" spans="1:31" x14ac:dyDescent="0.25">
      <c r="A147" s="76" t="s">
        <v>481</v>
      </c>
      <c r="B147" s="38" t="str">
        <f>VLOOKUP($A147, [6]!ProductsTable[#Data], 2, FALSE)</f>
        <v>Cables</v>
      </c>
      <c r="C147" s="8" t="s">
        <v>153</v>
      </c>
      <c r="D147" s="8" t="s">
        <v>230</v>
      </c>
      <c r="E147" s="38" t="str">
        <f>VLOOKUP($A147, [6]!ProductsTable[#Data], 3, FALSE)</f>
        <v>Victron</v>
      </c>
      <c r="F147" s="38" t="str">
        <f>VLOOKUP($A147, [6]!ProductsTable[#Data], 4, FALSE)</f>
        <v>VE.Direct Cable 1.8m</v>
      </c>
      <c r="G147" s="38" t="str">
        <f>VLOOKUP($A147, [6]!ProductsTable[#Data], 5, FALSE)</f>
        <v>ASS030530218</v>
      </c>
      <c r="I147" s="41" t="e">
        <f>VLOOKUP($A147, [6]!ProductsTable[#Data], 7, FALSE)</f>
        <v>#REF!</v>
      </c>
      <c r="J147" s="39" t="e">
        <f>VLOOKUP($A147, [6]!ProductsTable[#Data], 8, FALSE)</f>
        <v>#REF!</v>
      </c>
      <c r="K147">
        <f>VLOOKUP($A147, [6]!ProductsTable[#Data], 9, FALSE)</f>
        <v>0</v>
      </c>
      <c r="L147" s="38">
        <f>VLOOKUP($A147, [6]!ProductsTable[#Data], 10, FALSE)</f>
        <v>0.15</v>
      </c>
      <c r="M147" s="38">
        <f>VLOOKUP($A147, [6]!ProductsTable[#Data], 11, FALSE)</f>
        <v>10</v>
      </c>
      <c r="N147" s="38">
        <f>VLOOKUP($A147, [6]!ProductsTable[#Data], 12, FALSE)</f>
        <v>10</v>
      </c>
      <c r="O147" s="38">
        <f>VLOOKUP($A147, [6]!ProductsTable[#Data], 13, FALSE)</f>
        <v>1</v>
      </c>
      <c r="R147" s="38" t="str">
        <f>VLOOKUP($A147, [6]!ProductsTable[#Data], 14, FALSE)</f>
        <v>1-Victron</v>
      </c>
      <c r="AE147" t="e">
        <f>COUNTIF('[7]product-export'!$A$2:$A$379, A147)</f>
        <v>#VALUE!</v>
      </c>
    </row>
    <row r="148" spans="1:31" x14ac:dyDescent="0.25">
      <c r="A148" s="76" t="s">
        <v>312</v>
      </c>
      <c r="B148" s="38" t="str">
        <f>VLOOKUP($A148, [6]!ProductsTable[#Data], 2, FALSE)</f>
        <v>Inverters</v>
      </c>
      <c r="C148" s="8" t="s">
        <v>217</v>
      </c>
      <c r="D148" s="8" t="s">
        <v>168</v>
      </c>
      <c r="E148" s="38" t="str">
        <f>VLOOKUP($A148, [6]!ProductsTable[#Data], 3, FALSE)</f>
        <v>Fronius</v>
      </c>
      <c r="F148" s="38" t="str">
        <f>VLOOKUP($A148, [6]!ProductsTable[#Data], 4, FALSE)</f>
        <v>Eco 25KW 3Ph Inverter</v>
      </c>
      <c r="G148" s="38" t="str">
        <f>VLOOKUP($A148, [6]!ProductsTable[#Data], 5, FALSE)</f>
        <v>Eco 25.0-3-S</v>
      </c>
      <c r="I148" s="41" t="e">
        <f>VLOOKUP($A148, [6]!ProductsTable[#Data], 7, FALSE)</f>
        <v>#REF!</v>
      </c>
      <c r="J148" s="39" t="e">
        <f>VLOOKUP($A148, [6]!ProductsTable[#Data], 8, FALSE)</f>
        <v>#REF!</v>
      </c>
      <c r="K148">
        <f>VLOOKUP($A148, [6]!ProductsTable[#Data], 9, FALSE)</f>
        <v>0</v>
      </c>
      <c r="L148" s="38">
        <f>VLOOKUP($A148, [6]!ProductsTable[#Data], 10, FALSE)</f>
        <v>35.700000000000003</v>
      </c>
      <c r="M148" s="38">
        <f>VLOOKUP($A148, [6]!ProductsTable[#Data], 11, FALSE)</f>
        <v>72.5</v>
      </c>
      <c r="N148" s="38">
        <f>VLOOKUP($A148, [6]!ProductsTable[#Data], 12, FALSE)</f>
        <v>51</v>
      </c>
      <c r="O148" s="38">
        <f>VLOOKUP($A148, [6]!ProductsTable[#Data], 13, FALSE)</f>
        <v>22.5</v>
      </c>
      <c r="R148" s="38" t="str">
        <f>VLOOKUP($A148, [6]!ProductsTable[#Data], 14, FALSE)</f>
        <v>2-Krannich</v>
      </c>
      <c r="AE148" t="e">
        <f>COUNTIF('[7]product-export'!$A$2:$A$379, A148)</f>
        <v>#VALUE!</v>
      </c>
    </row>
    <row r="149" spans="1:31" x14ac:dyDescent="0.25">
      <c r="A149" s="76" t="s">
        <v>313</v>
      </c>
      <c r="B149" s="38" t="str">
        <f>VLOOKUP($A149, [6]!ProductsTable[#Data], 2, FALSE)</f>
        <v>Inverters</v>
      </c>
      <c r="C149" s="8" t="s">
        <v>217</v>
      </c>
      <c r="D149" s="8" t="s">
        <v>168</v>
      </c>
      <c r="E149" s="38" t="str">
        <f>VLOOKUP($A149, [6]!ProductsTable[#Data], 3, FALSE)</f>
        <v>Fronius</v>
      </c>
      <c r="F149" s="38" t="str">
        <f>VLOOKUP($A149, [6]!ProductsTable[#Data], 4, FALSE)</f>
        <v>Eco 27KW 3Ph Inverter</v>
      </c>
      <c r="G149" s="38" t="str">
        <f>VLOOKUP($A149, [6]!ProductsTable[#Data], 5, FALSE)</f>
        <v>Eco 27.0-3-S</v>
      </c>
      <c r="I149" s="41" t="e">
        <f>VLOOKUP($A149, [6]!ProductsTable[#Data], 7, FALSE)</f>
        <v>#REF!</v>
      </c>
      <c r="J149" s="39" t="e">
        <f>VLOOKUP($A149, [6]!ProductsTable[#Data], 8, FALSE)</f>
        <v>#REF!</v>
      </c>
      <c r="K149">
        <f>VLOOKUP($A149, [6]!ProductsTable[#Data], 9, FALSE)</f>
        <v>0</v>
      </c>
      <c r="L149" s="38">
        <f>VLOOKUP($A149, [6]!ProductsTable[#Data], 10, FALSE)</f>
        <v>35.700000000000003</v>
      </c>
      <c r="M149" s="38">
        <f>VLOOKUP($A149, [6]!ProductsTable[#Data], 11, FALSE)</f>
        <v>72.5</v>
      </c>
      <c r="N149" s="38">
        <f>VLOOKUP($A149, [6]!ProductsTable[#Data], 12, FALSE)</f>
        <v>51</v>
      </c>
      <c r="O149" s="38">
        <f>VLOOKUP($A149, [6]!ProductsTable[#Data], 13, FALSE)</f>
        <v>22.5</v>
      </c>
      <c r="R149" s="38" t="str">
        <f>VLOOKUP($A149, [6]!ProductsTable[#Data], 14, FALSE)</f>
        <v>2-Krannich</v>
      </c>
      <c r="AE149" t="e">
        <f>COUNTIF('[7]product-export'!$A$2:$A$379, A149)</f>
        <v>#VALUE!</v>
      </c>
    </row>
    <row r="150" spans="1:31" x14ac:dyDescent="0.25">
      <c r="A150" s="76" t="s">
        <v>314</v>
      </c>
      <c r="B150" s="38" t="str">
        <f>VLOOKUP($A150, [6]!ProductsTable[#Data], 2, FALSE)</f>
        <v>Inverters</v>
      </c>
      <c r="C150" s="8" t="s">
        <v>217</v>
      </c>
      <c r="D150" s="8" t="s">
        <v>168</v>
      </c>
      <c r="E150" s="38" t="str">
        <f>VLOOKUP($A150, [6]!ProductsTable[#Data], 3, FALSE)</f>
        <v>Fronius</v>
      </c>
      <c r="F150" s="38" t="str">
        <f>VLOOKUP($A150, [6]!ProductsTable[#Data], 4, FALSE)</f>
        <v>Symo 3.0KW 3ph Inverter</v>
      </c>
      <c r="G150" s="38" t="str">
        <f>VLOOKUP($A150, [6]!ProductsTable[#Data], 5, FALSE)</f>
        <v>Symo-3.0-3-M</v>
      </c>
      <c r="I150" s="41" t="e">
        <f>VLOOKUP($A150, [6]!ProductsTable[#Data], 7, FALSE)</f>
        <v>#REF!</v>
      </c>
      <c r="J150" s="39" t="e">
        <f>VLOOKUP($A150, [6]!ProductsTable[#Data], 8, FALSE)</f>
        <v>#REF!</v>
      </c>
      <c r="K150">
        <f>VLOOKUP($A150, [6]!ProductsTable[#Data], 9, FALSE)</f>
        <v>0</v>
      </c>
      <c r="L150" s="38">
        <f>VLOOKUP($A150, [6]!ProductsTable[#Data], 10, FALSE)</f>
        <v>19.899999999999999</v>
      </c>
      <c r="M150" s="38">
        <f>VLOOKUP($A150, [6]!ProductsTable[#Data], 11, FALSE)</f>
        <v>64.5</v>
      </c>
      <c r="N150" s="38">
        <f>VLOOKUP($A150, [6]!ProductsTable[#Data], 12, FALSE)</f>
        <v>43.1</v>
      </c>
      <c r="O150" s="38">
        <f>VLOOKUP($A150, [6]!ProductsTable[#Data], 13, FALSE)</f>
        <v>20.399999999999999</v>
      </c>
      <c r="R150" s="38" t="str">
        <f>VLOOKUP($A150, [6]!ProductsTable[#Data], 14, FALSE)</f>
        <v>2-Krannich</v>
      </c>
      <c r="AE150" t="e">
        <f>COUNTIF('[7]product-export'!$A$2:$A$379, A150)</f>
        <v>#VALUE!</v>
      </c>
    </row>
    <row r="151" spans="1:31" x14ac:dyDescent="0.25">
      <c r="A151" s="76" t="s">
        <v>315</v>
      </c>
      <c r="B151" s="38" t="str">
        <f>VLOOKUP($A151, [6]!ProductsTable[#Data], 2, FALSE)</f>
        <v>Inverters</v>
      </c>
      <c r="C151" s="8" t="s">
        <v>217</v>
      </c>
      <c r="D151" s="8" t="s">
        <v>168</v>
      </c>
      <c r="E151" s="38" t="str">
        <f>VLOOKUP($A151, [6]!ProductsTable[#Data], 3, FALSE)</f>
        <v>Fronius</v>
      </c>
      <c r="F151" s="38" t="str">
        <f>VLOOKUP($A151, [6]!ProductsTable[#Data], 4, FALSE)</f>
        <v>Symo 3.7KW 3ph Inverter</v>
      </c>
      <c r="G151" s="38" t="str">
        <f>VLOOKUP($A151, [6]!ProductsTable[#Data], 5, FALSE)</f>
        <v>Symo-3.7-3-M</v>
      </c>
      <c r="I151" s="41" t="e">
        <f>VLOOKUP($A151, [6]!ProductsTable[#Data], 7, FALSE)</f>
        <v>#REF!</v>
      </c>
      <c r="J151" s="39" t="e">
        <f>VLOOKUP($A151, [6]!ProductsTable[#Data], 8, FALSE)</f>
        <v>#REF!</v>
      </c>
      <c r="K151">
        <f>VLOOKUP($A151, [6]!ProductsTable[#Data], 9, FALSE)</f>
        <v>0</v>
      </c>
      <c r="L151" s="38">
        <f>VLOOKUP($A151, [6]!ProductsTable[#Data], 10, FALSE)</f>
        <v>16</v>
      </c>
      <c r="M151" s="38">
        <f>VLOOKUP($A151, [6]!ProductsTable[#Data], 11, FALSE)</f>
        <v>64.5</v>
      </c>
      <c r="N151" s="38">
        <f>VLOOKUP($A151, [6]!ProductsTable[#Data], 12, FALSE)</f>
        <v>43.1</v>
      </c>
      <c r="O151" s="38">
        <f>VLOOKUP($A151, [6]!ProductsTable[#Data], 13, FALSE)</f>
        <v>20.399999999999999</v>
      </c>
      <c r="R151" s="38" t="str">
        <f>VLOOKUP($A151, [6]!ProductsTable[#Data], 14, FALSE)</f>
        <v>2-Krannich</v>
      </c>
      <c r="AE151" t="e">
        <f>COUNTIF('[7]product-export'!$A$2:$A$379, A151)</f>
        <v>#VALUE!</v>
      </c>
    </row>
    <row r="152" spans="1:31" x14ac:dyDescent="0.25">
      <c r="A152" s="76" t="s">
        <v>316</v>
      </c>
      <c r="B152" s="38" t="str">
        <f>VLOOKUP($A152, [6]!ProductsTable[#Data], 2, FALSE)</f>
        <v>Inverters</v>
      </c>
      <c r="C152" s="8" t="s">
        <v>217</v>
      </c>
      <c r="D152" s="8" t="s">
        <v>168</v>
      </c>
      <c r="E152" s="38" t="str">
        <f>VLOOKUP($A152, [6]!ProductsTable[#Data], 3, FALSE)</f>
        <v>Fronius</v>
      </c>
      <c r="F152" s="38" t="str">
        <f>VLOOKUP($A152, [6]!ProductsTable[#Data], 4, FALSE)</f>
        <v>Symo 4.5KW 3ph Inverter</v>
      </c>
      <c r="G152" s="38" t="str">
        <f>VLOOKUP($A152, [6]!ProductsTable[#Data], 5, FALSE)</f>
        <v>Symo-4.5-3-M</v>
      </c>
      <c r="I152" s="41" t="e">
        <f>VLOOKUP($A152, [6]!ProductsTable[#Data], 7, FALSE)</f>
        <v>#REF!</v>
      </c>
      <c r="J152" s="39" t="e">
        <f>VLOOKUP($A152, [6]!ProductsTable[#Data], 8, FALSE)</f>
        <v>#REF!</v>
      </c>
      <c r="K152">
        <f>VLOOKUP($A152, [6]!ProductsTable[#Data], 9, FALSE)</f>
        <v>0</v>
      </c>
      <c r="L152" s="38">
        <f>VLOOKUP($A152, [6]!ProductsTable[#Data], 10, FALSE)</f>
        <v>19.899999999999999</v>
      </c>
      <c r="M152" s="38">
        <f>VLOOKUP($A152, [6]!ProductsTable[#Data], 11, FALSE)</f>
        <v>64.5</v>
      </c>
      <c r="N152" s="38">
        <f>VLOOKUP($A152, [6]!ProductsTable[#Data], 12, FALSE)</f>
        <v>43.1</v>
      </c>
      <c r="O152" s="38">
        <f>VLOOKUP($A152, [6]!ProductsTable[#Data], 13, FALSE)</f>
        <v>20.399999999999999</v>
      </c>
      <c r="R152" s="38" t="str">
        <f>VLOOKUP($A152, [6]!ProductsTable[#Data], 14, FALSE)</f>
        <v>2-Krannich</v>
      </c>
      <c r="AE152" t="e">
        <f>COUNTIF('[7]product-export'!$A$2:$A$379, A152)</f>
        <v>#VALUE!</v>
      </c>
    </row>
    <row r="153" spans="1:31" x14ac:dyDescent="0.25">
      <c r="A153" s="76" t="s">
        <v>317</v>
      </c>
      <c r="B153" s="38" t="str">
        <f>VLOOKUP($A153, [6]!ProductsTable[#Data], 2, FALSE)</f>
        <v>Inverters</v>
      </c>
      <c r="C153" s="8" t="s">
        <v>217</v>
      </c>
      <c r="D153" s="8" t="s">
        <v>168</v>
      </c>
      <c r="E153" s="38" t="str">
        <f>VLOOKUP($A153, [6]!ProductsTable[#Data], 3, FALSE)</f>
        <v>Fronius</v>
      </c>
      <c r="F153" s="38" t="str">
        <f>VLOOKUP($A153, [6]!ProductsTable[#Data], 4, FALSE)</f>
        <v>Symo 5.0KW 3ph Inverter</v>
      </c>
      <c r="G153" s="38" t="str">
        <f>VLOOKUP($A153, [6]!ProductsTable[#Data], 5, FALSE)</f>
        <v>Symo-5.0-3-M</v>
      </c>
      <c r="I153" s="41" t="e">
        <f>VLOOKUP($A153, [6]!ProductsTable[#Data], 7, FALSE)</f>
        <v>#REF!</v>
      </c>
      <c r="J153" s="39" t="e">
        <f>VLOOKUP($A153, [6]!ProductsTable[#Data], 8, FALSE)</f>
        <v>#REF!</v>
      </c>
      <c r="K153">
        <f>VLOOKUP($A153, [6]!ProductsTable[#Data], 9, FALSE)</f>
        <v>0</v>
      </c>
      <c r="L153" s="38">
        <f>VLOOKUP($A153, [6]!ProductsTable[#Data], 10, FALSE)</f>
        <v>19.899999999999999</v>
      </c>
      <c r="M153" s="38">
        <f>VLOOKUP($A153, [6]!ProductsTable[#Data], 11, FALSE)</f>
        <v>64.5</v>
      </c>
      <c r="N153" s="38">
        <f>VLOOKUP($A153, [6]!ProductsTable[#Data], 12, FALSE)</f>
        <v>43.1</v>
      </c>
      <c r="O153" s="38">
        <f>VLOOKUP($A153, [6]!ProductsTable[#Data], 13, FALSE)</f>
        <v>20.399999999999999</v>
      </c>
      <c r="R153" s="38" t="str">
        <f>VLOOKUP($A153, [6]!ProductsTable[#Data], 14, FALSE)</f>
        <v>2-Krannich</v>
      </c>
      <c r="AE153" t="e">
        <f>COUNTIF('[7]product-export'!$A$2:$A$379, A153)</f>
        <v>#VALUE!</v>
      </c>
    </row>
    <row r="154" spans="1:31" x14ac:dyDescent="0.25">
      <c r="A154" s="76" t="s">
        <v>318</v>
      </c>
      <c r="B154" s="38" t="str">
        <f>VLOOKUP($A154, [6]!ProductsTable[#Data], 2, FALSE)</f>
        <v>Inverters</v>
      </c>
      <c r="C154" s="8" t="s">
        <v>217</v>
      </c>
      <c r="D154" s="8" t="s">
        <v>168</v>
      </c>
      <c r="E154" s="38" t="str">
        <f>VLOOKUP($A154, [6]!ProductsTable[#Data], 3, FALSE)</f>
        <v>Fronius</v>
      </c>
      <c r="F154" s="38" t="str">
        <f>VLOOKUP($A154, [6]!ProductsTable[#Data], 4, FALSE)</f>
        <v>Symo 6.0KW 3ph Inverter</v>
      </c>
      <c r="G154" s="38" t="str">
        <f>VLOOKUP($A154, [6]!ProductsTable[#Data], 5, FALSE)</f>
        <v>Symo-6.0-3-M</v>
      </c>
      <c r="I154" s="41" t="e">
        <f>VLOOKUP($A154, [6]!ProductsTable[#Data], 7, FALSE)</f>
        <v>#REF!</v>
      </c>
      <c r="J154" s="39" t="e">
        <f>VLOOKUP($A154, [6]!ProductsTable[#Data], 8, FALSE)</f>
        <v>#REF!</v>
      </c>
      <c r="K154">
        <f>VLOOKUP($A154, [6]!ProductsTable[#Data], 9, FALSE)</f>
        <v>0</v>
      </c>
      <c r="L154" s="38">
        <f>VLOOKUP($A154, [6]!ProductsTable[#Data], 10, FALSE)</f>
        <v>19.899999999999999</v>
      </c>
      <c r="M154" s="38">
        <f>VLOOKUP($A154, [6]!ProductsTable[#Data], 11, FALSE)</f>
        <v>64.5</v>
      </c>
      <c r="N154" s="38">
        <f>VLOOKUP($A154, [6]!ProductsTable[#Data], 12, FALSE)</f>
        <v>43.1</v>
      </c>
      <c r="O154" s="38">
        <f>VLOOKUP($A154, [6]!ProductsTable[#Data], 13, FALSE)</f>
        <v>20.399999999999999</v>
      </c>
      <c r="R154" s="38" t="str">
        <f>VLOOKUP($A154, [6]!ProductsTable[#Data], 14, FALSE)</f>
        <v>2-Krannich</v>
      </c>
      <c r="AE154" t="e">
        <f>COUNTIF('[7]product-export'!$A$2:$A$379, A154)</f>
        <v>#VALUE!</v>
      </c>
    </row>
    <row r="155" spans="1:31" x14ac:dyDescent="0.25">
      <c r="A155" s="76" t="s">
        <v>319</v>
      </c>
      <c r="B155" s="38" t="str">
        <f>VLOOKUP($A155, [6]!ProductsTable[#Data], 2, FALSE)</f>
        <v>Inverters</v>
      </c>
      <c r="C155" s="8" t="s">
        <v>217</v>
      </c>
      <c r="D155" s="8" t="s">
        <v>168</v>
      </c>
      <c r="E155" s="38" t="str">
        <f>VLOOKUP($A155, [6]!ProductsTable[#Data], 3, FALSE)</f>
        <v>Fronius</v>
      </c>
      <c r="F155" s="38" t="str">
        <f>VLOOKUP($A155, [6]!ProductsTable[#Data], 4, FALSE)</f>
        <v>Symo 7.0KW 3ph Inverter</v>
      </c>
      <c r="G155" s="38" t="str">
        <f>VLOOKUP($A155, [6]!ProductsTable[#Data], 5, FALSE)</f>
        <v>Symo-7.0-3-M</v>
      </c>
      <c r="I155" s="41" t="e">
        <f>VLOOKUP($A155, [6]!ProductsTable[#Data], 7, FALSE)</f>
        <v>#REF!</v>
      </c>
      <c r="J155" s="39" t="e">
        <f>VLOOKUP($A155, [6]!ProductsTable[#Data], 8, FALSE)</f>
        <v>#REF!</v>
      </c>
      <c r="K155">
        <f>VLOOKUP($A155, [6]!ProductsTable[#Data], 9, FALSE)</f>
        <v>0</v>
      </c>
      <c r="L155" s="38">
        <f>VLOOKUP($A155, [6]!ProductsTable[#Data], 10, FALSE)</f>
        <v>21.9</v>
      </c>
      <c r="M155" s="38">
        <f>VLOOKUP($A155, [6]!ProductsTable[#Data], 11, FALSE)</f>
        <v>64.5</v>
      </c>
      <c r="N155" s="38">
        <f>VLOOKUP($A155, [6]!ProductsTable[#Data], 12, FALSE)</f>
        <v>43.1</v>
      </c>
      <c r="O155" s="38">
        <f>VLOOKUP($A155, [6]!ProductsTable[#Data], 13, FALSE)</f>
        <v>20.399999999999999</v>
      </c>
      <c r="R155" s="38" t="str">
        <f>VLOOKUP($A155, [6]!ProductsTable[#Data], 14, FALSE)</f>
        <v>2-Krannich</v>
      </c>
      <c r="AE155" t="e">
        <f>COUNTIF('[7]product-export'!$A$2:$A$379, A155)</f>
        <v>#VALUE!</v>
      </c>
    </row>
    <row r="156" spans="1:31" x14ac:dyDescent="0.25">
      <c r="A156" s="76" t="s">
        <v>320</v>
      </c>
      <c r="B156" s="38" t="str">
        <f>VLOOKUP($A156, [6]!ProductsTable[#Data], 2, FALSE)</f>
        <v>Inverters</v>
      </c>
      <c r="C156" s="8" t="s">
        <v>217</v>
      </c>
      <c r="D156" s="8" t="s">
        <v>168</v>
      </c>
      <c r="E156" s="38" t="str">
        <f>VLOOKUP($A156, [6]!ProductsTable[#Data], 3, FALSE)</f>
        <v>Fronius</v>
      </c>
      <c r="F156" s="38" t="str">
        <f>VLOOKUP($A156, [6]!ProductsTable[#Data], 4, FALSE)</f>
        <v>Symo 8.2KW 3ph Inverter</v>
      </c>
      <c r="G156" s="38" t="str">
        <f>VLOOKUP($A156, [6]!ProductsTable[#Data], 5, FALSE)</f>
        <v>Symo8.2-3-M</v>
      </c>
      <c r="I156" s="41" t="e">
        <f>VLOOKUP($A156, [6]!ProductsTable[#Data], 7, FALSE)</f>
        <v>#REF!</v>
      </c>
      <c r="J156" s="39" t="e">
        <f>VLOOKUP($A156, [6]!ProductsTable[#Data], 8, FALSE)</f>
        <v>#REF!</v>
      </c>
      <c r="K156">
        <f>VLOOKUP($A156, [6]!ProductsTable[#Data], 9, FALSE)</f>
        <v>0</v>
      </c>
      <c r="L156" s="38">
        <f>VLOOKUP($A156, [6]!ProductsTable[#Data], 10, FALSE)</f>
        <v>21.9</v>
      </c>
      <c r="M156" s="38">
        <f>VLOOKUP($A156, [6]!ProductsTable[#Data], 11, FALSE)</f>
        <v>64.5</v>
      </c>
      <c r="N156" s="38">
        <f>VLOOKUP($A156, [6]!ProductsTable[#Data], 12, FALSE)</f>
        <v>43.1</v>
      </c>
      <c r="O156" s="38">
        <f>VLOOKUP($A156, [6]!ProductsTable[#Data], 13, FALSE)</f>
        <v>20.399999999999999</v>
      </c>
      <c r="R156" s="38" t="str">
        <f>VLOOKUP($A156, [6]!ProductsTable[#Data], 14, FALSE)</f>
        <v>2-Krannich</v>
      </c>
      <c r="AE156" t="e">
        <f>COUNTIF('[7]product-export'!$A$2:$A$379, A156)</f>
        <v>#VALUE!</v>
      </c>
    </row>
    <row r="157" spans="1:31" x14ac:dyDescent="0.25">
      <c r="A157" s="76" t="s">
        <v>537</v>
      </c>
      <c r="B157" s="38" t="str">
        <f>VLOOKUP($A157, [6]!ProductsTable[#Data], 2, FALSE)</f>
        <v>Inverters</v>
      </c>
      <c r="C157" s="8" t="s">
        <v>217</v>
      </c>
      <c r="D157" s="8" t="s">
        <v>168</v>
      </c>
      <c r="E157" s="38" t="str">
        <f>VLOOKUP($A157, [6]!ProductsTable[#Data], 3, FALSE)</f>
        <v>SMA</v>
      </c>
      <c r="F157" s="38" t="str">
        <f>VLOOKUP($A157, [6]!ProductsTable[#Data], 4, FALSE)</f>
        <v>Sunny Highpower Peak3 100KW</v>
      </c>
      <c r="G157" s="38" t="str">
        <f>VLOOKUP($A157, [6]!ProductsTable[#Data], 5, FALSE)</f>
        <v>SHP-100-20-Peak3</v>
      </c>
      <c r="I157" s="41" t="e">
        <f>VLOOKUP($A157, [6]!ProductsTable[#Data], 7, FALSE)</f>
        <v>#REF!</v>
      </c>
      <c r="J157" s="39" t="e">
        <f>VLOOKUP($A157, [6]!ProductsTable[#Data], 8, FALSE)</f>
        <v>#REF!</v>
      </c>
      <c r="K157">
        <f>VLOOKUP($A157, [6]!ProductsTable[#Data], 9, FALSE)</f>
        <v>0</v>
      </c>
      <c r="L157" s="38">
        <f>VLOOKUP($A157, [6]!ProductsTable[#Data], 10, FALSE)</f>
        <v>98</v>
      </c>
      <c r="M157" s="38">
        <f>VLOOKUP($A157, [6]!ProductsTable[#Data], 11, FALSE)</f>
        <v>77</v>
      </c>
      <c r="N157" s="38">
        <f>VLOOKUP($A157, [6]!ProductsTable[#Data], 12, FALSE)</f>
        <v>83</v>
      </c>
      <c r="O157" s="38">
        <f>VLOOKUP($A157, [6]!ProductsTable[#Data], 13, FALSE)</f>
        <v>44.4</v>
      </c>
      <c r="R157" s="38" t="str">
        <f>VLOOKUP($A157, [6]!ProductsTable[#Data], 14, FALSE)</f>
        <v>2-Krannich</v>
      </c>
      <c r="AE157" t="e">
        <f>COUNTIF('[7]product-export'!$A$2:$A$379, A157)</f>
        <v>#VALUE!</v>
      </c>
    </row>
    <row r="158" spans="1:31" x14ac:dyDescent="0.25">
      <c r="A158" s="76" t="s">
        <v>305</v>
      </c>
      <c r="B158" s="38" t="str">
        <f>VLOOKUP($A158, [6]!ProductsTable[#Data], 2, FALSE)</f>
        <v>Inverters</v>
      </c>
      <c r="C158" s="8" t="s">
        <v>217</v>
      </c>
      <c r="D158" s="8" t="s">
        <v>168</v>
      </c>
      <c r="E158" s="38" t="str">
        <f>VLOOKUP($A158, [6]!ProductsTable[#Data], 3, FALSE)</f>
        <v>Fronius</v>
      </c>
      <c r="F158" s="38" t="str">
        <f>VLOOKUP($A158, [6]!ProductsTable[#Data], 4, FALSE)</f>
        <v>Primo 3.0kW Grid Inverter</v>
      </c>
      <c r="G158" s="38" t="str">
        <f>VLOOKUP($A158, [6]!ProductsTable[#Data], 5, FALSE)</f>
        <v>Primo 3.0-1</v>
      </c>
      <c r="I158" s="41" t="e">
        <f>VLOOKUP($A158, [6]!ProductsTable[#Data], 7, FALSE)</f>
        <v>#REF!</v>
      </c>
      <c r="J158" s="39" t="e">
        <f>VLOOKUP($A158, [6]!ProductsTable[#Data], 8, FALSE)</f>
        <v>#REF!</v>
      </c>
      <c r="K158">
        <f>VLOOKUP($A158, [6]!ProductsTable[#Data], 9, FALSE)</f>
        <v>0</v>
      </c>
      <c r="L158" s="38">
        <f>VLOOKUP($A158, [6]!ProductsTable[#Data], 10, FALSE)</f>
        <v>21.5</v>
      </c>
      <c r="M158" s="38">
        <f>VLOOKUP($A158, [6]!ProductsTable[#Data], 11, FALSE)</f>
        <v>64.5</v>
      </c>
      <c r="N158" s="38">
        <f>VLOOKUP($A158, [6]!ProductsTable[#Data], 12, FALSE)</f>
        <v>43.1</v>
      </c>
      <c r="O158" s="38">
        <f>VLOOKUP($A158, [6]!ProductsTable[#Data], 13, FALSE)</f>
        <v>20.399999999999999</v>
      </c>
      <c r="R158" s="38" t="str">
        <f>VLOOKUP($A158, [6]!ProductsTable[#Data], 14, FALSE)</f>
        <v>2-Krannich</v>
      </c>
      <c r="AE158" t="e">
        <f>COUNTIF('[7]product-export'!$A$2:$A$379, A158)</f>
        <v>#VALUE!</v>
      </c>
    </row>
    <row r="159" spans="1:31" x14ac:dyDescent="0.25">
      <c r="A159" s="76" t="s">
        <v>303</v>
      </c>
      <c r="B159" s="38" t="str">
        <f>VLOOKUP($A159, [6]!ProductsTable[#Data], 2, FALSE)</f>
        <v>Inverters</v>
      </c>
      <c r="C159" s="8" t="s">
        <v>217</v>
      </c>
      <c r="D159" s="8" t="s">
        <v>168</v>
      </c>
      <c r="E159" s="38" t="str">
        <f>VLOOKUP($A159, [6]!ProductsTable[#Data], 3, FALSE)</f>
        <v>Fronius</v>
      </c>
      <c r="F159" s="38" t="str">
        <f>VLOOKUP($A159, [6]!ProductsTable[#Data], 4, FALSE)</f>
        <v>Primo 6.0kW Grid Inverter</v>
      </c>
      <c r="G159" s="38" t="str">
        <f>VLOOKUP($A159, [6]!ProductsTable[#Data], 5, FALSE)</f>
        <v>Primo-6.0-1</v>
      </c>
      <c r="I159" s="41" t="e">
        <f>VLOOKUP($A159, [6]!ProductsTable[#Data], 7, FALSE)</f>
        <v>#REF!</v>
      </c>
      <c r="J159" s="39" t="e">
        <f>VLOOKUP($A159, [6]!ProductsTable[#Data], 8, FALSE)</f>
        <v>#REF!</v>
      </c>
      <c r="K159">
        <f>VLOOKUP($A159, [6]!ProductsTable[#Data], 9, FALSE)</f>
        <v>0</v>
      </c>
      <c r="L159" s="38">
        <f>VLOOKUP($A159, [6]!ProductsTable[#Data], 10, FALSE)</f>
        <v>21.5</v>
      </c>
      <c r="M159" s="38">
        <f>VLOOKUP($A159, [6]!ProductsTable[#Data], 11, FALSE)</f>
        <v>64.5</v>
      </c>
      <c r="N159" s="38">
        <f>VLOOKUP($A159, [6]!ProductsTable[#Data], 12, FALSE)</f>
        <v>43.1</v>
      </c>
      <c r="O159" s="38">
        <f>VLOOKUP($A159, [6]!ProductsTable[#Data], 13, FALSE)</f>
        <v>20.399999999999999</v>
      </c>
      <c r="R159" s="38" t="str">
        <f>VLOOKUP($A159, [6]!ProductsTable[#Data], 14, FALSE)</f>
        <v>2-Krannich</v>
      </c>
      <c r="AE159" t="e">
        <f>COUNTIF('[7]product-export'!$A$2:$A$379, A159)</f>
        <v>#VALUE!</v>
      </c>
    </row>
    <row r="160" spans="1:31" x14ac:dyDescent="0.25">
      <c r="A160" s="76" t="s">
        <v>304</v>
      </c>
      <c r="B160" s="38" t="str">
        <f>VLOOKUP($A160, [6]!ProductsTable[#Data], 2, FALSE)</f>
        <v>Inverters</v>
      </c>
      <c r="C160" s="8" t="s">
        <v>217</v>
      </c>
      <c r="D160" s="8" t="s">
        <v>168</v>
      </c>
      <c r="E160" s="38" t="str">
        <f>VLOOKUP($A160, [6]!ProductsTable[#Data], 3, FALSE)</f>
        <v>Fronius</v>
      </c>
      <c r="F160" s="38" t="str">
        <f>VLOOKUP($A160, [6]!ProductsTable[#Data], 4, FALSE)</f>
        <v>Primo 8.2kW Grid Inverter</v>
      </c>
      <c r="G160" s="38" t="str">
        <f>VLOOKUP($A160, [6]!ProductsTable[#Data], 5, FALSE)</f>
        <v>Primo-8.2-1</v>
      </c>
      <c r="I160" s="41" t="e">
        <f>VLOOKUP($A160, [6]!ProductsTable[#Data], 7, FALSE)</f>
        <v>#REF!</v>
      </c>
      <c r="J160" s="39" t="e">
        <f>VLOOKUP($A160, [6]!ProductsTable[#Data], 8, FALSE)</f>
        <v>#REF!</v>
      </c>
      <c r="K160">
        <f>VLOOKUP($A160, [6]!ProductsTable[#Data], 9, FALSE)</f>
        <v>0</v>
      </c>
      <c r="L160" s="38">
        <f>VLOOKUP($A160, [6]!ProductsTable[#Data], 10, FALSE)</f>
        <v>21.5</v>
      </c>
      <c r="M160" s="38">
        <f>VLOOKUP($A160, [6]!ProductsTable[#Data], 11, FALSE)</f>
        <v>64.5</v>
      </c>
      <c r="N160" s="38">
        <f>VLOOKUP($A160, [6]!ProductsTable[#Data], 12, FALSE)</f>
        <v>43.1</v>
      </c>
      <c r="O160" s="38">
        <f>VLOOKUP($A160, [6]!ProductsTable[#Data], 13, FALSE)</f>
        <v>20.399999999999999</v>
      </c>
      <c r="R160" s="38" t="str">
        <f>VLOOKUP($A160, [6]!ProductsTable[#Data], 14, FALSE)</f>
        <v>2-Krannich</v>
      </c>
      <c r="AE160" t="e">
        <f>COUNTIF('[7]product-export'!$A$2:$A$379, A160)</f>
        <v>#VALUE!</v>
      </c>
    </row>
    <row r="161" spans="1:31" x14ac:dyDescent="0.25">
      <c r="A161" s="76" t="s">
        <v>557</v>
      </c>
      <c r="B161" s="38" t="str">
        <f>VLOOKUP($A161, [6]!ProductsTable[#Data], 2, FALSE)</f>
        <v>Fuses</v>
      </c>
      <c r="C161" s="8" t="s">
        <v>217</v>
      </c>
      <c r="D161" s="8" t="s">
        <v>172</v>
      </c>
      <c r="E161" s="38" t="str">
        <f>VLOOKUP($A161, [6]!ProductsTable[#Data], 3, FALSE)</f>
        <v>Noark</v>
      </c>
      <c r="F161" s="38" t="str">
        <f>VLOOKUP($A161, [6]!ProductsTable[#Data], 4, FALSE)</f>
        <v>MCB 63A 360V DC 2 Pole</v>
      </c>
      <c r="G161" s="38">
        <f>VLOOKUP($A161, [6]!ProductsTable[#Data], 5, FALSE)</f>
        <v>84456</v>
      </c>
      <c r="I161" s="41" t="e">
        <f>VLOOKUP($A161, [6]!ProductsTable[#Data], 7, FALSE)</f>
        <v>#REF!</v>
      </c>
      <c r="J161" s="39" t="e">
        <f>VLOOKUP($A161, [6]!ProductsTable[#Data], 8, FALSE)</f>
        <v>#REF!</v>
      </c>
      <c r="K161">
        <f>VLOOKUP($A161, [6]!ProductsTable[#Data], 9, FALSE)</f>
        <v>6</v>
      </c>
      <c r="L161" s="38">
        <f>VLOOKUP($A161, [6]!ProductsTable[#Data], 10, FALSE)</f>
        <v>0.25</v>
      </c>
      <c r="M161" s="38">
        <f>VLOOKUP($A161, [6]!ProductsTable[#Data], 11, FALSE)</f>
        <v>9</v>
      </c>
      <c r="N161" s="38">
        <f>VLOOKUP($A161, [6]!ProductsTable[#Data], 12, FALSE)</f>
        <v>7.5</v>
      </c>
      <c r="O161" s="38">
        <f>VLOOKUP($A161, [6]!ProductsTable[#Data], 13, FALSE)</f>
        <v>75</v>
      </c>
      <c r="R161" s="38" t="str">
        <f>VLOOKUP($A161, [6]!ProductsTable[#Data], 14, FALSE)</f>
        <v>3-Tradezone</v>
      </c>
      <c r="AE161" t="e">
        <f>COUNTIF('[7]product-export'!$A$2:$A$379, A161)</f>
        <v>#VALUE!</v>
      </c>
    </row>
    <row r="162" spans="1:31" x14ac:dyDescent="0.25">
      <c r="A162" s="76" t="s">
        <v>413</v>
      </c>
      <c r="B162" s="38" t="str">
        <f>VLOOKUP($A162, [6]!ProductsTable[#Data], 2, FALSE)</f>
        <v>Control</v>
      </c>
      <c r="C162" s="8" t="s">
        <v>153</v>
      </c>
      <c r="D162" s="8" t="s">
        <v>230</v>
      </c>
      <c r="E162" s="38" t="str">
        <f>VLOOKUP($A162, [6]!ProductsTable[#Data], 3, FALSE)</f>
        <v>Victron</v>
      </c>
      <c r="F162" s="38" t="str">
        <f>VLOOKUP($A162, [6]!ProductsTable[#Data], 4, FALSE)</f>
        <v>VE Bus Smart Dongle Bluetooth</v>
      </c>
      <c r="G162" s="38" t="str">
        <f>VLOOKUP($A162, [6]!ProductsTable[#Data], 5, FALSE)</f>
        <v>ASS030537010</v>
      </c>
      <c r="I162" s="41" t="e">
        <f>VLOOKUP($A162, [6]!ProductsTable[#Data], 7, FALSE)</f>
        <v>#REF!</v>
      </c>
      <c r="J162" s="39" t="e">
        <f>VLOOKUP($A162, [6]!ProductsTable[#Data], 8, FALSE)</f>
        <v>#REF!</v>
      </c>
      <c r="K162">
        <f>VLOOKUP($A162, [6]!ProductsTable[#Data], 9, FALSE)</f>
        <v>0</v>
      </c>
      <c r="L162" s="38">
        <f>VLOOKUP($A162, [6]!ProductsTable[#Data], 10, FALSE)</f>
        <v>0.2</v>
      </c>
      <c r="M162" s="38">
        <f>VLOOKUP($A162, [6]!ProductsTable[#Data], 11, FALSE)</f>
        <v>4</v>
      </c>
      <c r="N162" s="38">
        <f>VLOOKUP($A162, [6]!ProductsTable[#Data], 12, FALSE)</f>
        <v>8</v>
      </c>
      <c r="O162" s="38">
        <f>VLOOKUP($A162, [6]!ProductsTable[#Data], 13, FALSE)</f>
        <v>5</v>
      </c>
      <c r="R162" s="38" t="str">
        <f>VLOOKUP($A162, [6]!ProductsTable[#Data], 14, FALSE)</f>
        <v>1-Victron</v>
      </c>
      <c r="AE162" t="e">
        <f>COUNTIF('[7]product-export'!$A$2:$A$379, A162)</f>
        <v>#VALUE!</v>
      </c>
    </row>
    <row r="163" spans="1:31" x14ac:dyDescent="0.25">
      <c r="A163" s="76" t="s">
        <v>412</v>
      </c>
      <c r="B163" s="38" t="str">
        <f>VLOOKUP($A163, [6]!ProductsTable[#Data], 2, FALSE)</f>
        <v>Control</v>
      </c>
      <c r="C163" s="8" t="s">
        <v>153</v>
      </c>
      <c r="D163" s="8" t="s">
        <v>182</v>
      </c>
      <c r="E163" s="38" t="str">
        <f>VLOOKUP($A163, [6]!ProductsTable[#Data], 3, FALSE)</f>
        <v>Victron</v>
      </c>
      <c r="F163" s="38" t="str">
        <f>VLOOKUP($A163, [6]!ProductsTable[#Data], 4, FALSE)</f>
        <v>Temperature sensor for BMV-702/712</v>
      </c>
      <c r="G163" s="38" t="str">
        <f>VLOOKUP($A163, [6]!ProductsTable[#Data], 5, FALSE)</f>
        <v>ASS000100000</v>
      </c>
      <c r="I163" s="41" t="e">
        <f>VLOOKUP($A163, [6]!ProductsTable[#Data], 7, FALSE)</f>
        <v>#REF!</v>
      </c>
      <c r="J163" s="39" t="e">
        <f>VLOOKUP($A163, [6]!ProductsTable[#Data], 8, FALSE)</f>
        <v>#REF!</v>
      </c>
      <c r="K163">
        <f>VLOOKUP($A163, [6]!ProductsTable[#Data], 9, FALSE)</f>
        <v>0</v>
      </c>
      <c r="L163" s="38">
        <f>VLOOKUP($A163, [6]!ProductsTable[#Data], 10, FALSE)</f>
        <v>0.3</v>
      </c>
      <c r="M163" s="38">
        <f>VLOOKUP($A163, [6]!ProductsTable[#Data], 11, FALSE)</f>
        <v>5</v>
      </c>
      <c r="N163" s="38">
        <f>VLOOKUP($A163, [6]!ProductsTable[#Data], 12, FALSE)</f>
        <v>10</v>
      </c>
      <c r="O163" s="38">
        <f>VLOOKUP($A163, [6]!ProductsTable[#Data], 13, FALSE)</f>
        <v>2</v>
      </c>
      <c r="R163" s="38" t="str">
        <f>VLOOKUP($A163, [6]!ProductsTable[#Data], 14, FALSE)</f>
        <v>1-Victron</v>
      </c>
      <c r="AE163" t="e">
        <f>COUNTIF('[7]product-export'!$A$2:$A$379, A163)</f>
        <v>#VALUE!</v>
      </c>
    </row>
    <row r="164" spans="1:31" x14ac:dyDescent="0.25">
      <c r="A164" s="76" t="s">
        <v>563</v>
      </c>
      <c r="B164" s="38" t="str">
        <f>VLOOKUP($A164, [6]!ProductsTable[#Data], 2, FALSE)</f>
        <v>Inverters</v>
      </c>
      <c r="C164" s="8" t="s">
        <v>217</v>
      </c>
      <c r="D164" s="8" t="s">
        <v>168</v>
      </c>
      <c r="E164" s="38" t="str">
        <f>VLOOKUP($A164, [6]!ProductsTable[#Data], 3, FALSE)</f>
        <v>SMA</v>
      </c>
      <c r="F164" s="38" t="str">
        <f>VLOOKUP($A164, [6]!ProductsTable[#Data], 4, FALSE)</f>
        <v>Sunny Tripower 5.0 KW</v>
      </c>
      <c r="G164" s="38" t="str">
        <f>VLOOKUP($A164, [6]!ProductsTable[#Data], 5, FALSE)</f>
        <v>STP-5.0-3AV-40</v>
      </c>
      <c r="I164" s="41" t="e">
        <f>VLOOKUP($A164, [6]!ProductsTable[#Data], 7, FALSE)</f>
        <v>#REF!</v>
      </c>
      <c r="J164" s="39" t="e">
        <f>VLOOKUP($A164, [6]!ProductsTable[#Data], 8, FALSE)</f>
        <v>#REF!</v>
      </c>
      <c r="K164">
        <f>VLOOKUP($A164, [6]!ProductsTable[#Data], 9, FALSE)</f>
        <v>0</v>
      </c>
      <c r="L164" s="38">
        <f>VLOOKUP($A164, [6]!ProductsTable[#Data], 10, FALSE)</f>
        <v>17</v>
      </c>
      <c r="M164" s="38">
        <f>VLOOKUP($A164, [6]!ProductsTable[#Data], 11, FALSE)</f>
        <v>43.5</v>
      </c>
      <c r="N164" s="38">
        <f>VLOOKUP($A164, [6]!ProductsTable[#Data], 12, FALSE)</f>
        <v>47</v>
      </c>
      <c r="O164" s="38">
        <f>VLOOKUP($A164, [6]!ProductsTable[#Data], 13, FALSE)</f>
        <v>17.600000000000001</v>
      </c>
      <c r="R164" s="38" t="str">
        <f>VLOOKUP($A164, [6]!ProductsTable[#Data], 14, FALSE)</f>
        <v>2-Krannich</v>
      </c>
      <c r="AE164" t="e">
        <f>COUNTIF('[7]product-export'!$A$2:$A$379, A164)</f>
        <v>#VALUE!</v>
      </c>
    </row>
    <row r="165" spans="1:31" x14ac:dyDescent="0.25">
      <c r="A165" s="76" t="s">
        <v>564</v>
      </c>
      <c r="B165" s="38" t="str">
        <f>VLOOKUP($A165, [6]!ProductsTable[#Data], 2, FALSE)</f>
        <v>Inverters</v>
      </c>
      <c r="C165" s="8" t="s">
        <v>217</v>
      </c>
      <c r="D165" s="8" t="s">
        <v>168</v>
      </c>
      <c r="E165" s="38" t="str">
        <f>VLOOKUP($A165, [6]!ProductsTable[#Data], 3, FALSE)</f>
        <v>SMA</v>
      </c>
      <c r="F165" s="38" t="str">
        <f>VLOOKUP($A165, [6]!ProductsTable[#Data], 4, FALSE)</f>
        <v>Sunny Tripower 6.0 KW</v>
      </c>
      <c r="G165" s="38" t="str">
        <f>VLOOKUP($A165, [6]!ProductsTable[#Data], 5, FALSE)</f>
        <v>STP-6.0-3AV-40</v>
      </c>
      <c r="I165" s="41" t="e">
        <f>VLOOKUP($A165, [6]!ProductsTable[#Data], 7, FALSE)</f>
        <v>#REF!</v>
      </c>
      <c r="J165" s="39" t="e">
        <f>VLOOKUP($A165, [6]!ProductsTable[#Data], 8, FALSE)</f>
        <v>#REF!</v>
      </c>
      <c r="K165">
        <f>VLOOKUP($A165, [6]!ProductsTable[#Data], 9, FALSE)</f>
        <v>0</v>
      </c>
      <c r="L165" s="38">
        <f>VLOOKUP($A165, [6]!ProductsTable[#Data], 10, FALSE)</f>
        <v>17</v>
      </c>
      <c r="M165" s="38">
        <f>VLOOKUP($A165, [6]!ProductsTable[#Data], 11, FALSE)</f>
        <v>43.5</v>
      </c>
      <c r="N165" s="38">
        <f>VLOOKUP($A165, [6]!ProductsTable[#Data], 12, FALSE)</f>
        <v>47</v>
      </c>
      <c r="O165" s="38">
        <f>VLOOKUP($A165, [6]!ProductsTable[#Data], 13, FALSE)</f>
        <v>17.600000000000001</v>
      </c>
      <c r="R165" s="38" t="str">
        <f>VLOOKUP($A165, [6]!ProductsTable[#Data], 14, FALSE)</f>
        <v>2-Krannich</v>
      </c>
      <c r="AE165" t="e">
        <f>COUNTIF('[7]product-export'!$A$2:$A$379, A165)</f>
        <v>#VALUE!</v>
      </c>
    </row>
    <row r="166" spans="1:31" x14ac:dyDescent="0.25">
      <c r="A166" s="76" t="s">
        <v>538</v>
      </c>
      <c r="B166" s="38" t="str">
        <f>VLOOKUP($A166, [6]!ProductsTable[#Data], 2, FALSE)</f>
        <v>Inverters</v>
      </c>
      <c r="C166" s="8" t="s">
        <v>217</v>
      </c>
      <c r="D166" s="8" t="s">
        <v>168</v>
      </c>
      <c r="E166" s="38" t="str">
        <f>VLOOKUP($A166, [6]!ProductsTable[#Data], 3, FALSE)</f>
        <v>SMA</v>
      </c>
      <c r="F166" s="38" t="str">
        <f>VLOOKUP($A166, [6]!ProductsTable[#Data], 4, FALSE)</f>
        <v>Sunny Highpower Peak3 150KW</v>
      </c>
      <c r="G166" s="38" t="str">
        <f>VLOOKUP($A166, [6]!ProductsTable[#Data], 5, FALSE)</f>
        <v>SHP-150-20-Peak3</v>
      </c>
      <c r="I166" s="41" t="e">
        <f>VLOOKUP($A166, [6]!ProductsTable[#Data], 7, FALSE)</f>
        <v>#REF!</v>
      </c>
      <c r="J166" s="39" t="e">
        <f>VLOOKUP($A166, [6]!ProductsTable[#Data], 8, FALSE)</f>
        <v>#REF!</v>
      </c>
      <c r="K166">
        <f>VLOOKUP($A166, [6]!ProductsTable[#Data], 9, FALSE)</f>
        <v>0</v>
      </c>
      <c r="L166" s="38">
        <f>VLOOKUP($A166, [6]!ProductsTable[#Data], 10, FALSE)</f>
        <v>98</v>
      </c>
      <c r="M166" s="38">
        <f>VLOOKUP($A166, [6]!ProductsTable[#Data], 11, FALSE)</f>
        <v>77</v>
      </c>
      <c r="N166" s="38">
        <f>VLOOKUP($A166, [6]!ProductsTable[#Data], 12, FALSE)</f>
        <v>83</v>
      </c>
      <c r="O166" s="38">
        <f>VLOOKUP($A166, [6]!ProductsTable[#Data], 13, FALSE)</f>
        <v>44.4</v>
      </c>
      <c r="R166" s="38" t="str">
        <f>VLOOKUP($A166, [6]!ProductsTable[#Data], 14, FALSE)</f>
        <v>2-Krannich</v>
      </c>
      <c r="AE166" t="e">
        <f>COUNTIF('[7]product-export'!$A$2:$A$379, A166)</f>
        <v>#VALUE!</v>
      </c>
    </row>
    <row r="167" spans="1:31" x14ac:dyDescent="0.25">
      <c r="A167" s="76" t="s">
        <v>364</v>
      </c>
      <c r="B167" s="38" t="str">
        <f>VLOOKUP($A167, [6]!ProductsTable[#Data], 2, FALSE)</f>
        <v>Solar Controllers</v>
      </c>
      <c r="C167" s="8" t="s">
        <v>217</v>
      </c>
      <c r="D167" s="8" t="s">
        <v>167</v>
      </c>
      <c r="E167" s="38" t="str">
        <f>VLOOKUP($A167, [6]!ProductsTable[#Data], 3, FALSE)</f>
        <v>Victron</v>
      </c>
      <c r="F167" s="38" t="str">
        <f>VLOOKUP($A167, [6]!ProductsTable[#Data], 4, FALSE)</f>
        <v>SmartSolar MPPT 100/20-48V</v>
      </c>
      <c r="G167" s="38" t="str">
        <f>VLOOKUP($A167, [6]!ProductsTable[#Data], 5, FALSE)</f>
        <v>SCC110020160R</v>
      </c>
      <c r="I167" s="41" t="e">
        <f>VLOOKUP($A167, [6]!ProductsTable[#Data], 7, FALSE)</f>
        <v>#REF!</v>
      </c>
      <c r="J167" s="39" t="e">
        <f>VLOOKUP($A167, [6]!ProductsTable[#Data], 8, FALSE)</f>
        <v>#REF!</v>
      </c>
      <c r="K167">
        <f>VLOOKUP($A167, [6]!ProductsTable[#Data], 9, FALSE)</f>
        <v>0</v>
      </c>
      <c r="L167" s="38">
        <f>VLOOKUP($A167, [6]!ProductsTable[#Data], 10, FALSE)</f>
        <v>0.7</v>
      </c>
      <c r="M167" s="38">
        <f>VLOOKUP($A167, [6]!ProductsTable[#Data], 11, FALSE)</f>
        <v>11.3</v>
      </c>
      <c r="N167" s="38">
        <f>VLOOKUP($A167, [6]!ProductsTable[#Data], 12, FALSE)</f>
        <v>10</v>
      </c>
      <c r="O167" s="38">
        <f>VLOOKUP($A167, [6]!ProductsTable[#Data], 13, FALSE)</f>
        <v>5</v>
      </c>
      <c r="R167" s="38" t="str">
        <f>VLOOKUP($A167, [6]!ProductsTable[#Data], 14, FALSE)</f>
        <v>1-Victron</v>
      </c>
      <c r="AE167" t="e">
        <f>COUNTIF('[7]product-export'!$A$2:$A$379, A167)</f>
        <v>#VALUE!</v>
      </c>
    </row>
    <row r="168" spans="1:31" x14ac:dyDescent="0.25">
      <c r="A168" s="76" t="s">
        <v>561</v>
      </c>
      <c r="B168" s="38" t="str">
        <f>VLOOKUP($A168, [6]!ProductsTable[#Data], 2, FALSE)</f>
        <v>Inverters</v>
      </c>
      <c r="C168" s="8" t="s">
        <v>217</v>
      </c>
      <c r="D168" s="8" t="s">
        <v>168</v>
      </c>
      <c r="E168" s="38" t="str">
        <f>VLOOKUP($A168, [6]!ProductsTable[#Data], 3, FALSE)</f>
        <v>SMA</v>
      </c>
      <c r="F168" s="38" t="str">
        <f>VLOOKUP($A168, [6]!ProductsTable[#Data], 4, FALSE)</f>
        <v>Sunny Tripower 3.0 KW</v>
      </c>
      <c r="G168" s="38" t="str">
        <f>VLOOKUP($A168, [6]!ProductsTable[#Data], 5, FALSE)</f>
        <v>STP-3.0-3AV-40</v>
      </c>
      <c r="I168" s="41" t="e">
        <f>VLOOKUP($A168, [6]!ProductsTable[#Data], 7, FALSE)</f>
        <v>#REF!</v>
      </c>
      <c r="J168" s="39" t="e">
        <f>VLOOKUP($A168, [6]!ProductsTable[#Data], 8, FALSE)</f>
        <v>#REF!</v>
      </c>
      <c r="K168">
        <f>VLOOKUP($A168, [6]!ProductsTable[#Data], 9, FALSE)</f>
        <v>0</v>
      </c>
      <c r="L168" s="38">
        <f>VLOOKUP($A168, [6]!ProductsTable[#Data], 10, FALSE)</f>
        <v>17</v>
      </c>
      <c r="M168" s="38">
        <f>VLOOKUP($A168, [6]!ProductsTable[#Data], 11, FALSE)</f>
        <v>43.5</v>
      </c>
      <c r="N168" s="38">
        <f>VLOOKUP($A168, [6]!ProductsTable[#Data], 12, FALSE)</f>
        <v>47</v>
      </c>
      <c r="O168" s="38">
        <f>VLOOKUP($A168, [6]!ProductsTable[#Data], 13, FALSE)</f>
        <v>17.600000000000001</v>
      </c>
      <c r="R168" s="38" t="str">
        <f>VLOOKUP($A168, [6]!ProductsTable[#Data], 14, FALSE)</f>
        <v>2-Krannich</v>
      </c>
      <c r="AE168" t="e">
        <f>COUNTIF('[7]product-export'!$A$2:$A$379, A168)</f>
        <v>#VALUE!</v>
      </c>
    </row>
    <row r="169" spans="1:31" x14ac:dyDescent="0.25">
      <c r="A169" s="76" t="s">
        <v>562</v>
      </c>
      <c r="B169" s="38" t="str">
        <f>VLOOKUP($A169, [6]!ProductsTable[#Data], 2, FALSE)</f>
        <v>Inverters</v>
      </c>
      <c r="C169" s="8" t="s">
        <v>217</v>
      </c>
      <c r="D169" s="8" t="s">
        <v>168</v>
      </c>
      <c r="E169" s="38" t="str">
        <f>VLOOKUP($A169, [6]!ProductsTable[#Data], 3, FALSE)</f>
        <v>SMA</v>
      </c>
      <c r="F169" s="38" t="str">
        <f>VLOOKUP($A169, [6]!ProductsTable[#Data], 4, FALSE)</f>
        <v>Sunny Tripower 4.0 KW</v>
      </c>
      <c r="G169" s="38" t="str">
        <f>VLOOKUP($A169, [6]!ProductsTable[#Data], 5, FALSE)</f>
        <v>STP-4.0-3AV-40</v>
      </c>
      <c r="I169" s="41" t="e">
        <f>VLOOKUP($A169, [6]!ProductsTable[#Data], 7, FALSE)</f>
        <v>#REF!</v>
      </c>
      <c r="J169" s="39" t="e">
        <f>VLOOKUP($A169, [6]!ProductsTable[#Data], 8, FALSE)</f>
        <v>#REF!</v>
      </c>
      <c r="K169">
        <f>VLOOKUP($A169, [6]!ProductsTable[#Data], 9, FALSE)</f>
        <v>0</v>
      </c>
      <c r="L169" s="38">
        <f>VLOOKUP($A169, [6]!ProductsTable[#Data], 10, FALSE)</f>
        <v>17</v>
      </c>
      <c r="M169" s="38">
        <f>VLOOKUP($A169, [6]!ProductsTable[#Data], 11, FALSE)</f>
        <v>43.5</v>
      </c>
      <c r="N169" s="38">
        <f>VLOOKUP($A169, [6]!ProductsTable[#Data], 12, FALSE)</f>
        <v>47</v>
      </c>
      <c r="O169" s="38">
        <f>VLOOKUP($A169, [6]!ProductsTable[#Data], 13, FALSE)</f>
        <v>17.600000000000001</v>
      </c>
      <c r="R169" s="38" t="str">
        <f>VLOOKUP($A169, [6]!ProductsTable[#Data], 14, FALSE)</f>
        <v>2-Krannich</v>
      </c>
      <c r="AE169" t="e">
        <f>COUNTIF('[7]product-export'!$A$2:$A$379, A169)</f>
        <v>#VALUE!</v>
      </c>
    </row>
    <row r="170" spans="1:31" x14ac:dyDescent="0.25">
      <c r="A170" s="76" t="s">
        <v>565</v>
      </c>
      <c r="B170" s="38" t="str">
        <f>VLOOKUP($A170, [6]!ProductsTable[#Data], 2, FALSE)</f>
        <v>Inverters</v>
      </c>
      <c r="C170" s="8" t="s">
        <v>217</v>
      </c>
      <c r="D170" s="8" t="s">
        <v>168</v>
      </c>
      <c r="E170" s="38" t="str">
        <f>VLOOKUP($A170, [6]!ProductsTable[#Data], 3, FALSE)</f>
        <v>SMA</v>
      </c>
      <c r="F170" s="38" t="str">
        <f>VLOOKUP($A170, [6]!ProductsTable[#Data], 4, FALSE)</f>
        <v>Sunny Tripower 8.0 KW</v>
      </c>
      <c r="G170" s="38" t="str">
        <f>VLOOKUP($A170, [6]!ProductsTable[#Data], 5, FALSE)</f>
        <v>STP-8.0-3AV-40</v>
      </c>
      <c r="I170" s="41" t="e">
        <f>VLOOKUP($A170, [6]!ProductsTable[#Data], 7, FALSE)</f>
        <v>#REF!</v>
      </c>
      <c r="J170" s="39" t="e">
        <f>VLOOKUP($A170, [6]!ProductsTable[#Data], 8, FALSE)</f>
        <v>#REF!</v>
      </c>
      <c r="K170">
        <f>VLOOKUP($A170, [6]!ProductsTable[#Data], 9, FALSE)</f>
        <v>0</v>
      </c>
      <c r="L170" s="38">
        <f>VLOOKUP($A170, [6]!ProductsTable[#Data], 10, FALSE)</f>
        <v>20.5</v>
      </c>
      <c r="M170" s="38">
        <f>VLOOKUP($A170, [6]!ProductsTable[#Data], 11, FALSE)</f>
        <v>46</v>
      </c>
      <c r="N170" s="38">
        <f>VLOOKUP($A170, [6]!ProductsTable[#Data], 12, FALSE)</f>
        <v>49.7</v>
      </c>
      <c r="O170" s="38">
        <f>VLOOKUP($A170, [6]!ProductsTable[#Data], 13, FALSE)</f>
        <v>17.600000000000001</v>
      </c>
      <c r="R170" s="38" t="str">
        <f>VLOOKUP($A170, [6]!ProductsTable[#Data], 14, FALSE)</f>
        <v>2-Krannich</v>
      </c>
      <c r="AE170" t="e">
        <f>COUNTIF('[7]product-export'!$A$2:$A$379, A170)</f>
        <v>#VALUE!</v>
      </c>
    </row>
    <row r="171" spans="1:31" x14ac:dyDescent="0.25">
      <c r="A171" s="76" t="s">
        <v>89</v>
      </c>
      <c r="B171" s="38" t="str">
        <f>VLOOKUP($A171, [6]!ProductsTable[#Data], 2, FALSE)</f>
        <v>Control</v>
      </c>
      <c r="C171" s="8" t="s">
        <v>153</v>
      </c>
      <c r="D171" s="8" t="s">
        <v>182</v>
      </c>
      <c r="E171" s="38" t="str">
        <f>VLOOKUP($A171, [6]!ProductsTable[#Data], 3, FALSE)</f>
        <v>Victron</v>
      </c>
      <c r="F171" s="38" t="str">
        <f>VLOOKUP($A171, [6]!ProductsTable[#Data], 4, FALSE)</f>
        <v>Temperature sensor for Venus GX</v>
      </c>
      <c r="G171" s="38" t="str">
        <f>VLOOKUP($A171, [6]!ProductsTable[#Data], 5, FALSE)</f>
        <v>ASS000001000</v>
      </c>
      <c r="I171" s="41" t="e">
        <f>VLOOKUP($A171, [6]!ProductsTable[#Data], 7, FALSE)</f>
        <v>#REF!</v>
      </c>
      <c r="J171" s="39" t="e">
        <f>VLOOKUP($A171, [6]!ProductsTable[#Data], 8, FALSE)</f>
        <v>#REF!</v>
      </c>
      <c r="K171">
        <f>VLOOKUP($A171, [6]!ProductsTable[#Data], 9, FALSE)</f>
        <v>0</v>
      </c>
      <c r="L171" s="38">
        <f>VLOOKUP($A171, [6]!ProductsTable[#Data], 10, FALSE)</f>
        <v>0.1</v>
      </c>
      <c r="M171" s="38">
        <f>VLOOKUP($A171, [6]!ProductsTable[#Data], 11, FALSE)</f>
        <v>10</v>
      </c>
      <c r="N171" s="38">
        <f>VLOOKUP($A171, [6]!ProductsTable[#Data], 12, FALSE)</f>
        <v>3</v>
      </c>
      <c r="O171" s="38">
        <f>VLOOKUP($A171, [6]!ProductsTable[#Data], 13, FALSE)</f>
        <v>2</v>
      </c>
      <c r="R171" s="38" t="str">
        <f>VLOOKUP($A171, [6]!ProductsTable[#Data], 14, FALSE)</f>
        <v>1-Victron</v>
      </c>
      <c r="AE171" t="e">
        <f>COUNTIF('[7]product-export'!$A$2:$A$379, A171)</f>
        <v>#VALUE!</v>
      </c>
    </row>
    <row r="172" spans="1:31" x14ac:dyDescent="0.25">
      <c r="A172" s="76" t="s">
        <v>566</v>
      </c>
      <c r="B172" s="38" t="str">
        <f>VLOOKUP($A172, [6]!ProductsTable[#Data], 2, FALSE)</f>
        <v>Inverters</v>
      </c>
      <c r="C172" s="8" t="s">
        <v>217</v>
      </c>
      <c r="D172" s="8" t="s">
        <v>168</v>
      </c>
      <c r="E172" s="38" t="str">
        <f>VLOOKUP($A172, [6]!ProductsTable[#Data], 3, FALSE)</f>
        <v>SMA</v>
      </c>
      <c r="F172" s="38" t="str">
        <f>VLOOKUP($A172, [6]!ProductsTable[#Data], 4, FALSE)</f>
        <v>Sunny Tripower 10.0 KW</v>
      </c>
      <c r="G172" s="38" t="str">
        <f>VLOOKUP($A172, [6]!ProductsTable[#Data], 5, FALSE)</f>
        <v>STP-10.0-3AV-40</v>
      </c>
      <c r="I172" s="41" t="e">
        <f>VLOOKUP($A172, [6]!ProductsTable[#Data], 7, FALSE)</f>
        <v>#REF!</v>
      </c>
      <c r="J172" s="39" t="e">
        <f>VLOOKUP($A172, [6]!ProductsTable[#Data], 8, FALSE)</f>
        <v>#REF!</v>
      </c>
      <c r="K172">
        <f>VLOOKUP($A172, [6]!ProductsTable[#Data], 9, FALSE)</f>
        <v>0</v>
      </c>
      <c r="L172" s="38">
        <f>VLOOKUP($A172, [6]!ProductsTable[#Data], 10, FALSE)</f>
        <v>20.5</v>
      </c>
      <c r="M172" s="38">
        <f>VLOOKUP($A172, [6]!ProductsTable[#Data], 11, FALSE)</f>
        <v>46</v>
      </c>
      <c r="N172" s="38">
        <f>VLOOKUP($A172, [6]!ProductsTable[#Data], 12, FALSE)</f>
        <v>49.7</v>
      </c>
      <c r="O172" s="38">
        <f>VLOOKUP($A172, [6]!ProductsTable[#Data], 13, FALSE)</f>
        <v>17.600000000000001</v>
      </c>
      <c r="R172" s="38" t="str">
        <f>VLOOKUP($A172, [6]!ProductsTable[#Data], 14, FALSE)</f>
        <v>2-Krannich</v>
      </c>
      <c r="AE172" t="e">
        <f>COUNTIF('[7]product-export'!$A$2:$A$379, A172)</f>
        <v>#VALUE!</v>
      </c>
    </row>
    <row r="173" spans="1:31" x14ac:dyDescent="0.25">
      <c r="A173" s="76" t="s">
        <v>326</v>
      </c>
      <c r="B173" s="38" t="str">
        <f>VLOOKUP($A173, [6]!ProductsTable[#Data], 2, FALSE)</f>
        <v>Control</v>
      </c>
      <c r="C173" s="8" t="s">
        <v>153</v>
      </c>
      <c r="D173" s="8" t="s">
        <v>181</v>
      </c>
      <c r="E173" s="38" t="str">
        <f>VLOOKUP($A173, [6]!ProductsTable[#Data], 3, FALSE)</f>
        <v>VICTRON</v>
      </c>
      <c r="F173" s="38" t="str">
        <f>VLOOKUP($A173, [6]!ProductsTable[#Data], 4, FALSE)</f>
        <v>Battery monitor BMV 700 - Grey</v>
      </c>
      <c r="G173" s="38" t="str">
        <f>VLOOKUP($A173, [6]!ProductsTable[#Data], 5, FALSE)</f>
        <v>BAM010700000R</v>
      </c>
      <c r="I173" s="41" t="e">
        <f>VLOOKUP($A173, [6]!ProductsTable[#Data], 7, FALSE)</f>
        <v>#REF!</v>
      </c>
      <c r="J173" s="39" t="e">
        <f>VLOOKUP($A173, [6]!ProductsTable[#Data], 8, FALSE)</f>
        <v>#REF!</v>
      </c>
      <c r="K173">
        <f>VLOOKUP($A173, [6]!ProductsTable[#Data], 9, FALSE)</f>
        <v>0</v>
      </c>
      <c r="L173" s="38">
        <f>VLOOKUP($A173, [6]!ProductsTable[#Data], 10, FALSE)</f>
        <v>0.3</v>
      </c>
      <c r="M173" s="38">
        <f>VLOOKUP($A173, [6]!ProductsTable[#Data], 11, FALSE)</f>
        <v>6.5</v>
      </c>
      <c r="N173" s="38">
        <f>VLOOKUP($A173, [6]!ProductsTable[#Data], 12, FALSE)</f>
        <v>6.5</v>
      </c>
      <c r="O173" s="38">
        <f>VLOOKUP($A173, [6]!ProductsTable[#Data], 13, FALSE)</f>
        <v>3</v>
      </c>
      <c r="R173" s="38" t="str">
        <f>VLOOKUP($A173, [6]!ProductsTable[#Data], 14, FALSE)</f>
        <v>1-Victron</v>
      </c>
      <c r="AE173" t="e">
        <f>COUNTIF('[7]product-export'!$A$2:$A$379, A173)</f>
        <v>#VALUE!</v>
      </c>
    </row>
    <row r="174" spans="1:31" x14ac:dyDescent="0.25">
      <c r="A174" s="76" t="s">
        <v>329</v>
      </c>
      <c r="B174" s="38" t="str">
        <f>VLOOKUP($A174, [6]!ProductsTable[#Data], 2, FALSE)</f>
        <v>Control</v>
      </c>
      <c r="C174" s="8" t="s">
        <v>153</v>
      </c>
      <c r="D174" s="8" t="s">
        <v>181</v>
      </c>
      <c r="E174" s="38" t="str">
        <f>VLOOKUP($A174, [6]!ProductsTable[#Data], 3, FALSE)</f>
        <v>VICTRON</v>
      </c>
      <c r="F174" s="38" t="str">
        <f>VLOOKUP($A174, [6]!ProductsTable[#Data], 4, FALSE)</f>
        <v>Battery monitor BMV 712 Smart - Grey</v>
      </c>
      <c r="G174" s="38" t="str">
        <f>VLOOKUP($A174, [6]!ProductsTable[#Data], 5, FALSE)</f>
        <v>BAM030712000R</v>
      </c>
      <c r="I174" s="41" t="e">
        <f>VLOOKUP($A174, [6]!ProductsTable[#Data], 7, FALSE)</f>
        <v>#REF!</v>
      </c>
      <c r="J174" s="39" t="e">
        <f>VLOOKUP($A174, [6]!ProductsTable[#Data], 8, FALSE)</f>
        <v>#REF!</v>
      </c>
      <c r="K174">
        <f>VLOOKUP($A174, [6]!ProductsTable[#Data], 9, FALSE)</f>
        <v>0</v>
      </c>
      <c r="L174" s="38">
        <f>VLOOKUP($A174, [6]!ProductsTable[#Data], 10, FALSE)</f>
        <v>0.3</v>
      </c>
      <c r="M174" s="38">
        <f>VLOOKUP($A174, [6]!ProductsTable[#Data], 11, FALSE)</f>
        <v>6.5</v>
      </c>
      <c r="N174" s="38">
        <f>VLOOKUP($A174, [6]!ProductsTable[#Data], 12, FALSE)</f>
        <v>6.5</v>
      </c>
      <c r="O174" s="38">
        <f>VLOOKUP($A174, [6]!ProductsTable[#Data], 13, FALSE)</f>
        <v>3</v>
      </c>
      <c r="R174" s="38" t="str">
        <f>VLOOKUP($A174, [6]!ProductsTable[#Data], 14, FALSE)</f>
        <v>1-Victron</v>
      </c>
      <c r="AE174" t="e">
        <f>COUNTIF('[7]product-export'!$A$2:$A$379, A174)</f>
        <v>#VALUE!</v>
      </c>
    </row>
    <row r="175" spans="1:31" x14ac:dyDescent="0.25">
      <c r="A175" s="76" t="s">
        <v>94</v>
      </c>
      <c r="B175" s="38" t="str">
        <f>VLOOKUP($A175, [6]!ProductsTable[#Data], 2, FALSE)</f>
        <v>Inverter-Chargers</v>
      </c>
      <c r="C175" s="8" t="s">
        <v>153</v>
      </c>
      <c r="D175" s="8" t="s">
        <v>182</v>
      </c>
      <c r="E175" s="38" t="str">
        <f>VLOOKUP($A175, [6]!ProductsTable[#Data], 3, FALSE)</f>
        <v>VICTRON</v>
      </c>
      <c r="F175" s="38" t="str">
        <f>VLOOKUP($A175, [6]!ProductsTable[#Data], 4, FALSE)</f>
        <v>Current Transformer for Multiplus II</v>
      </c>
      <c r="G175" s="38" t="str">
        <f>VLOOKUP($A175, [6]!ProductsTable[#Data], 5, FALSE)</f>
        <v>CTR110000500</v>
      </c>
      <c r="I175" s="41" t="e">
        <f>VLOOKUP($A175, [6]!ProductsTable[#Data], 7, FALSE)</f>
        <v>#REF!</v>
      </c>
      <c r="J175" s="39" t="e">
        <f>VLOOKUP($A175, [6]!ProductsTable[#Data], 8, FALSE)</f>
        <v>#REF!</v>
      </c>
      <c r="K175">
        <f>VLOOKUP($A175, [6]!ProductsTable[#Data], 9, FALSE)</f>
        <v>0</v>
      </c>
      <c r="L175" s="38">
        <f>VLOOKUP($A175, [6]!ProductsTable[#Data], 10, FALSE)</f>
        <v>0.1</v>
      </c>
      <c r="M175" s="38">
        <f>VLOOKUP($A175, [6]!ProductsTable[#Data], 11, FALSE)</f>
        <v>8</v>
      </c>
      <c r="N175" s="38">
        <f>VLOOKUP($A175, [6]!ProductsTable[#Data], 12, FALSE)</f>
        <v>4</v>
      </c>
      <c r="O175" s="38">
        <f>VLOOKUP($A175, [6]!ProductsTable[#Data], 13, FALSE)</f>
        <v>3</v>
      </c>
      <c r="R175" s="38" t="str">
        <f>VLOOKUP($A175, [6]!ProductsTable[#Data], 14, FALSE)</f>
        <v>1-Victron</v>
      </c>
      <c r="AE175" t="e">
        <f>COUNTIF('[7]product-export'!$A$2:$A$379, A175)</f>
        <v>#VALUE!</v>
      </c>
    </row>
    <row r="176" spans="1:31" x14ac:dyDescent="0.25">
      <c r="A176" s="76" t="s">
        <v>309</v>
      </c>
      <c r="B176" s="38" t="str">
        <f>VLOOKUP($A176, [6]!ProductsTable[#Data], 2, FALSE)</f>
        <v>Batteries</v>
      </c>
      <c r="C176" s="8" t="s">
        <v>149</v>
      </c>
      <c r="D176" s="8" t="s">
        <v>161</v>
      </c>
      <c r="E176" s="38" t="str">
        <f>VLOOKUP($A176, [6]!ProductsTable[#Data], 3, FALSE)</f>
        <v>LG</v>
      </c>
      <c r="F176" s="38" t="str">
        <f>VLOOKUP($A176, [6]!ProductsTable[#Data], 4, FALSE)</f>
        <v>LG Chem RESU 6.5KWh 48V Lithium Battery</v>
      </c>
      <c r="G176" s="38" t="str">
        <f>VLOOKUP($A176, [6]!ProductsTable[#Data], 5, FALSE)</f>
        <v>RESU6.5</v>
      </c>
      <c r="I176" s="41" t="e">
        <f>VLOOKUP($A176, [6]!ProductsTable[#Data], 7, FALSE)</f>
        <v>#REF!</v>
      </c>
      <c r="J176" s="39" t="e">
        <f>VLOOKUP($A176, [6]!ProductsTable[#Data], 8, FALSE)</f>
        <v>#REF!</v>
      </c>
      <c r="K176">
        <f>VLOOKUP($A176, [6]!ProductsTable[#Data], 9, FALSE)</f>
        <v>0</v>
      </c>
      <c r="L176" s="38">
        <f>VLOOKUP($A176, [6]!ProductsTable[#Data], 10, FALSE)</f>
        <v>52</v>
      </c>
      <c r="M176" s="38">
        <f>VLOOKUP($A176, [6]!ProductsTable[#Data], 11, FALSE)</f>
        <v>45.2</v>
      </c>
      <c r="N176" s="38">
        <f>VLOOKUP($A176, [6]!ProductsTable[#Data], 12, FALSE)</f>
        <v>65.599999999999994</v>
      </c>
      <c r="O176" s="38">
        <f>VLOOKUP($A176, [6]!ProductsTable[#Data], 13, FALSE)</f>
        <v>12</v>
      </c>
      <c r="R176" s="38" t="str">
        <f>VLOOKUP($A176, [6]!ProductsTable[#Data], 14, FALSE)</f>
        <v>2-Krannich</v>
      </c>
      <c r="AE176" t="e">
        <f>COUNTIF('[7]product-export'!$A$2:$A$379, A176)</f>
        <v>#VALUE!</v>
      </c>
    </row>
    <row r="177" spans="1:31" x14ac:dyDescent="0.25">
      <c r="A177" s="76" t="s">
        <v>310</v>
      </c>
      <c r="B177" s="38" t="str">
        <f>VLOOKUP($A177, [6]!ProductsTable[#Data], 2, FALSE)</f>
        <v>Batteries</v>
      </c>
      <c r="C177" s="8" t="s">
        <v>149</v>
      </c>
      <c r="D177" s="8" t="s">
        <v>161</v>
      </c>
      <c r="E177" s="38" t="str">
        <f>VLOOKUP($A177, [6]!ProductsTable[#Data], 3, FALSE)</f>
        <v>LG</v>
      </c>
      <c r="F177" s="38" t="str">
        <f>VLOOKUP($A177, [6]!ProductsTable[#Data], 4, FALSE)</f>
        <v>LG Chem RESU 10KWh 48V Lithium Battery</v>
      </c>
      <c r="G177" s="38" t="str">
        <f>VLOOKUP($A177, [6]!ProductsTable[#Data], 5, FALSE)</f>
        <v>RESU10</v>
      </c>
      <c r="I177" s="41" t="e">
        <f>VLOOKUP($A177, [6]!ProductsTable[#Data], 7, FALSE)</f>
        <v>#REF!</v>
      </c>
      <c r="J177" s="39" t="e">
        <f>VLOOKUP($A177, [6]!ProductsTable[#Data], 8, FALSE)</f>
        <v>#REF!</v>
      </c>
      <c r="K177">
        <f>VLOOKUP($A177, [6]!ProductsTable[#Data], 9, FALSE)</f>
        <v>0</v>
      </c>
      <c r="L177" s="38">
        <f>VLOOKUP($A177, [6]!ProductsTable[#Data], 10, FALSE)</f>
        <v>75</v>
      </c>
      <c r="M177" s="38">
        <f>VLOOKUP($A177, [6]!ProductsTable[#Data], 11, FALSE)</f>
        <v>45.5</v>
      </c>
      <c r="N177" s="38">
        <f>VLOOKUP($A177, [6]!ProductsTable[#Data], 12, FALSE)</f>
        <v>48.4</v>
      </c>
      <c r="O177" s="38">
        <f>VLOOKUP($A177, [6]!ProductsTable[#Data], 13, FALSE)</f>
        <v>22.7</v>
      </c>
      <c r="R177" s="38" t="str">
        <f>VLOOKUP($A177, [6]!ProductsTable[#Data], 14, FALSE)</f>
        <v>2-Krannich</v>
      </c>
      <c r="AE177" t="e">
        <f>COUNTIF('[7]product-export'!$A$2:$A$379, A177)</f>
        <v>#VALUE!</v>
      </c>
    </row>
    <row r="178" spans="1:31" x14ac:dyDescent="0.25">
      <c r="A178" s="76" t="s">
        <v>137</v>
      </c>
      <c r="B178" s="38" t="str">
        <f>VLOOKUP($A178, [6]!ProductsTable[#Data], 2, FALSE)</f>
        <v>Batteries</v>
      </c>
      <c r="C178" s="8" t="s">
        <v>149</v>
      </c>
      <c r="D178" s="8" t="s">
        <v>161</v>
      </c>
      <c r="E178" s="38" t="str">
        <f>VLOOKUP($A178, [6]!ProductsTable[#Data], 3, FALSE)</f>
        <v>LG</v>
      </c>
      <c r="F178" s="38" t="str">
        <f>VLOOKUP($A178, [6]!ProductsTable[#Data], 4, FALSE)</f>
        <v>LG Chem RESU 13KWh 48V Lithium Battery</v>
      </c>
      <c r="G178" s="38" t="str">
        <f>VLOOKUP($A178, [6]!ProductsTable[#Data], 5, FALSE)</f>
        <v>RESU13</v>
      </c>
      <c r="I178" s="41" t="e">
        <f>VLOOKUP($A178, [6]!ProductsTable[#Data], 7, FALSE)</f>
        <v>#REF!</v>
      </c>
      <c r="J178" s="39" t="e">
        <f>VLOOKUP($A178, [6]!ProductsTable[#Data], 8, FALSE)</f>
        <v>#REF!</v>
      </c>
      <c r="K178">
        <f>VLOOKUP($A178, [6]!ProductsTable[#Data], 9, FALSE)</f>
        <v>0</v>
      </c>
      <c r="L178" s="38">
        <f>VLOOKUP($A178, [6]!ProductsTable[#Data], 10, FALSE)</f>
        <v>99</v>
      </c>
      <c r="M178" s="38">
        <f>VLOOKUP($A178, [6]!ProductsTable[#Data], 11, FALSE)</f>
        <v>45.2</v>
      </c>
      <c r="N178" s="38">
        <f>VLOOKUP($A178, [6]!ProductsTable[#Data], 12, FALSE)</f>
        <v>62.6</v>
      </c>
      <c r="O178" s="38">
        <f>VLOOKUP($A178, [6]!ProductsTable[#Data], 13, FALSE)</f>
        <v>22.7</v>
      </c>
      <c r="R178" s="38" t="str">
        <f>VLOOKUP($A178, [6]!ProductsTable[#Data], 14, FALSE)</f>
        <v>2-Krannich</v>
      </c>
      <c r="AE178" t="e">
        <f>COUNTIF('[7]product-export'!$A$2:$A$379, A178)</f>
        <v>#VALUE!</v>
      </c>
    </row>
    <row r="179" spans="1:31" x14ac:dyDescent="0.25">
      <c r="A179" s="76" t="s">
        <v>311</v>
      </c>
      <c r="B179" s="38" t="str">
        <f>VLOOKUP($A179, [6]!ProductsTable[#Data], 2, FALSE)</f>
        <v>Inverters</v>
      </c>
      <c r="C179" s="8" t="s">
        <v>217</v>
      </c>
      <c r="D179" s="8" t="s">
        <v>168</v>
      </c>
      <c r="E179" s="38" t="str">
        <f>VLOOKUP($A179, [6]!ProductsTable[#Data], 3, FALSE)</f>
        <v>Fronius</v>
      </c>
      <c r="F179" s="38" t="str">
        <f>VLOOKUP($A179, [6]!ProductsTable[#Data], 4, FALSE)</f>
        <v>Symo 12.5kW Grid 3Ph Inverter</v>
      </c>
      <c r="G179" s="38" t="str">
        <f>VLOOKUP($A179, [6]!ProductsTable[#Data], 5, FALSE)</f>
        <v>Symo-12.5-3-M</v>
      </c>
      <c r="I179" s="41" t="e">
        <f>VLOOKUP($A179, [6]!ProductsTable[#Data], 7, FALSE)</f>
        <v>#REF!</v>
      </c>
      <c r="J179" s="39" t="e">
        <f>VLOOKUP($A179, [6]!ProductsTable[#Data], 8, FALSE)</f>
        <v>#REF!</v>
      </c>
      <c r="K179">
        <f>VLOOKUP($A179, [6]!ProductsTable[#Data], 9, FALSE)</f>
        <v>0</v>
      </c>
      <c r="L179" s="38">
        <f>VLOOKUP($A179, [6]!ProductsTable[#Data], 10, FALSE)</f>
        <v>34.799999999999997</v>
      </c>
      <c r="M179" s="38">
        <f>VLOOKUP($A179, [6]!ProductsTable[#Data], 11, FALSE)</f>
        <v>72.5</v>
      </c>
      <c r="N179" s="38">
        <f>VLOOKUP($A179, [6]!ProductsTable[#Data], 12, FALSE)</f>
        <v>5.0999999999999996</v>
      </c>
      <c r="O179" s="38">
        <f>VLOOKUP($A179, [6]!ProductsTable[#Data], 13, FALSE)</f>
        <v>22.5</v>
      </c>
      <c r="R179" s="38" t="str">
        <f>VLOOKUP($A179, [6]!ProductsTable[#Data], 14, FALSE)</f>
        <v>2-Krannich</v>
      </c>
      <c r="AE179" t="e">
        <f>COUNTIF('[7]product-export'!$A$2:$A$379, A179)</f>
        <v>#VALUE!</v>
      </c>
    </row>
    <row r="180" spans="1:31" x14ac:dyDescent="0.25">
      <c r="A180" s="76" t="s">
        <v>321</v>
      </c>
      <c r="B180" s="38" t="str">
        <f>VLOOKUP($A180, [6]!ProductsTable[#Data], 2, FALSE)</f>
        <v>Inverters</v>
      </c>
      <c r="C180" s="8" t="s">
        <v>217</v>
      </c>
      <c r="D180" s="8" t="s">
        <v>168</v>
      </c>
      <c r="E180" s="38" t="str">
        <f>VLOOKUP($A180, [6]!ProductsTable[#Data], 3, FALSE)</f>
        <v>Fronius</v>
      </c>
      <c r="F180" s="38" t="str">
        <f>VLOOKUP($A180, [6]!ProductsTable[#Data], 4, FALSE)</f>
        <v>Symo 10.0KW 3ph Inverter</v>
      </c>
      <c r="G180" s="38" t="str">
        <f>VLOOKUP($A180, [6]!ProductsTable[#Data], 5, FALSE)</f>
        <v>Symo-10.0-3-M</v>
      </c>
      <c r="I180" s="41" t="e">
        <f>VLOOKUP($A180, [6]!ProductsTable[#Data], 7, FALSE)</f>
        <v>#REF!</v>
      </c>
      <c r="J180" s="39" t="e">
        <f>VLOOKUP($A180, [6]!ProductsTable[#Data], 8, FALSE)</f>
        <v>#REF!</v>
      </c>
      <c r="K180">
        <f>VLOOKUP($A180, [6]!ProductsTable[#Data], 9, FALSE)</f>
        <v>0</v>
      </c>
      <c r="L180" s="38">
        <f>VLOOKUP($A180, [6]!ProductsTable[#Data], 10, FALSE)</f>
        <v>34.799999999999997</v>
      </c>
      <c r="M180" s="38">
        <f>VLOOKUP($A180, [6]!ProductsTable[#Data], 11, FALSE)</f>
        <v>72.5</v>
      </c>
      <c r="N180" s="38">
        <f>VLOOKUP($A180, [6]!ProductsTable[#Data], 12, FALSE)</f>
        <v>51</v>
      </c>
      <c r="O180" s="38">
        <f>VLOOKUP($A180, [6]!ProductsTable[#Data], 13, FALSE)</f>
        <v>22.5</v>
      </c>
      <c r="R180" s="38" t="str">
        <f>VLOOKUP($A180, [6]!ProductsTable[#Data], 14, FALSE)</f>
        <v>2-Krannich</v>
      </c>
      <c r="AE180" t="e">
        <f>COUNTIF('[7]product-export'!$A$2:$A$379, A180)</f>
        <v>#VALUE!</v>
      </c>
    </row>
    <row r="181" spans="1:31" x14ac:dyDescent="0.25">
      <c r="A181" s="76" t="s">
        <v>322</v>
      </c>
      <c r="B181" s="38" t="str">
        <f>VLOOKUP($A181, [6]!ProductsTable[#Data], 2, FALSE)</f>
        <v>Inverters</v>
      </c>
      <c r="C181" s="8" t="s">
        <v>217</v>
      </c>
      <c r="D181" s="8" t="s">
        <v>168</v>
      </c>
      <c r="E181" s="38" t="str">
        <f>VLOOKUP($A181, [6]!ProductsTable[#Data], 3, FALSE)</f>
        <v>Fronius</v>
      </c>
      <c r="F181" s="38" t="str">
        <f>VLOOKUP($A181, [6]!ProductsTable[#Data], 4, FALSE)</f>
        <v>Symo 15.0KW 3ph Inverter</v>
      </c>
      <c r="G181" s="38" t="str">
        <f>VLOOKUP($A181, [6]!ProductsTable[#Data], 5, FALSE)</f>
        <v>Symo-15.0-3-M</v>
      </c>
      <c r="I181" s="41" t="e">
        <f>VLOOKUP($A181, [6]!ProductsTable[#Data], 7, FALSE)</f>
        <v>#REF!</v>
      </c>
      <c r="J181" s="39" t="e">
        <f>VLOOKUP($A181, [6]!ProductsTable[#Data], 8, FALSE)</f>
        <v>#REF!</v>
      </c>
      <c r="K181">
        <f>VLOOKUP($A181, [6]!ProductsTable[#Data], 9, FALSE)</f>
        <v>0</v>
      </c>
      <c r="L181" s="38">
        <f>VLOOKUP($A181, [6]!ProductsTable[#Data], 10, FALSE)</f>
        <v>43.4</v>
      </c>
      <c r="M181" s="38">
        <f>VLOOKUP($A181, [6]!ProductsTable[#Data], 11, FALSE)</f>
        <v>72.5</v>
      </c>
      <c r="N181" s="38">
        <f>VLOOKUP($A181, [6]!ProductsTable[#Data], 12, FALSE)</f>
        <v>51</v>
      </c>
      <c r="O181" s="38">
        <f>VLOOKUP($A181, [6]!ProductsTable[#Data], 13, FALSE)</f>
        <v>22.5</v>
      </c>
      <c r="R181" s="38" t="str">
        <f>VLOOKUP($A181, [6]!ProductsTable[#Data], 14, FALSE)</f>
        <v>2-Krannich</v>
      </c>
      <c r="AE181" t="e">
        <f>COUNTIF('[7]product-export'!$A$2:$A$379, A181)</f>
        <v>#VALUE!</v>
      </c>
    </row>
    <row r="182" spans="1:31" x14ac:dyDescent="0.25">
      <c r="A182" s="76" t="s">
        <v>323</v>
      </c>
      <c r="B182" s="38" t="str">
        <f>VLOOKUP($A182, [6]!ProductsTable[#Data], 2, FALSE)</f>
        <v>Inverters</v>
      </c>
      <c r="C182" s="8" t="s">
        <v>217</v>
      </c>
      <c r="D182" s="8" t="s">
        <v>168</v>
      </c>
      <c r="E182" s="38" t="str">
        <f>VLOOKUP($A182, [6]!ProductsTable[#Data], 3, FALSE)</f>
        <v>Fronius</v>
      </c>
      <c r="F182" s="38" t="str">
        <f>VLOOKUP($A182, [6]!ProductsTable[#Data], 4, FALSE)</f>
        <v>Symo 17.5KW 3ph Inverter</v>
      </c>
      <c r="G182" s="38" t="str">
        <f>VLOOKUP($A182, [6]!ProductsTable[#Data], 5, FALSE)</f>
        <v>Symo-17.5-3-M</v>
      </c>
      <c r="I182" s="41" t="e">
        <f>VLOOKUP($A182, [6]!ProductsTable[#Data], 7, FALSE)</f>
        <v>#REF!</v>
      </c>
      <c r="J182" s="39" t="e">
        <f>VLOOKUP($A182, [6]!ProductsTable[#Data], 8, FALSE)</f>
        <v>#REF!</v>
      </c>
      <c r="K182">
        <f>VLOOKUP($A182, [6]!ProductsTable[#Data], 9, FALSE)</f>
        <v>0</v>
      </c>
      <c r="L182" s="38">
        <f>VLOOKUP($A182, [6]!ProductsTable[#Data], 10, FALSE)</f>
        <v>43.4</v>
      </c>
      <c r="M182" s="38">
        <f>VLOOKUP($A182, [6]!ProductsTable[#Data], 11, FALSE)</f>
        <v>72.5</v>
      </c>
      <c r="N182" s="38">
        <f>VLOOKUP($A182, [6]!ProductsTable[#Data], 12, FALSE)</f>
        <v>51</v>
      </c>
      <c r="O182" s="38">
        <f>VLOOKUP($A182, [6]!ProductsTable[#Data], 13, FALSE)</f>
        <v>22.5</v>
      </c>
      <c r="R182" s="38" t="str">
        <f>VLOOKUP($A182, [6]!ProductsTable[#Data], 14, FALSE)</f>
        <v>2-Krannich</v>
      </c>
      <c r="AE182" t="e">
        <f>COUNTIF('[7]product-export'!$A$2:$A$379, A182)</f>
        <v>#VALUE!</v>
      </c>
    </row>
    <row r="183" spans="1:31" x14ac:dyDescent="0.25">
      <c r="A183" s="76" t="s">
        <v>324</v>
      </c>
      <c r="B183" s="38" t="str">
        <f>VLOOKUP($A183, [6]!ProductsTable[#Data], 2, FALSE)</f>
        <v>Inverters</v>
      </c>
      <c r="C183" s="8" t="s">
        <v>217</v>
      </c>
      <c r="D183" s="8" t="s">
        <v>168</v>
      </c>
      <c r="E183" s="38" t="str">
        <f>VLOOKUP($A183, [6]!ProductsTable[#Data], 3, FALSE)</f>
        <v>Fronius</v>
      </c>
      <c r="F183" s="38" t="str">
        <f>VLOOKUP($A183, [6]!ProductsTable[#Data], 4, FALSE)</f>
        <v>Symo 20.0KW 3ph Inverter</v>
      </c>
      <c r="G183" s="38" t="str">
        <f>VLOOKUP($A183, [6]!ProductsTable[#Data], 5, FALSE)</f>
        <v>Symo-20.0-3-M</v>
      </c>
      <c r="I183" s="41" t="e">
        <f>VLOOKUP($A183, [6]!ProductsTable[#Data], 7, FALSE)</f>
        <v>#REF!</v>
      </c>
      <c r="J183" s="39" t="e">
        <f>VLOOKUP($A183, [6]!ProductsTable[#Data], 8, FALSE)</f>
        <v>#REF!</v>
      </c>
      <c r="K183">
        <f>VLOOKUP($A183, [6]!ProductsTable[#Data], 9, FALSE)</f>
        <v>0</v>
      </c>
      <c r="L183" s="38">
        <f>VLOOKUP($A183, [6]!ProductsTable[#Data], 10, FALSE)</f>
        <v>43.4</v>
      </c>
      <c r="M183" s="38">
        <f>VLOOKUP($A183, [6]!ProductsTable[#Data], 11, FALSE)</f>
        <v>72.5</v>
      </c>
      <c r="N183" s="38">
        <f>VLOOKUP($A183, [6]!ProductsTable[#Data], 12, FALSE)</f>
        <v>51</v>
      </c>
      <c r="O183" s="38">
        <f>VLOOKUP($A183, [6]!ProductsTable[#Data], 13, FALSE)</f>
        <v>22.5</v>
      </c>
      <c r="R183" s="38" t="str">
        <f>VLOOKUP($A183, [6]!ProductsTable[#Data], 14, FALSE)</f>
        <v>2-Krannich</v>
      </c>
      <c r="AE183" t="e">
        <f>COUNTIF('[7]product-export'!$A$2:$A$379, A183)</f>
        <v>#VALUE!</v>
      </c>
    </row>
    <row r="184" spans="1:31" x14ac:dyDescent="0.25">
      <c r="A184" s="76" t="s">
        <v>335</v>
      </c>
      <c r="B184" s="38" t="str">
        <f>VLOOKUP($A184, [6]!ProductsTable[#Data], 2, FALSE)</f>
        <v>Control</v>
      </c>
      <c r="C184" s="8" t="s">
        <v>216</v>
      </c>
      <c r="D184" s="8" t="s">
        <v>166</v>
      </c>
      <c r="E184" s="38" t="str">
        <f>VLOOKUP($A184, [6]!ProductsTable[#Data], 3, FALSE)</f>
        <v>PGK</v>
      </c>
      <c r="F184" s="38" t="str">
        <f>VLOOKUP($A184, [6]!ProductsTable[#Data], 4, FALSE)</f>
        <v>Solar Isolator 32A 4Pole</v>
      </c>
      <c r="G184" s="38" t="str">
        <f>VLOOKUP($A184, [6]!ProductsTable[#Data], 5, FALSE)</f>
        <v>SE030A</v>
      </c>
      <c r="I184" s="41" t="e">
        <f>VLOOKUP($A184, [6]!ProductsTable[#Data], 7, FALSE)</f>
        <v>#REF!</v>
      </c>
      <c r="J184" s="39" t="e">
        <f>VLOOKUP($A184, [6]!ProductsTable[#Data], 8, FALSE)</f>
        <v>#REF!</v>
      </c>
      <c r="K184">
        <f>VLOOKUP($A184, [6]!ProductsTable[#Data], 9, FALSE)</f>
        <v>0</v>
      </c>
      <c r="L184" s="38">
        <f>VLOOKUP($A184, [6]!ProductsTable[#Data], 10, FALSE)</f>
        <v>0.7</v>
      </c>
      <c r="M184" s="38">
        <f>VLOOKUP($A184, [6]!ProductsTable[#Data], 11, FALSE)</f>
        <v>18.760000000000002</v>
      </c>
      <c r="N184" s="38">
        <f>VLOOKUP($A184, [6]!ProductsTable[#Data], 12, FALSE)</f>
        <v>9.86</v>
      </c>
      <c r="O184" s="38">
        <f>VLOOKUP($A184, [6]!ProductsTable[#Data], 13, FALSE)</f>
        <v>10.86</v>
      </c>
      <c r="R184" s="38" t="str">
        <f>VLOOKUP($A184, [6]!ProductsTable[#Data], 14, FALSE)</f>
        <v>3-Tradezone</v>
      </c>
      <c r="AE184" t="e">
        <f>COUNTIF('[7]product-export'!$A$2:$A$379, A184)</f>
        <v>#VALUE!</v>
      </c>
    </row>
    <row r="185" spans="1:31" x14ac:dyDescent="0.25">
      <c r="A185" s="76" t="s">
        <v>325</v>
      </c>
      <c r="B185" s="38" t="str">
        <f>VLOOKUP($A185, [6]!ProductsTable[#Data], 2, FALSE)</f>
        <v>Batteries</v>
      </c>
      <c r="C185" s="8" t="s">
        <v>149</v>
      </c>
      <c r="D185" s="8" t="s">
        <v>164</v>
      </c>
      <c r="E185" s="38" t="str">
        <f>VLOOKUP($A185, [6]!ProductsTable[#Data], 3, FALSE)</f>
        <v>LG</v>
      </c>
      <c r="F185" s="38" t="str">
        <f>VLOOKUP($A185, [6]!ProductsTable[#Data], 4, FALSE)</f>
        <v>Resu Plus Battery combiner</v>
      </c>
      <c r="G185" s="38" t="str">
        <f>VLOOKUP($A185, [6]!ProductsTable[#Data], 5, FALSE)</f>
        <v>LG Resu Plus</v>
      </c>
      <c r="I185" s="41" t="e">
        <f>VLOOKUP($A185, [6]!ProductsTable[#Data], 7, FALSE)</f>
        <v>#REF!</v>
      </c>
      <c r="J185" s="39" t="e">
        <f>VLOOKUP($A185, [6]!ProductsTable[#Data], 8, FALSE)</f>
        <v>#REF!</v>
      </c>
      <c r="K185">
        <f>VLOOKUP($A185, [6]!ProductsTable[#Data], 9, FALSE)</f>
        <v>0</v>
      </c>
      <c r="L185" s="38">
        <f>VLOOKUP($A185, [6]!ProductsTable[#Data], 10, FALSE)</f>
        <v>2</v>
      </c>
      <c r="M185" s="38">
        <f>VLOOKUP($A185, [6]!ProductsTable[#Data], 11, FALSE)</f>
        <v>21.6</v>
      </c>
      <c r="N185" s="38">
        <f>VLOOKUP($A185, [6]!ProductsTable[#Data], 12, FALSE)</f>
        <v>15.6</v>
      </c>
      <c r="O185" s="38">
        <f>VLOOKUP($A185, [6]!ProductsTable[#Data], 13, FALSE)</f>
        <v>12.1</v>
      </c>
      <c r="R185" s="38" t="str">
        <f>VLOOKUP($A185, [6]!ProductsTable[#Data], 14, FALSE)</f>
        <v>2-Krannich</v>
      </c>
      <c r="AE185" t="e">
        <f>COUNTIF('[7]product-export'!$A$2:$A$379, A185)</f>
        <v>#VALUE!</v>
      </c>
    </row>
    <row r="186" spans="1:31" x14ac:dyDescent="0.25">
      <c r="A186" s="76" t="s">
        <v>336</v>
      </c>
      <c r="B186" s="38" t="str">
        <f>VLOOKUP($A186, [6]!ProductsTable[#Data], 2, FALSE)</f>
        <v>Battery Accessories</v>
      </c>
      <c r="C186" s="8" t="s">
        <v>149</v>
      </c>
      <c r="D186" s="8" t="s">
        <v>164</v>
      </c>
      <c r="E186" s="38" t="str">
        <f>VLOOKUP($A186, [6]!ProductsTable[#Data], 3, FALSE)</f>
        <v>Victron</v>
      </c>
      <c r="F186" s="38" t="str">
        <f>VLOOKUP($A186, [6]!ProductsTable[#Data], 4, FALSE)</f>
        <v>Battery Protect 12/24V 100A</v>
      </c>
      <c r="G186" s="38" t="str">
        <f>VLOOKUP($A186, [6]!ProductsTable[#Data], 5, FALSE)</f>
        <v>BPR000100400</v>
      </c>
      <c r="I186" s="41" t="e">
        <f>VLOOKUP($A186, [6]!ProductsTable[#Data], 7, FALSE)</f>
        <v>#REF!</v>
      </c>
      <c r="J186" s="39" t="e">
        <f>VLOOKUP($A186, [6]!ProductsTable[#Data], 8, FALSE)</f>
        <v>#REF!</v>
      </c>
      <c r="K186">
        <f>VLOOKUP($A186, [6]!ProductsTable[#Data], 9, FALSE)</f>
        <v>0</v>
      </c>
      <c r="L186" s="38">
        <f>VLOOKUP($A186, [6]!ProductsTable[#Data], 10, FALSE)</f>
        <v>0.5</v>
      </c>
      <c r="M186" s="38">
        <f>VLOOKUP($A186, [6]!ProductsTable[#Data], 11, FALSE)</f>
        <v>5.9</v>
      </c>
      <c r="N186" s="38">
        <f>VLOOKUP($A186, [6]!ProductsTable[#Data], 12, FALSE)</f>
        <v>4.2</v>
      </c>
      <c r="O186" s="38">
        <f>VLOOKUP($A186, [6]!ProductsTable[#Data], 13, FALSE)</f>
        <v>11.5</v>
      </c>
      <c r="R186" s="38" t="str">
        <f>VLOOKUP($A186, [6]!ProductsTable[#Data], 14, FALSE)</f>
        <v>1-Victron</v>
      </c>
      <c r="AE186" t="e">
        <f>COUNTIF('[7]product-export'!$A$2:$A$379, A186)</f>
        <v>#VALUE!</v>
      </c>
    </row>
    <row r="187" spans="1:31" x14ac:dyDescent="0.25">
      <c r="A187" s="76" t="s">
        <v>328</v>
      </c>
      <c r="B187" s="38" t="str">
        <f>VLOOKUP($A187, [6]!ProductsTable[#Data], 2, FALSE)</f>
        <v>Control</v>
      </c>
      <c r="C187" s="8" t="s">
        <v>153</v>
      </c>
      <c r="D187" s="8" t="s">
        <v>181</v>
      </c>
      <c r="E187" s="38" t="str">
        <f>VLOOKUP($A187, [6]!ProductsTable[#Data], 3, FALSE)</f>
        <v>Fronius</v>
      </c>
      <c r="F187" s="38" t="str">
        <f>VLOOKUP($A187, [6]!ProductsTable[#Data], 4, FALSE)</f>
        <v>Smart Meter 63A Single Phase</v>
      </c>
      <c r="G187" s="38" t="str">
        <f>VLOOKUP($A187, [6]!ProductsTable[#Data], 5, FALSE)</f>
        <v>SM63A-1</v>
      </c>
      <c r="I187" s="41" t="e">
        <f>VLOOKUP($A187, [6]!ProductsTable[#Data], 7, FALSE)</f>
        <v>#REF!</v>
      </c>
      <c r="J187" s="39" t="e">
        <f>VLOOKUP($A187, [6]!ProductsTable[#Data], 8, FALSE)</f>
        <v>#REF!</v>
      </c>
      <c r="K187">
        <f>VLOOKUP($A187, [6]!ProductsTable[#Data], 9, FALSE)</f>
        <v>0</v>
      </c>
      <c r="L187" s="38">
        <f>VLOOKUP($A187, [6]!ProductsTable[#Data], 10, FALSE)</f>
        <v>0.3</v>
      </c>
      <c r="M187" s="38">
        <f>VLOOKUP($A187, [6]!ProductsTable[#Data], 11, FALSE)</f>
        <v>6.5</v>
      </c>
      <c r="N187" s="38">
        <f>VLOOKUP($A187, [6]!ProductsTable[#Data], 12, FALSE)</f>
        <v>6.5</v>
      </c>
      <c r="O187" s="38">
        <f>VLOOKUP($A187, [6]!ProductsTable[#Data], 13, FALSE)</f>
        <v>3</v>
      </c>
      <c r="R187" s="38" t="str">
        <f>VLOOKUP($A187, [6]!ProductsTable[#Data], 14, FALSE)</f>
        <v>2-Krannich</v>
      </c>
      <c r="AE187" t="e">
        <f>COUNTIF('[7]product-export'!$A$2:$A$379, A187)</f>
        <v>#VALUE!</v>
      </c>
    </row>
    <row r="188" spans="1:31" x14ac:dyDescent="0.25">
      <c r="A188" s="76" t="s">
        <v>470</v>
      </c>
      <c r="B188" s="38" t="str">
        <f>VLOOKUP($A188, [6]!ProductsTable[#Data], 2, FALSE)</f>
        <v>Solar Panels</v>
      </c>
      <c r="C188" s="8" t="s">
        <v>216</v>
      </c>
      <c r="D188" s="8" t="s">
        <v>222</v>
      </c>
      <c r="E188" s="38" t="str">
        <f>VLOOKUP($A188, [6]!ProductsTable[#Data], 3, FALSE)</f>
        <v>Victron</v>
      </c>
      <c r="F188" s="38" t="str">
        <f>VLOOKUP($A188, [6]!ProductsTable[#Data], 4, FALSE)</f>
        <v xml:space="preserve">Solar Panel 175W 12V Poly </v>
      </c>
      <c r="G188" s="38" t="str">
        <f>VLOOKUP($A188, [6]!ProductsTable[#Data], 5, FALSE)</f>
        <v>SPP041751200</v>
      </c>
      <c r="I188" s="41" t="e">
        <f>VLOOKUP($A188, [6]!ProductsTable[#Data], 7, FALSE)</f>
        <v>#REF!</v>
      </c>
      <c r="J188" s="39" t="e">
        <f>VLOOKUP($A188, [6]!ProductsTable[#Data], 8, FALSE)</f>
        <v>#REF!</v>
      </c>
      <c r="K188">
        <f>VLOOKUP($A188, [6]!ProductsTable[#Data], 9, FALSE)</f>
        <v>0</v>
      </c>
      <c r="L188" s="38">
        <f>VLOOKUP($A188, [6]!ProductsTable[#Data], 10, FALSE)</f>
        <v>12</v>
      </c>
      <c r="M188" s="38">
        <f>VLOOKUP($A188, [6]!ProductsTable[#Data], 11, FALSE)</f>
        <v>149</v>
      </c>
      <c r="N188" s="38">
        <f>VLOOKUP($A188, [6]!ProductsTable[#Data], 12, FALSE)</f>
        <v>69</v>
      </c>
      <c r="O188" s="38">
        <f>VLOOKUP($A188, [6]!ProductsTable[#Data], 13, FALSE)</f>
        <v>3.5</v>
      </c>
      <c r="R188" s="38" t="str">
        <f>VLOOKUP($A188, [6]!ProductsTable[#Data], 14, FALSE)</f>
        <v>1-Victron</v>
      </c>
      <c r="AE188" t="e">
        <f>COUNTIF('[7]product-export'!$A$2:$A$379, A188)</f>
        <v>#VALUE!</v>
      </c>
    </row>
    <row r="189" spans="1:31" x14ac:dyDescent="0.25">
      <c r="A189" s="76" t="s">
        <v>478</v>
      </c>
      <c r="B189" s="38">
        <f>VLOOKUP($A189, [6]!ProductsTable[#Data], 2, FALSE)</f>
        <v>0</v>
      </c>
      <c r="C189" s="8" t="s">
        <v>149</v>
      </c>
      <c r="D189" s="8" t="s">
        <v>164</v>
      </c>
      <c r="E189" s="38" t="str">
        <f>VLOOKUP($A189, [6]!ProductsTable[#Data], 3, FALSE)</f>
        <v>Victron</v>
      </c>
      <c r="F189" s="38" t="str">
        <f>VLOOKUP($A189, [6]!ProductsTable[#Data], 4, FALSE)</f>
        <v>Battery balancer</v>
      </c>
      <c r="G189" s="38" t="str">
        <f>VLOOKUP($A189, [6]!ProductsTable[#Data], 5, FALSE)</f>
        <v>BBA000100100</v>
      </c>
      <c r="I189" s="41" t="e">
        <f>VLOOKUP($A189, [6]!ProductsTable[#Data], 7, FALSE)</f>
        <v>#REF!</v>
      </c>
      <c r="J189" s="39" t="e">
        <f>VLOOKUP($A189, [6]!ProductsTable[#Data], 8, FALSE)</f>
        <v>#REF!</v>
      </c>
      <c r="K189">
        <f>VLOOKUP($A189, [6]!ProductsTable[#Data], 9, FALSE)</f>
        <v>0</v>
      </c>
      <c r="L189" s="38">
        <f>VLOOKUP($A189, [6]!ProductsTable[#Data], 10, FALSE)</f>
        <v>0.6</v>
      </c>
      <c r="M189" s="38">
        <f>VLOOKUP($A189, [6]!ProductsTable[#Data], 11, FALSE)</f>
        <v>11.3</v>
      </c>
      <c r="N189" s="38">
        <f>VLOOKUP($A189, [6]!ProductsTable[#Data], 12, FALSE)</f>
        <v>10</v>
      </c>
      <c r="O189" s="38">
        <f>VLOOKUP($A189, [6]!ProductsTable[#Data], 13, FALSE)</f>
        <v>5</v>
      </c>
      <c r="R189" s="38" t="str">
        <f>VLOOKUP($A189, [6]!ProductsTable[#Data], 14, FALSE)</f>
        <v>1-Victron</v>
      </c>
      <c r="AE189" t="e">
        <f>COUNTIF('[7]product-export'!$A$2:$A$379, A189)</f>
        <v>#VALUE!</v>
      </c>
    </row>
    <row r="190" spans="1:31" x14ac:dyDescent="0.25">
      <c r="A190" s="76" t="s">
        <v>330</v>
      </c>
      <c r="B190" s="38" t="str">
        <f>VLOOKUP($A190, [6]!ProductsTable[#Data], 2, FALSE)</f>
        <v>Inverter-Chargers</v>
      </c>
      <c r="C190" s="8" t="s">
        <v>217</v>
      </c>
      <c r="D190" s="8" t="s">
        <v>171</v>
      </c>
      <c r="E190" s="38" t="str">
        <f>VLOOKUP($A190, [6]!ProductsTable[#Data], 3, FALSE)</f>
        <v>Victron</v>
      </c>
      <c r="F190" s="38" t="str">
        <f>VLOOKUP($A190, [6]!ProductsTable[#Data], 4, FALSE)</f>
        <v>MultiPlus-II 48/5000/70-50</v>
      </c>
      <c r="G190" s="38" t="str">
        <f>VLOOKUP($A190, [6]!ProductsTable[#Data], 5, FALSE)</f>
        <v>PMP482505010</v>
      </c>
      <c r="I190" s="41" t="e">
        <f>VLOOKUP($A190, [6]!ProductsTable[#Data], 7, FALSE)</f>
        <v>#REF!</v>
      </c>
      <c r="J190" s="39" t="e">
        <f>VLOOKUP($A190, [6]!ProductsTable[#Data], 8, FALSE)</f>
        <v>#REF!</v>
      </c>
      <c r="K190">
        <f>VLOOKUP($A190, [6]!ProductsTable[#Data], 9, FALSE)</f>
        <v>0</v>
      </c>
      <c r="L190" s="38">
        <f>VLOOKUP($A190, [6]!ProductsTable[#Data], 10, FALSE)</f>
        <v>31</v>
      </c>
      <c r="M190" s="38">
        <f>VLOOKUP($A190, [6]!ProductsTable[#Data], 11, FALSE)</f>
        <v>56</v>
      </c>
      <c r="N190" s="38">
        <f>VLOOKUP($A190, [6]!ProductsTable[#Data], 12, FALSE)</f>
        <v>32</v>
      </c>
      <c r="O190" s="38">
        <f>VLOOKUP($A190, [6]!ProductsTable[#Data], 13, FALSE)</f>
        <v>14.1</v>
      </c>
      <c r="R190" s="38" t="str">
        <f>VLOOKUP($A190, [6]!ProductsTable[#Data], 14, FALSE)</f>
        <v>1-Victron</v>
      </c>
      <c r="AE190" t="e">
        <f>COUNTIF('[7]product-export'!$A$2:$A$379, A190)</f>
        <v>#VALUE!</v>
      </c>
    </row>
    <row r="191" spans="1:31" x14ac:dyDescent="0.25">
      <c r="A191" s="76" t="s">
        <v>337</v>
      </c>
      <c r="B191" s="38" t="str">
        <f>VLOOKUP($A191, [6]!ProductsTable[#Data], 2, FALSE)</f>
        <v>Inverter-Chargers</v>
      </c>
      <c r="C191" s="8" t="s">
        <v>217</v>
      </c>
      <c r="D191" s="8" t="s">
        <v>171</v>
      </c>
      <c r="E191" s="38" t="str">
        <f>VLOOKUP($A191, [6]!ProductsTable[#Data], 3, FALSE)</f>
        <v>Selectronic</v>
      </c>
      <c r="F191" s="38" t="str">
        <f>VLOOKUP($A191, [6]!ProductsTable[#Data], 4, FALSE)</f>
        <v>SP Pro 48V/5.0KW Series 2i</v>
      </c>
      <c r="G191" s="38" t="str">
        <f>VLOOKUP($A191, [6]!ProductsTable[#Data], 5, FALSE)</f>
        <v>SPMC481-AU</v>
      </c>
      <c r="I191" s="41" t="e">
        <f>VLOOKUP($A191, [6]!ProductsTable[#Data], 7, FALSE)</f>
        <v>#REF!</v>
      </c>
      <c r="J191" s="39" t="e">
        <f>VLOOKUP($A191, [6]!ProductsTable[#Data], 8, FALSE)</f>
        <v>#REF!</v>
      </c>
      <c r="K191">
        <f>VLOOKUP($A191, [6]!ProductsTable[#Data], 9, FALSE)</f>
        <v>0</v>
      </c>
      <c r="L191" s="38">
        <f>VLOOKUP($A191, [6]!ProductsTable[#Data], 10, FALSE)</f>
        <v>40</v>
      </c>
      <c r="M191" s="38">
        <f>VLOOKUP($A191, [6]!ProductsTable[#Data], 11, FALSE)</f>
        <v>69</v>
      </c>
      <c r="N191" s="38">
        <f>VLOOKUP($A191, [6]!ProductsTable[#Data], 12, FALSE)</f>
        <v>37.5</v>
      </c>
      <c r="O191" s="38">
        <f>VLOOKUP($A191, [6]!ProductsTable[#Data], 13, FALSE)</f>
        <v>22</v>
      </c>
      <c r="R191" s="38" t="str">
        <f>VLOOKUP($A191, [6]!ProductsTable[#Data], 14, FALSE)</f>
        <v>2-Krannich</v>
      </c>
      <c r="AE191" t="e">
        <f>COUNTIF('[7]product-export'!$A$2:$A$379, A191)</f>
        <v>#VALUE!</v>
      </c>
    </row>
    <row r="192" spans="1:31" x14ac:dyDescent="0.25">
      <c r="A192" s="76" t="s">
        <v>338</v>
      </c>
      <c r="B192" s="38" t="str">
        <f>VLOOKUP($A192, [6]!ProductsTable[#Data], 2, FALSE)</f>
        <v>Inverter-Chargers</v>
      </c>
      <c r="C192" s="8" t="s">
        <v>217</v>
      </c>
      <c r="D192" s="8" t="s">
        <v>171</v>
      </c>
      <c r="E192" s="38" t="str">
        <f>VLOOKUP($A192, [6]!ProductsTable[#Data], 3, FALSE)</f>
        <v>Selectronic</v>
      </c>
      <c r="F192" s="38" t="str">
        <f>VLOOKUP($A192, [6]!ProductsTable[#Data], 4, FALSE)</f>
        <v>SP Pro 48V/7.5KW Series 2i</v>
      </c>
      <c r="G192" s="38" t="str">
        <f>VLOOKUP($A192, [6]!ProductsTable[#Data], 5, FALSE)</f>
        <v>SPMC482-AU</v>
      </c>
      <c r="I192" s="41" t="e">
        <f>VLOOKUP($A192, [6]!ProductsTable[#Data], 7, FALSE)</f>
        <v>#REF!</v>
      </c>
      <c r="J192" s="39" t="e">
        <f>VLOOKUP($A192, [6]!ProductsTable[#Data], 8, FALSE)</f>
        <v>#REF!</v>
      </c>
      <c r="K192">
        <f>VLOOKUP($A192, [6]!ProductsTable[#Data], 9, FALSE)</f>
        <v>0</v>
      </c>
      <c r="L192" s="38">
        <f>VLOOKUP($A192, [6]!ProductsTable[#Data], 10, FALSE)</f>
        <v>42</v>
      </c>
      <c r="M192" s="38">
        <f>VLOOKUP($A192, [6]!ProductsTable[#Data], 11, FALSE)</f>
        <v>69</v>
      </c>
      <c r="N192" s="38">
        <f>VLOOKUP($A192, [6]!ProductsTable[#Data], 12, FALSE)</f>
        <v>37.5</v>
      </c>
      <c r="O192" s="38">
        <f>VLOOKUP($A192, [6]!ProductsTable[#Data], 13, FALSE)</f>
        <v>22</v>
      </c>
      <c r="R192" s="38" t="str">
        <f>VLOOKUP($A192, [6]!ProductsTable[#Data], 14, FALSE)</f>
        <v>2-Krannich</v>
      </c>
      <c r="AE192" t="e">
        <f>COUNTIF('[7]product-export'!$A$2:$A$379, A192)</f>
        <v>#VALUE!</v>
      </c>
    </row>
    <row r="193" spans="1:31" x14ac:dyDescent="0.25">
      <c r="A193" s="76" t="s">
        <v>558</v>
      </c>
      <c r="B193" s="38" t="str">
        <f>VLOOKUP($A193, [6]!ProductsTable[#Data], 2, FALSE)</f>
        <v>Fuses</v>
      </c>
      <c r="C193" s="8" t="s">
        <v>217</v>
      </c>
      <c r="D193" s="8" t="s">
        <v>172</v>
      </c>
      <c r="E193" s="38" t="str">
        <f>VLOOKUP($A193, [6]!ProductsTable[#Data], 3, FALSE)</f>
        <v>Noark</v>
      </c>
      <c r="F193" s="38" t="str">
        <f>VLOOKUP($A193, [6]!ProductsTable[#Data], 4, FALSE)</f>
        <v xml:space="preserve">MCB 50A 360V DC 2 Pole </v>
      </c>
      <c r="G193" s="38">
        <f>VLOOKUP($A193, [6]!ProductsTable[#Data], 5, FALSE)</f>
        <v>84455</v>
      </c>
      <c r="I193" s="41" t="e">
        <f>VLOOKUP($A193, [6]!ProductsTable[#Data], 7, FALSE)</f>
        <v>#REF!</v>
      </c>
      <c r="J193" s="39" t="e">
        <f>VLOOKUP($A193, [6]!ProductsTable[#Data], 8, FALSE)</f>
        <v>#REF!</v>
      </c>
      <c r="K193">
        <f>VLOOKUP($A193, [6]!ProductsTable[#Data], 9, FALSE)</f>
        <v>0</v>
      </c>
      <c r="L193" s="38">
        <f>VLOOKUP($A193, [6]!ProductsTable[#Data], 10, FALSE)</f>
        <v>0.25</v>
      </c>
      <c r="M193" s="38">
        <f>VLOOKUP($A193, [6]!ProductsTable[#Data], 11, FALSE)</f>
        <v>9</v>
      </c>
      <c r="N193" s="38">
        <f>VLOOKUP($A193, [6]!ProductsTable[#Data], 12, FALSE)</f>
        <v>7.5</v>
      </c>
      <c r="O193" s="38">
        <f>VLOOKUP($A193, [6]!ProductsTable[#Data], 13, FALSE)</f>
        <v>3.5</v>
      </c>
      <c r="R193" s="38" t="str">
        <f>VLOOKUP($A193, [6]!ProductsTable[#Data], 14, FALSE)</f>
        <v>3-Tradezone</v>
      </c>
      <c r="AE193" t="e">
        <f>COUNTIF('[7]product-export'!$A$2:$A$379, A193)</f>
        <v>#VALUE!</v>
      </c>
    </row>
    <row r="194" spans="1:31" x14ac:dyDescent="0.25">
      <c r="A194" s="76" t="s">
        <v>476</v>
      </c>
      <c r="B194" s="38" t="str">
        <f>VLOOKUP($A194, [6]!ProductsTable[#Data], 2, FALSE)</f>
        <v>Fuses</v>
      </c>
      <c r="C194" s="8" t="s">
        <v>217</v>
      </c>
      <c r="D194" s="8" t="s">
        <v>172</v>
      </c>
      <c r="E194" s="38" t="str">
        <f>VLOOKUP($A194, [6]!ProductsTable[#Data], 3, FALSE)</f>
        <v>DC Solutions</v>
      </c>
      <c r="F194" s="38" t="str">
        <f>VLOOKUP($A194, [6]!ProductsTable[#Data], 4, FALSE)</f>
        <v>Fuse disconnector NH1 3 pole</v>
      </c>
      <c r="G194" s="38" t="str">
        <f>VLOOKUP($A194, [6]!ProductsTable[#Data], 5, FALSE)</f>
        <v>FH01/3P</v>
      </c>
      <c r="I194" s="41" t="e">
        <f>VLOOKUP($A194, [6]!ProductsTable[#Data], 7, FALSE)</f>
        <v>#REF!</v>
      </c>
      <c r="J194" s="39" t="e">
        <f>VLOOKUP($A194, [6]!ProductsTable[#Data], 8, FALSE)</f>
        <v>#REF!</v>
      </c>
      <c r="K194">
        <f>VLOOKUP($A194, [6]!ProductsTable[#Data], 9, FALSE)</f>
        <v>0</v>
      </c>
      <c r="L194" s="38">
        <f>VLOOKUP($A194, [6]!ProductsTable[#Data], 10, FALSE)</f>
        <v>2.339</v>
      </c>
      <c r="M194" s="38">
        <f>VLOOKUP($A194, [6]!ProductsTable[#Data], 11, FALSE)</f>
        <v>26.9</v>
      </c>
      <c r="N194" s="38">
        <f>VLOOKUP($A194, [6]!ProductsTable[#Data], 12, FALSE)</f>
        <v>30</v>
      </c>
      <c r="O194" s="38">
        <f>VLOOKUP($A194, [6]!ProductsTable[#Data], 13, FALSE)</f>
        <v>12.5</v>
      </c>
      <c r="R194" s="38" t="str">
        <f>VLOOKUP($A194, [6]!ProductsTable[#Data], 14, FALSE)</f>
        <v>3-Tradezone</v>
      </c>
      <c r="AE194" t="e">
        <f>COUNTIF('[7]product-export'!$A$2:$A$379, A194)</f>
        <v>#VALUE!</v>
      </c>
    </row>
    <row r="195" spans="1:31" x14ac:dyDescent="0.25">
      <c r="A195" s="76" t="s">
        <v>477</v>
      </c>
      <c r="B195" s="38" t="str">
        <f>VLOOKUP($A195, [6]!ProductsTable[#Data], 2, FALSE)</f>
        <v>Fuses</v>
      </c>
      <c r="C195" s="8" t="s">
        <v>217</v>
      </c>
      <c r="D195" s="8" t="s">
        <v>172</v>
      </c>
      <c r="E195" s="38" t="str">
        <f>VLOOKUP($A195, [6]!ProductsTable[#Data], 3, FALSE)</f>
        <v>DC Solutions</v>
      </c>
      <c r="F195" s="38" t="str">
        <f>VLOOKUP($A195, [6]!ProductsTable[#Data], 4, FALSE)</f>
        <v>Fuse disconnector NH00 3 pole</v>
      </c>
      <c r="G195" s="38" t="str">
        <f>VLOOKUP($A195, [6]!ProductsTable[#Data], 5, FALSE)</f>
        <v>FH00/3P</v>
      </c>
      <c r="I195" s="41" t="e">
        <f>VLOOKUP($A195, [6]!ProductsTable[#Data], 7, FALSE)</f>
        <v>#REF!</v>
      </c>
      <c r="J195" s="39" t="e">
        <f>VLOOKUP($A195, [6]!ProductsTable[#Data], 8, FALSE)</f>
        <v>#REF!</v>
      </c>
      <c r="K195">
        <f>VLOOKUP($A195, [6]!ProductsTable[#Data], 9, FALSE)</f>
        <v>0</v>
      </c>
      <c r="L195" s="38">
        <f>VLOOKUP($A195, [6]!ProductsTable[#Data], 10, FALSE)</f>
        <v>0.81200000000000006</v>
      </c>
      <c r="M195" s="38">
        <f>VLOOKUP($A195, [6]!ProductsTable[#Data], 11, FALSE)</f>
        <v>21</v>
      </c>
      <c r="N195" s="38">
        <f>VLOOKUP($A195, [6]!ProductsTable[#Data], 12, FALSE)</f>
        <v>11.5</v>
      </c>
      <c r="O195" s="38">
        <f>VLOOKUP($A195, [6]!ProductsTable[#Data], 13, FALSE)</f>
        <v>9</v>
      </c>
      <c r="R195" s="38" t="str">
        <f>VLOOKUP($A195, [6]!ProductsTable[#Data], 14, FALSE)</f>
        <v>3-Tradezone</v>
      </c>
      <c r="AE195" t="e">
        <f>COUNTIF('[7]product-export'!$A$2:$A$379, A195)</f>
        <v>#VALUE!</v>
      </c>
    </row>
    <row r="196" spans="1:31" x14ac:dyDescent="0.25">
      <c r="A196" s="76" t="s">
        <v>334</v>
      </c>
      <c r="B196" s="38" t="str">
        <f>VLOOKUP($A196, [6]!ProductsTable[#Data], 2, FALSE)</f>
        <v>Control</v>
      </c>
      <c r="C196" s="8" t="s">
        <v>153</v>
      </c>
      <c r="D196" s="8" t="s">
        <v>230</v>
      </c>
      <c r="E196" s="38" t="str">
        <f>VLOOKUP($A196, [6]!ProductsTable[#Data], 3, FALSE)</f>
        <v>Victron</v>
      </c>
      <c r="F196" s="38" t="str">
        <f>VLOOKUP($A196, [6]!ProductsTable[#Data], 4, FALSE)</f>
        <v>Interface MK3-USB (VE.Bus to USB)</v>
      </c>
      <c r="G196" s="38" t="str">
        <f>VLOOKUP($A196, [6]!ProductsTable[#Data], 5, FALSE)</f>
        <v>ASS030140000</v>
      </c>
      <c r="I196" s="41" t="e">
        <f>VLOOKUP($A196, [6]!ProductsTable[#Data], 7, FALSE)</f>
        <v>#REF!</v>
      </c>
      <c r="J196" s="39" t="e">
        <f>VLOOKUP($A196, [6]!ProductsTable[#Data], 8, FALSE)</f>
        <v>#REF!</v>
      </c>
      <c r="K196">
        <f>VLOOKUP($A196, [6]!ProductsTable[#Data], 9, FALSE)</f>
        <v>0</v>
      </c>
      <c r="L196" s="38">
        <f>VLOOKUP($A196, [6]!ProductsTable[#Data], 10, FALSE)</f>
        <v>0.2</v>
      </c>
      <c r="M196" s="38">
        <f>VLOOKUP($A196, [6]!ProductsTable[#Data], 11, FALSE)</f>
        <v>8</v>
      </c>
      <c r="N196" s="38">
        <f>VLOOKUP($A196, [6]!ProductsTable[#Data], 12, FALSE)</f>
        <v>5</v>
      </c>
      <c r="O196" s="38">
        <f>VLOOKUP($A196, [6]!ProductsTable[#Data], 13, FALSE)</f>
        <v>3</v>
      </c>
      <c r="R196" s="38" t="str">
        <f>VLOOKUP($A196, [6]!ProductsTable[#Data], 14, FALSE)</f>
        <v>1-Victron</v>
      </c>
      <c r="AE196" t="e">
        <f>COUNTIF('[7]product-export'!$A$2:$A$379, A196)</f>
        <v>#VALUE!</v>
      </c>
    </row>
    <row r="197" spans="1:31" x14ac:dyDescent="0.25">
      <c r="A197" s="76" t="s">
        <v>392</v>
      </c>
      <c r="B197" s="38" t="str">
        <f>VLOOKUP($A197, [6]!ProductsTable[#Data], 2, FALSE)</f>
        <v>Inverters</v>
      </c>
      <c r="C197" s="8" t="s">
        <v>217</v>
      </c>
      <c r="D197" s="8" t="s">
        <v>231</v>
      </c>
      <c r="E197" s="38" t="str">
        <f>VLOOKUP($A197, [6]!ProductsTable[#Data], 3, FALSE)</f>
        <v>Victron</v>
      </c>
      <c r="F197" s="38" t="str">
        <f>VLOOKUP($A197, [6]!ProductsTable[#Data], 4, FALSE)</f>
        <v xml:space="preserve">Phoenix Inverter  24/1600 SMART </v>
      </c>
      <c r="G197" s="38" t="str">
        <f>VLOOKUP($A197, [6]!ProductsTable[#Data], 5, FALSE)</f>
        <v>PIN242160000</v>
      </c>
      <c r="I197" s="41" t="e">
        <f>VLOOKUP($A197, [6]!ProductsTable[#Data], 7, FALSE)</f>
        <v>#REF!</v>
      </c>
      <c r="J197" s="39" t="e">
        <f>VLOOKUP($A197, [6]!ProductsTable[#Data], 8, FALSE)</f>
        <v>#REF!</v>
      </c>
      <c r="K197">
        <f>VLOOKUP($A197, [6]!ProductsTable[#Data], 9, FALSE)</f>
        <v>0</v>
      </c>
      <c r="L197" s="38">
        <f>VLOOKUP($A197, [6]!ProductsTable[#Data], 10, FALSE)</f>
        <v>12</v>
      </c>
      <c r="M197" s="38">
        <f>VLOOKUP($A197, [6]!ProductsTable[#Data], 11, FALSE)</f>
        <v>48.5</v>
      </c>
      <c r="N197" s="38">
        <f>VLOOKUP($A197, [6]!ProductsTable[#Data], 12, FALSE)</f>
        <v>21.9</v>
      </c>
      <c r="O197" s="38">
        <f>VLOOKUP($A197, [6]!ProductsTable[#Data], 13, FALSE)</f>
        <v>12.5</v>
      </c>
      <c r="R197" s="38" t="str">
        <f>VLOOKUP($A197, [6]!ProductsTable[#Data], 14, FALSE)</f>
        <v>1-Victron</v>
      </c>
      <c r="AE197" t="e">
        <f>COUNTIF('[7]product-export'!$A$2:$A$379, A197)</f>
        <v>#VALUE!</v>
      </c>
    </row>
    <row r="198" spans="1:31" x14ac:dyDescent="0.25">
      <c r="A198" s="76" t="s">
        <v>393</v>
      </c>
      <c r="B198" s="38" t="str">
        <f>VLOOKUP($A198, [6]!ProductsTable[#Data], 2, FALSE)</f>
        <v>Inverters</v>
      </c>
      <c r="C198" s="8" t="s">
        <v>217</v>
      </c>
      <c r="D198" s="8" t="s">
        <v>231</v>
      </c>
      <c r="E198" s="38" t="str">
        <f>VLOOKUP($A198, [6]!ProductsTable[#Data], 3, FALSE)</f>
        <v>Victron</v>
      </c>
      <c r="F198" s="38" t="str">
        <f>VLOOKUP($A198, [6]!ProductsTable[#Data], 4, FALSE)</f>
        <v xml:space="preserve">Phoenix Inverter  48/2000 SMART </v>
      </c>
      <c r="G198" s="38" t="str">
        <f>VLOOKUP($A198, [6]!ProductsTable[#Data], 5, FALSE)</f>
        <v>PIN482200000</v>
      </c>
      <c r="I198" s="41" t="e">
        <f>VLOOKUP($A198, [6]!ProductsTable[#Data], 7, FALSE)</f>
        <v>#REF!</v>
      </c>
      <c r="J198" s="39" t="e">
        <f>VLOOKUP($A198, [6]!ProductsTable[#Data], 8, FALSE)</f>
        <v>#REF!</v>
      </c>
      <c r="K198">
        <f>VLOOKUP($A198, [6]!ProductsTable[#Data], 9, FALSE)</f>
        <v>0</v>
      </c>
      <c r="L198" s="38">
        <f>VLOOKUP($A198, [6]!ProductsTable[#Data], 10, FALSE)</f>
        <v>13</v>
      </c>
      <c r="M198" s="38">
        <f>VLOOKUP($A198, [6]!ProductsTable[#Data], 11, FALSE)</f>
        <v>48.5</v>
      </c>
      <c r="N198" s="38">
        <f>VLOOKUP($A198, [6]!ProductsTable[#Data], 12, FALSE)</f>
        <v>21.9</v>
      </c>
      <c r="O198" s="38">
        <f>VLOOKUP($A198, [6]!ProductsTable[#Data], 13, FALSE)</f>
        <v>12.5</v>
      </c>
      <c r="R198" s="38" t="str">
        <f>VLOOKUP($A198, [6]!ProductsTable[#Data], 14, FALSE)</f>
        <v>1-Victron</v>
      </c>
      <c r="AE198" t="e">
        <f>COUNTIF('[7]product-export'!$A$2:$A$379, A198)</f>
        <v>#VALUE!</v>
      </c>
    </row>
    <row r="199" spans="1:31" x14ac:dyDescent="0.25">
      <c r="A199" s="76" t="s">
        <v>394</v>
      </c>
      <c r="B199" s="38" t="str">
        <f>VLOOKUP($A199, [6]!ProductsTable[#Data], 2, FALSE)</f>
        <v>Inverters</v>
      </c>
      <c r="C199" s="8" t="s">
        <v>217</v>
      </c>
      <c r="D199" s="8" t="s">
        <v>231</v>
      </c>
      <c r="E199" s="38" t="str">
        <f>VLOOKUP($A199, [6]!ProductsTable[#Data], 3, FALSE)</f>
        <v>Victron</v>
      </c>
      <c r="F199" s="38" t="str">
        <f>VLOOKUP($A199, [6]!ProductsTable[#Data], 4, FALSE)</f>
        <v xml:space="preserve">Phoenix Inverter  48/1600 SMART </v>
      </c>
      <c r="G199" s="38" t="str">
        <f>VLOOKUP($A199, [6]!ProductsTable[#Data], 5, FALSE)</f>
        <v>PIN482160000</v>
      </c>
      <c r="I199" s="41" t="e">
        <f>VLOOKUP($A199, [6]!ProductsTable[#Data], 7, FALSE)</f>
        <v>#REF!</v>
      </c>
      <c r="J199" s="39" t="e">
        <f>VLOOKUP($A199, [6]!ProductsTable[#Data], 8, FALSE)</f>
        <v>#REF!</v>
      </c>
      <c r="K199">
        <f>VLOOKUP($A199, [6]!ProductsTable[#Data], 9, FALSE)</f>
        <v>0</v>
      </c>
      <c r="L199" s="38">
        <f>VLOOKUP($A199, [6]!ProductsTable[#Data], 10, FALSE)</f>
        <v>12</v>
      </c>
      <c r="M199" s="38">
        <f>VLOOKUP($A199, [6]!ProductsTable[#Data], 11, FALSE)</f>
        <v>48.5</v>
      </c>
      <c r="N199" s="38">
        <f>VLOOKUP($A199, [6]!ProductsTable[#Data], 12, FALSE)</f>
        <v>21.9</v>
      </c>
      <c r="O199" s="38">
        <f>VLOOKUP($A199, [6]!ProductsTable[#Data], 13, FALSE)</f>
        <v>12.5</v>
      </c>
      <c r="R199" s="38" t="str">
        <f>VLOOKUP($A199, [6]!ProductsTable[#Data], 14, FALSE)</f>
        <v>1-Victron</v>
      </c>
      <c r="AE199" t="e">
        <f>COUNTIF('[7]product-export'!$A$2:$A$379, A199)</f>
        <v>#VALUE!</v>
      </c>
    </row>
    <row r="200" spans="1:31" x14ac:dyDescent="0.25">
      <c r="A200" s="76" t="s">
        <v>395</v>
      </c>
      <c r="B200" s="38" t="str">
        <f>VLOOKUP($A200, [6]!ProductsTable[#Data], 2, FALSE)</f>
        <v>Inverters</v>
      </c>
      <c r="C200" s="8" t="s">
        <v>217</v>
      </c>
      <c r="D200" s="8" t="s">
        <v>231</v>
      </c>
      <c r="E200" s="38" t="str">
        <f>VLOOKUP($A200, [6]!ProductsTable[#Data], 3, FALSE)</f>
        <v>Victron</v>
      </c>
      <c r="F200" s="38" t="str">
        <f>VLOOKUP($A200, [6]!ProductsTable[#Data], 4, FALSE)</f>
        <v xml:space="preserve">Phoenix Inverter  12/2000 SMART </v>
      </c>
      <c r="G200" s="38" t="str">
        <f>VLOOKUP($A200, [6]!ProductsTable[#Data], 5, FALSE)</f>
        <v>PIN122200000</v>
      </c>
      <c r="I200" s="41" t="e">
        <f>VLOOKUP($A200, [6]!ProductsTable[#Data], 7, FALSE)</f>
        <v>#REF!</v>
      </c>
      <c r="J200" s="39" t="e">
        <f>VLOOKUP($A200, [6]!ProductsTable[#Data], 8, FALSE)</f>
        <v>#REF!</v>
      </c>
      <c r="K200">
        <f>VLOOKUP($A200, [6]!ProductsTable[#Data], 9, FALSE)</f>
        <v>0</v>
      </c>
      <c r="L200" s="38">
        <f>VLOOKUP($A200, [6]!ProductsTable[#Data], 10, FALSE)</f>
        <v>13</v>
      </c>
      <c r="M200" s="38">
        <f>VLOOKUP($A200, [6]!ProductsTable[#Data], 11, FALSE)</f>
        <v>48.5</v>
      </c>
      <c r="N200" s="38">
        <f>VLOOKUP($A200, [6]!ProductsTable[#Data], 12, FALSE)</f>
        <v>21.9</v>
      </c>
      <c r="O200" s="38">
        <f>VLOOKUP($A200, [6]!ProductsTable[#Data], 13, FALSE)</f>
        <v>12.5</v>
      </c>
      <c r="R200" s="38" t="str">
        <f>VLOOKUP($A200, [6]!ProductsTable[#Data], 14, FALSE)</f>
        <v>1-Victron</v>
      </c>
      <c r="AE200" t="e">
        <f>COUNTIF('[7]product-export'!$A$2:$A$379, A200)</f>
        <v>#VALUE!</v>
      </c>
    </row>
    <row r="201" spans="1:31" x14ac:dyDescent="0.25">
      <c r="A201" s="76" t="s">
        <v>396</v>
      </c>
      <c r="B201" s="38" t="str">
        <f>VLOOKUP($A201, [6]!ProductsTable[#Data], 2, FALSE)</f>
        <v>Inverters</v>
      </c>
      <c r="C201" s="8" t="s">
        <v>217</v>
      </c>
      <c r="D201" s="8" t="s">
        <v>231</v>
      </c>
      <c r="E201" s="38" t="str">
        <f>VLOOKUP($A201, [6]!ProductsTable[#Data], 3, FALSE)</f>
        <v>Victron</v>
      </c>
      <c r="F201" s="38" t="str">
        <f>VLOOKUP($A201, [6]!ProductsTable[#Data], 4, FALSE)</f>
        <v xml:space="preserve">Phoenix Inverter  12/1600 SMART </v>
      </c>
      <c r="G201" s="38" t="str">
        <f>VLOOKUP($A201, [6]!ProductsTable[#Data], 5, FALSE)</f>
        <v>PIN122160000</v>
      </c>
      <c r="I201" s="41" t="e">
        <f>VLOOKUP($A201, [6]!ProductsTable[#Data], 7, FALSE)</f>
        <v>#REF!</v>
      </c>
      <c r="J201" s="39" t="e">
        <f>VLOOKUP($A201, [6]!ProductsTable[#Data], 8, FALSE)</f>
        <v>#REF!</v>
      </c>
      <c r="K201">
        <f>VLOOKUP($A201, [6]!ProductsTable[#Data], 9, FALSE)</f>
        <v>0</v>
      </c>
      <c r="L201" s="38">
        <f>VLOOKUP($A201, [6]!ProductsTable[#Data], 10, FALSE)</f>
        <v>12</v>
      </c>
      <c r="M201" s="38">
        <f>VLOOKUP($A201, [6]!ProductsTable[#Data], 11, FALSE)</f>
        <v>48.5</v>
      </c>
      <c r="N201" s="38">
        <f>VLOOKUP($A201, [6]!ProductsTable[#Data], 12, FALSE)</f>
        <v>21.9</v>
      </c>
      <c r="O201" s="38">
        <f>VLOOKUP($A201, [6]!ProductsTable[#Data], 13, FALSE)</f>
        <v>12.5</v>
      </c>
      <c r="R201" s="38" t="str">
        <f>VLOOKUP($A201, [6]!ProductsTable[#Data], 14, FALSE)</f>
        <v>1-Victron</v>
      </c>
      <c r="AE201" t="e">
        <f>COUNTIF('[7]product-export'!$A$2:$A$379, A201)</f>
        <v>#VALUE!</v>
      </c>
    </row>
    <row r="202" spans="1:31" x14ac:dyDescent="0.25">
      <c r="A202" s="76" t="s">
        <v>398</v>
      </c>
      <c r="B202" s="38" t="str">
        <f>VLOOKUP($A202, [6]!ProductsTable[#Data], 2, FALSE)</f>
        <v>Inverters</v>
      </c>
      <c r="C202" s="8" t="s">
        <v>217</v>
      </c>
      <c r="D202" s="8" t="s">
        <v>231</v>
      </c>
      <c r="E202" s="38" t="str">
        <f>VLOOKUP($A202, [6]!ProductsTable[#Data], 3, FALSE)</f>
        <v>Victron</v>
      </c>
      <c r="F202" s="38" t="str">
        <f>VLOOKUP($A202, [6]!ProductsTable[#Data], 4, FALSE)</f>
        <v>Phoenix 48/250 VE.Direct AU/NZ</v>
      </c>
      <c r="G202" s="38" t="str">
        <f>VLOOKUP($A202, [6]!ProductsTable[#Data], 5, FALSE)</f>
        <v>PIN482510300</v>
      </c>
      <c r="I202" s="41" t="e">
        <f>VLOOKUP($A202, [6]!ProductsTable[#Data], 7, FALSE)</f>
        <v>#REF!</v>
      </c>
      <c r="J202" s="39" t="e">
        <f>VLOOKUP($A202, [6]!ProductsTable[#Data], 8, FALSE)</f>
        <v>#REF!</v>
      </c>
      <c r="K202">
        <f>VLOOKUP($A202, [6]!ProductsTable[#Data], 9, FALSE)</f>
        <v>0</v>
      </c>
      <c r="L202" s="38">
        <f>VLOOKUP($A202, [6]!ProductsTable[#Data], 10, FALSE)</f>
        <v>2.4</v>
      </c>
      <c r="M202" s="38">
        <f>VLOOKUP($A202, [6]!ProductsTable[#Data], 11, FALSE)</f>
        <v>26</v>
      </c>
      <c r="N202" s="38">
        <f>VLOOKUP($A202, [6]!ProductsTable[#Data], 12, FALSE)</f>
        <v>16.5</v>
      </c>
      <c r="O202" s="38">
        <f>VLOOKUP($A202, [6]!ProductsTable[#Data], 13, FALSE)</f>
        <v>8.6</v>
      </c>
      <c r="R202" s="38" t="str">
        <f>VLOOKUP($A202, [6]!ProductsTable[#Data], 14, FALSE)</f>
        <v>1-Victron</v>
      </c>
      <c r="AE202" t="e">
        <f>COUNTIF('[7]product-export'!$A$2:$A$379, A202)</f>
        <v>#VALUE!</v>
      </c>
    </row>
    <row r="203" spans="1:31" x14ac:dyDescent="0.25">
      <c r="A203" s="88" t="s">
        <v>101</v>
      </c>
      <c r="B203" s="38" t="str">
        <f>VLOOKUP($A203, [6]!ProductsTable[#Data], 2, FALSE)</f>
        <v>Fuses</v>
      </c>
      <c r="C203" s="8" t="s">
        <v>151</v>
      </c>
      <c r="D203" s="8" t="s">
        <v>166</v>
      </c>
      <c r="E203" s="38" t="str">
        <f>VLOOKUP($A203, [6]!ProductsTable[#Data], 3, FALSE)</f>
        <v>DKSH</v>
      </c>
      <c r="F203" s="38" t="str">
        <f>VLOOKUP($A203, [6]!ProductsTable[#Data], 4, FALSE)</f>
        <v>Solar Fuse 15 Amp GPV 10mm x 38mm</v>
      </c>
      <c r="G203" s="38" t="str">
        <f>VLOOKUP($A203, [6]!ProductsTable[#Data], 5, FALSE)</f>
        <v>30F15PV</v>
      </c>
      <c r="I203" s="41" t="e">
        <f>VLOOKUP($A203, [6]!ProductsTable[#Data], 7, FALSE)</f>
        <v>#REF!</v>
      </c>
      <c r="J203" s="39" t="e">
        <f>VLOOKUP($A203, [6]!ProductsTable[#Data], 8, FALSE)</f>
        <v>#REF!</v>
      </c>
      <c r="K203">
        <f>VLOOKUP($A203, [6]!ProductsTable[#Data], 9, FALSE)</f>
        <v>0</v>
      </c>
      <c r="L203" s="38">
        <f>VLOOKUP($A203, [6]!ProductsTable[#Data], 10, FALSE)</f>
        <v>0</v>
      </c>
      <c r="M203" s="38">
        <f>VLOOKUP($A203, [6]!ProductsTable[#Data], 11, FALSE)</f>
        <v>3.8</v>
      </c>
      <c r="N203" s="38">
        <f>VLOOKUP($A203, [6]!ProductsTable[#Data], 12, FALSE)</f>
        <v>1</v>
      </c>
      <c r="O203" s="38">
        <f>VLOOKUP($A203, [6]!ProductsTable[#Data], 13, FALSE)</f>
        <v>1</v>
      </c>
      <c r="R203" s="38" t="str">
        <f>VLOOKUP($A203, [6]!ProductsTable[#Data], 14, FALSE)</f>
        <v>3-Tradezone</v>
      </c>
      <c r="AE203" t="e">
        <f>COUNTIF('[7]product-export'!$A$2:$A$379, A203)</f>
        <v>#VALUE!</v>
      </c>
    </row>
    <row r="204" spans="1:31" x14ac:dyDescent="0.25">
      <c r="A204" s="76" t="s">
        <v>399</v>
      </c>
      <c r="B204" s="38" t="str">
        <f>VLOOKUP($A204, [6]!ProductsTable[#Data], 2, FALSE)</f>
        <v>Inverters</v>
      </c>
      <c r="C204" s="8" t="s">
        <v>217</v>
      </c>
      <c r="D204" s="8" t="s">
        <v>231</v>
      </c>
      <c r="E204" s="38" t="str">
        <f>VLOOKUP($A204, [6]!ProductsTable[#Data], 3, FALSE)</f>
        <v>Victron</v>
      </c>
      <c r="F204" s="38" t="str">
        <f>VLOOKUP($A204, [6]!ProductsTable[#Data], 4, FALSE)</f>
        <v>Phoenix 48/375 VE.Direct AU/NZ</v>
      </c>
      <c r="G204" s="38" t="str">
        <f>VLOOKUP($A204, [6]!ProductsTable[#Data], 5, FALSE)</f>
        <v>PIN483750300</v>
      </c>
      <c r="I204" s="41" t="e">
        <f>VLOOKUP($A204, [6]!ProductsTable[#Data], 7, FALSE)</f>
        <v>#REF!</v>
      </c>
      <c r="J204" s="39" t="e">
        <f>VLOOKUP($A204, [6]!ProductsTable[#Data], 8, FALSE)</f>
        <v>#REF!</v>
      </c>
      <c r="K204">
        <f>VLOOKUP($A204, [6]!ProductsTable[#Data], 9, FALSE)</f>
        <v>0</v>
      </c>
      <c r="L204" s="38">
        <f>VLOOKUP($A204, [6]!ProductsTable[#Data], 10, FALSE)</f>
        <v>3</v>
      </c>
      <c r="M204" s="38">
        <f>VLOOKUP($A204, [6]!ProductsTable[#Data], 11, FALSE)</f>
        <v>26</v>
      </c>
      <c r="N204" s="38">
        <f>VLOOKUP($A204, [6]!ProductsTable[#Data], 12, FALSE)</f>
        <v>16.5</v>
      </c>
      <c r="O204" s="38">
        <f>VLOOKUP($A204, [6]!ProductsTable[#Data], 13, FALSE)</f>
        <v>8.6</v>
      </c>
      <c r="R204" s="38" t="str">
        <f>VLOOKUP($A204, [6]!ProductsTable[#Data], 14, FALSE)</f>
        <v>1-Victron</v>
      </c>
      <c r="AE204" t="e">
        <f>COUNTIF('[7]product-export'!$A$2:$A$379, A204)</f>
        <v>#VALUE!</v>
      </c>
    </row>
    <row r="205" spans="1:31" x14ac:dyDescent="0.25">
      <c r="A205" s="76" t="s">
        <v>400</v>
      </c>
      <c r="B205" s="38" t="str">
        <f>VLOOKUP($A205, [6]!ProductsTable[#Data], 2, FALSE)</f>
        <v>Inverters</v>
      </c>
      <c r="C205" s="8" t="s">
        <v>217</v>
      </c>
      <c r="D205" s="8" t="s">
        <v>231</v>
      </c>
      <c r="E205" s="38" t="str">
        <f>VLOOKUP($A205, [6]!ProductsTable[#Data], 3, FALSE)</f>
        <v>Victron</v>
      </c>
      <c r="F205" s="38" t="str">
        <f>VLOOKUP($A205, [6]!ProductsTable[#Data], 4, FALSE)</f>
        <v>Phoenix 48/500 VE.Direct AU/NZ</v>
      </c>
      <c r="G205" s="38" t="str">
        <f>VLOOKUP($A205, [6]!ProductsTable[#Data], 5, FALSE)</f>
        <v>PIN485010300</v>
      </c>
      <c r="I205" s="41" t="e">
        <f>VLOOKUP($A205, [6]!ProductsTable[#Data], 7, FALSE)</f>
        <v>#REF!</v>
      </c>
      <c r="J205" s="39" t="e">
        <f>VLOOKUP($A205, [6]!ProductsTable[#Data], 8, FALSE)</f>
        <v>#REF!</v>
      </c>
      <c r="K205">
        <f>VLOOKUP($A205, [6]!ProductsTable[#Data], 9, FALSE)</f>
        <v>0</v>
      </c>
      <c r="L205" s="38">
        <f>VLOOKUP($A205, [6]!ProductsTable[#Data], 10, FALSE)</f>
        <v>3.9</v>
      </c>
      <c r="M205" s="38">
        <f>VLOOKUP($A205, [6]!ProductsTable[#Data], 11, FALSE)</f>
        <v>27.5</v>
      </c>
      <c r="N205" s="38">
        <f>VLOOKUP($A205, [6]!ProductsTable[#Data], 12, FALSE)</f>
        <v>17.2</v>
      </c>
      <c r="O205" s="38">
        <f>VLOOKUP($A205, [6]!ProductsTable[#Data], 13, FALSE)</f>
        <v>8.6</v>
      </c>
      <c r="R205" s="38" t="str">
        <f>VLOOKUP($A205, [6]!ProductsTable[#Data], 14, FALSE)</f>
        <v>1-Victron</v>
      </c>
      <c r="AE205" t="e">
        <f>COUNTIF('[7]product-export'!$A$2:$A$379, A205)</f>
        <v>#VALUE!</v>
      </c>
    </row>
    <row r="206" spans="1:31" x14ac:dyDescent="0.25">
      <c r="A206" s="76" t="s">
        <v>482</v>
      </c>
      <c r="B206" s="38" t="str">
        <f>VLOOKUP($A206, [6]!ProductsTable[#Data], 2, FALSE)</f>
        <v>Control</v>
      </c>
      <c r="C206" s="8" t="s">
        <v>153</v>
      </c>
      <c r="D206" s="8" t="s">
        <v>230</v>
      </c>
      <c r="E206" s="38" t="str">
        <f>VLOOKUP($A206, [6]!ProductsTable[#Data], 3, FALSE)</f>
        <v>Victron</v>
      </c>
      <c r="F206" s="38" t="str">
        <f>VLOOKUP($A206, [6]!ProductsTable[#Data], 4, FALSE)</f>
        <v>Cable Victron VE.Direct 0.9m (one side Right Angle conn)</v>
      </c>
      <c r="G206" s="38" t="str">
        <f>VLOOKUP($A206, [6]!ProductsTable[#Data], 5, FALSE)</f>
        <v>ASS030531209</v>
      </c>
      <c r="I206" s="41" t="e">
        <f>VLOOKUP($A206, [6]!ProductsTable[#Data], 7, FALSE)</f>
        <v>#REF!</v>
      </c>
      <c r="J206" s="39" t="e">
        <f>VLOOKUP($A206, [6]!ProductsTable[#Data], 8, FALSE)</f>
        <v>#REF!</v>
      </c>
      <c r="K206">
        <f>VLOOKUP($A206, [6]!ProductsTable[#Data], 9, FALSE)</f>
        <v>0</v>
      </c>
      <c r="L206" s="38">
        <f>VLOOKUP($A206, [6]!ProductsTable[#Data], 10, FALSE)</f>
        <v>0.15</v>
      </c>
      <c r="M206" s="38">
        <f>VLOOKUP($A206, [6]!ProductsTable[#Data], 11, FALSE)</f>
        <v>10</v>
      </c>
      <c r="N206" s="38">
        <f>VLOOKUP($A206, [6]!ProductsTable[#Data], 12, FALSE)</f>
        <v>10</v>
      </c>
      <c r="O206" s="38">
        <f>VLOOKUP($A206, [6]!ProductsTable[#Data], 13, FALSE)</f>
        <v>1</v>
      </c>
      <c r="R206" s="38" t="str">
        <f>VLOOKUP($A206, [6]!ProductsTable[#Data], 14, FALSE)</f>
        <v>1-Victron</v>
      </c>
      <c r="AE206" t="e">
        <f>COUNTIF('[7]product-export'!$A$2:$A$379, A206)</f>
        <v>#VALUE!</v>
      </c>
    </row>
    <row r="207" spans="1:31" x14ac:dyDescent="0.25">
      <c r="A207" s="88" t="s">
        <v>76</v>
      </c>
      <c r="B207" s="38" t="str">
        <f>VLOOKUP($A207, [6]!ProductsTable[#Data], 2, FALSE)</f>
        <v>Victron Accessories</v>
      </c>
      <c r="C207" s="8" t="s">
        <v>156</v>
      </c>
      <c r="D207" s="8" t="s">
        <v>215</v>
      </c>
      <c r="E207" s="38" t="str">
        <f>VLOOKUP($A207, [6]!ProductsTable[#Data], 3, FALSE)</f>
        <v>Victron</v>
      </c>
      <c r="F207" s="38" t="str">
        <f>VLOOKUP($A207, [6]!ProductsTable[#Data], 4, FALSE)</f>
        <v>VE.Can to CAN-bus BMS type B Cable 1.8m</v>
      </c>
      <c r="G207" s="38" t="str">
        <f>VLOOKUP($A207, [6]!ProductsTable[#Data], 5, FALSE)</f>
        <v>ASS030720018</v>
      </c>
      <c r="I207" s="41" t="e">
        <f>VLOOKUP($A207, [6]!ProductsTable[#Data], 7, FALSE)</f>
        <v>#REF!</v>
      </c>
      <c r="J207" s="39" t="e">
        <f>VLOOKUP($A207, [6]!ProductsTable[#Data], 8, FALSE)</f>
        <v>#REF!</v>
      </c>
      <c r="K207">
        <f>VLOOKUP($A207, [6]!ProductsTable[#Data], 9, FALSE)</f>
        <v>0</v>
      </c>
      <c r="L207" s="38">
        <f>VLOOKUP($A207, [6]!ProductsTable[#Data], 10, FALSE)</f>
        <v>0.1</v>
      </c>
      <c r="M207" s="38">
        <f>VLOOKUP($A207, [6]!ProductsTable[#Data], 11, FALSE)</f>
        <v>15</v>
      </c>
      <c r="N207" s="38">
        <f>VLOOKUP($A207, [6]!ProductsTable[#Data], 12, FALSE)</f>
        <v>15</v>
      </c>
      <c r="O207" s="38">
        <f>VLOOKUP($A207, [6]!ProductsTable[#Data], 13, FALSE)</f>
        <v>1</v>
      </c>
      <c r="R207" s="38" t="str">
        <f>VLOOKUP($A207, [6]!ProductsTable[#Data], 14, FALSE)</f>
        <v>1-Victron</v>
      </c>
      <c r="AE207" t="e">
        <f>COUNTIF('[7]product-export'!$A$2:$A$379, A207)</f>
        <v>#VALUE!</v>
      </c>
    </row>
    <row r="208" spans="1:31" x14ac:dyDescent="0.25">
      <c r="A208" s="88" t="s">
        <v>79</v>
      </c>
      <c r="B208" s="38" t="str">
        <f>VLOOKUP($A208, [6]!ProductsTable[#Data], 2, FALSE)</f>
        <v>Control</v>
      </c>
      <c r="C208" s="8" t="s">
        <v>153</v>
      </c>
      <c r="D208" s="8" t="s">
        <v>181</v>
      </c>
      <c r="E208" s="38" t="str">
        <f>VLOOKUP($A208, [6]!ProductsTable[#Data], 3, FALSE)</f>
        <v>Victron</v>
      </c>
      <c r="F208" s="38" t="str">
        <f>VLOOKUP($A208, [6]!ProductsTable[#Data], 4, FALSE)</f>
        <v>Energy Meter Victron ET340 3 Phase</v>
      </c>
      <c r="G208" s="38" t="str">
        <f>VLOOKUP($A208, [6]!ProductsTable[#Data], 5, FALSE)</f>
        <v>REL300300000</v>
      </c>
      <c r="I208" s="41" t="e">
        <f>VLOOKUP($A208, [6]!ProductsTable[#Data], 7, FALSE)</f>
        <v>#REF!</v>
      </c>
      <c r="J208" s="39" t="e">
        <f>VLOOKUP($A208, [6]!ProductsTable[#Data], 8, FALSE)</f>
        <v>#REF!</v>
      </c>
      <c r="K208">
        <f>VLOOKUP($A208, [6]!ProductsTable[#Data], 9, FALSE)</f>
        <v>0</v>
      </c>
      <c r="L208" s="38">
        <f>VLOOKUP($A208, [6]!ProductsTable[#Data], 10, FALSE)</f>
        <v>0.5</v>
      </c>
      <c r="M208" s="38">
        <f>VLOOKUP($A208, [6]!ProductsTable[#Data], 11, FALSE)</f>
        <v>10</v>
      </c>
      <c r="N208" s="38">
        <f>VLOOKUP($A208, [6]!ProductsTable[#Data], 12, FALSE)</f>
        <v>8</v>
      </c>
      <c r="O208" s="38">
        <f>VLOOKUP($A208, [6]!ProductsTable[#Data], 13, FALSE)</f>
        <v>5</v>
      </c>
      <c r="R208" s="38" t="str">
        <f>VLOOKUP($A208, [6]!ProductsTable[#Data], 14, FALSE)</f>
        <v>1-Victron</v>
      </c>
      <c r="AE208" t="e">
        <f>COUNTIF('[7]product-export'!$A$2:$A$379, A208)</f>
        <v>#VALUE!</v>
      </c>
    </row>
    <row r="209" spans="1:31" x14ac:dyDescent="0.25">
      <c r="A209" s="76" t="s">
        <v>409</v>
      </c>
      <c r="B209" s="38" t="str">
        <f>VLOOKUP($A209, [6]!ProductsTable[#Data], 2, FALSE)</f>
        <v>Inverter-Chargers</v>
      </c>
      <c r="C209" s="8" t="s">
        <v>217</v>
      </c>
      <c r="D209" s="8" t="s">
        <v>171</v>
      </c>
      <c r="E209" s="38" t="str">
        <f>VLOOKUP($A209, [6]!ProductsTable[#Data], 3, FALSE)</f>
        <v>Victron</v>
      </c>
      <c r="F209" s="38" t="str">
        <f>VLOOKUP($A209, [6]!ProductsTable[#Data], 4, FALSE)</f>
        <v>EasySolar 12/1600/70-16</v>
      </c>
      <c r="G209" s="38" t="str">
        <f>VLOOKUP($A209, [6]!ProductsTable[#Data], 5, FALSE)</f>
        <v>CEP121621000</v>
      </c>
      <c r="I209" s="41" t="e">
        <f>VLOOKUP($A209, [6]!ProductsTable[#Data], 7, FALSE)</f>
        <v>#REF!</v>
      </c>
      <c r="J209" s="39" t="e">
        <f>VLOOKUP($A209, [6]!ProductsTable[#Data], 8, FALSE)</f>
        <v>#REF!</v>
      </c>
      <c r="K209">
        <f>VLOOKUP($A209, [6]!ProductsTable[#Data], 9, FALSE)</f>
        <v>0</v>
      </c>
      <c r="L209" s="38">
        <f>VLOOKUP($A209, [6]!ProductsTable[#Data], 10, FALSE)</f>
        <v>15</v>
      </c>
      <c r="M209" s="38">
        <f>VLOOKUP($A209, [6]!ProductsTable[#Data], 11, FALSE)</f>
        <v>75.400000000000006</v>
      </c>
      <c r="N209" s="38">
        <f>VLOOKUP($A209, [6]!ProductsTable[#Data], 12, FALSE)</f>
        <v>24.5</v>
      </c>
      <c r="O209" s="38">
        <f>VLOOKUP($A209, [6]!ProductsTable[#Data], 13, FALSE)</f>
        <v>11</v>
      </c>
      <c r="R209" s="38" t="str">
        <f>VLOOKUP($A209, [6]!ProductsTable[#Data], 14, FALSE)</f>
        <v>1-Victron</v>
      </c>
      <c r="AE209" t="e">
        <f>COUNTIF('[7]product-export'!$A$2:$A$379, A209)</f>
        <v>#VALUE!</v>
      </c>
    </row>
    <row r="210" spans="1:31" x14ac:dyDescent="0.25">
      <c r="A210" s="76" t="s">
        <v>410</v>
      </c>
      <c r="B210" s="38" t="str">
        <f>VLOOKUP($A210, [6]!ProductsTable[#Data], 2, FALSE)</f>
        <v>Inverter-Chargers</v>
      </c>
      <c r="C210" s="8" t="s">
        <v>217</v>
      </c>
      <c r="D210" s="8" t="s">
        <v>171</v>
      </c>
      <c r="E210" s="38" t="str">
        <f>VLOOKUP($A210, [6]!ProductsTable[#Data], 3, FALSE)</f>
        <v>Victron</v>
      </c>
      <c r="F210" s="38" t="str">
        <f>VLOOKUP($A210, [6]!ProductsTable[#Data], 4, FALSE)</f>
        <v>EasySolar 24/1600/40-16</v>
      </c>
      <c r="G210" s="38" t="str">
        <f>VLOOKUP($A210, [6]!ProductsTable[#Data], 5, FALSE)</f>
        <v>CEP241621010</v>
      </c>
      <c r="I210" s="41" t="e">
        <f>VLOOKUP($A210, [6]!ProductsTable[#Data], 7, FALSE)</f>
        <v>#REF!</v>
      </c>
      <c r="J210" s="39" t="e">
        <f>VLOOKUP($A210, [6]!ProductsTable[#Data], 8, FALSE)</f>
        <v>#REF!</v>
      </c>
      <c r="K210">
        <f>VLOOKUP($A210, [6]!ProductsTable[#Data], 9, FALSE)</f>
        <v>0</v>
      </c>
      <c r="L210" s="38">
        <f>VLOOKUP($A210, [6]!ProductsTable[#Data], 10, FALSE)</f>
        <v>15</v>
      </c>
      <c r="M210" s="38">
        <f>VLOOKUP($A210, [6]!ProductsTable[#Data], 11, FALSE)</f>
        <v>74.5</v>
      </c>
      <c r="N210" s="38">
        <f>VLOOKUP($A210, [6]!ProductsTable[#Data], 12, FALSE)</f>
        <v>21.4</v>
      </c>
      <c r="O210" s="38">
        <f>VLOOKUP($A210, [6]!ProductsTable[#Data], 13, FALSE)</f>
        <v>11</v>
      </c>
      <c r="R210" s="38" t="str">
        <f>VLOOKUP($A210, [6]!ProductsTable[#Data], 14, FALSE)</f>
        <v>1-Victron</v>
      </c>
      <c r="AE210" t="e">
        <f>COUNTIF('[7]product-export'!$A$2:$A$379, A210)</f>
        <v>#VALUE!</v>
      </c>
    </row>
    <row r="211" spans="1:31" x14ac:dyDescent="0.25">
      <c r="A211" s="76" t="s">
        <v>411</v>
      </c>
      <c r="B211" s="38" t="str">
        <f>VLOOKUP($A211, [6]!ProductsTable[#Data], 2, FALSE)</f>
        <v>Inverter-Chargers</v>
      </c>
      <c r="C211" s="8" t="s">
        <v>217</v>
      </c>
      <c r="D211" s="8" t="s">
        <v>171</v>
      </c>
      <c r="E211" s="38" t="str">
        <f>VLOOKUP($A211, [6]!ProductsTable[#Data], 3, FALSE)</f>
        <v>Victron</v>
      </c>
      <c r="F211" s="38" t="str">
        <f>VLOOKUP($A211, [6]!ProductsTable[#Data], 4, FALSE)</f>
        <v>Multiplus-II GX 48/3000/35-32</v>
      </c>
      <c r="G211" s="38" t="str">
        <f>VLOOKUP($A211, [6]!ProductsTable[#Data], 5, FALSE)</f>
        <v>PMP482306000</v>
      </c>
      <c r="I211" s="41" t="e">
        <f>VLOOKUP($A211, [6]!ProductsTable[#Data], 7, FALSE)</f>
        <v>#REF!</v>
      </c>
      <c r="J211" s="39" t="e">
        <f>VLOOKUP($A211, [6]!ProductsTable[#Data], 8, FALSE)</f>
        <v>#REF!</v>
      </c>
      <c r="K211">
        <f>VLOOKUP($A211, [6]!ProductsTable[#Data], 9, FALSE)</f>
        <v>0</v>
      </c>
      <c r="L211" s="38">
        <f>VLOOKUP($A211, [6]!ProductsTable[#Data], 10, FALSE)</f>
        <v>26</v>
      </c>
      <c r="M211" s="38">
        <f>VLOOKUP($A211, [6]!ProductsTable[#Data], 11, FALSE)</f>
        <v>50.6</v>
      </c>
      <c r="N211" s="38">
        <f>VLOOKUP($A211, [6]!ProductsTable[#Data], 12, FALSE)</f>
        <v>27.5</v>
      </c>
      <c r="O211" s="38">
        <f>VLOOKUP($A211, [6]!ProductsTable[#Data], 13, FALSE)</f>
        <v>14.7</v>
      </c>
      <c r="R211" s="38" t="str">
        <f>VLOOKUP($A211, [6]!ProductsTable[#Data], 14, FALSE)</f>
        <v>1-Victron</v>
      </c>
      <c r="AE211" t="e">
        <f>COUNTIF('[7]product-export'!$A$2:$A$379, A211)</f>
        <v>#VALUE!</v>
      </c>
    </row>
    <row r="212" spans="1:31" x14ac:dyDescent="0.25">
      <c r="A212" s="76" t="s">
        <v>414</v>
      </c>
      <c r="B212" s="38" t="str">
        <f>VLOOKUP($A212, [6]!ProductsTable[#Data], 2, FALSE)</f>
        <v>Inverter-Chargers</v>
      </c>
      <c r="C212" s="8" t="s">
        <v>217</v>
      </c>
      <c r="D212" s="8" t="s">
        <v>171</v>
      </c>
      <c r="E212" s="38" t="str">
        <f>VLOOKUP($A212, [6]!ProductsTable[#Data], 3, FALSE)</f>
        <v>Victron</v>
      </c>
      <c r="F212" s="38" t="str">
        <f>VLOOKUP($A212, [6]!ProductsTable[#Data], 4, FALSE)</f>
        <v>Multiplus 12/1600/70</v>
      </c>
      <c r="G212" s="38" t="str">
        <f>VLOOKUP($A212, [6]!ProductsTable[#Data], 5, FALSE)</f>
        <v>PMP122160000</v>
      </c>
      <c r="I212" s="41" t="e">
        <f>VLOOKUP($A212, [6]!ProductsTable[#Data], 7, FALSE)</f>
        <v>#REF!</v>
      </c>
      <c r="J212" s="39" t="e">
        <f>VLOOKUP($A212, [6]!ProductsTable[#Data], 8, FALSE)</f>
        <v>#REF!</v>
      </c>
      <c r="K212">
        <f>VLOOKUP($A212, [6]!ProductsTable[#Data], 9, FALSE)</f>
        <v>0</v>
      </c>
      <c r="L212" s="38">
        <f>VLOOKUP($A212, [6]!ProductsTable[#Data], 10, FALSE)</f>
        <v>10.199999999999999</v>
      </c>
      <c r="M212" s="38">
        <f>VLOOKUP($A212, [6]!ProductsTable[#Data], 11, FALSE)</f>
        <v>47</v>
      </c>
      <c r="N212" s="38">
        <f>VLOOKUP($A212, [6]!ProductsTable[#Data], 12, FALSE)</f>
        <v>26.5</v>
      </c>
      <c r="O212" s="38">
        <f>VLOOKUP($A212, [6]!ProductsTable[#Data], 13, FALSE)</f>
        <v>12</v>
      </c>
      <c r="R212" s="38" t="str">
        <f>VLOOKUP($A212, [6]!ProductsTable[#Data], 14, FALSE)</f>
        <v>1-Victron</v>
      </c>
      <c r="AE212" t="e">
        <f>COUNTIF('[7]product-export'!$A$2:$A$379, A212)</f>
        <v>#VALUE!</v>
      </c>
    </row>
    <row r="213" spans="1:31" x14ac:dyDescent="0.25">
      <c r="A213" s="76" t="s">
        <v>521</v>
      </c>
      <c r="B213" s="38" t="str">
        <f>VLOOKUP($A213, [6]!ProductsTable[#Data], 2, FALSE)</f>
        <v>Control</v>
      </c>
      <c r="C213" s="8" t="s">
        <v>153</v>
      </c>
      <c r="D213" s="8" t="s">
        <v>181</v>
      </c>
      <c r="E213" s="38" t="str">
        <f>VLOOKUP($A213, [6]!ProductsTable[#Data], 3, FALSE)</f>
        <v>Fronius</v>
      </c>
      <c r="F213" s="38" t="str">
        <f>VLOOKUP($A213, [6]!ProductsTable[#Data], 4, FALSE)</f>
        <v>Smart Meter 63A 3 phase</v>
      </c>
      <c r="G213" s="38" t="str">
        <f>VLOOKUP($A213, [6]!ProductsTable[#Data], 5, FALSE)</f>
        <v>SM63-3</v>
      </c>
      <c r="I213" s="41" t="e">
        <f>VLOOKUP($A213, [6]!ProductsTable[#Data], 7, FALSE)</f>
        <v>#REF!</v>
      </c>
      <c r="J213" s="39" t="e">
        <f>VLOOKUP($A213, [6]!ProductsTable[#Data], 8, FALSE)</f>
        <v>#REF!</v>
      </c>
      <c r="K213">
        <f>VLOOKUP($A213, [6]!ProductsTable[#Data], 9, FALSE)</f>
        <v>0</v>
      </c>
      <c r="L213" s="38">
        <f>VLOOKUP($A213, [6]!ProductsTable[#Data], 10, FALSE)</f>
        <v>0.35</v>
      </c>
      <c r="M213" s="38">
        <f>VLOOKUP($A213, [6]!ProductsTable[#Data], 11, FALSE)</f>
        <v>11</v>
      </c>
      <c r="N213" s="38">
        <f>VLOOKUP($A213, [6]!ProductsTable[#Data], 12, FALSE)</f>
        <v>7.5</v>
      </c>
      <c r="O213" s="38">
        <f>VLOOKUP($A213, [6]!ProductsTable[#Data], 13, FALSE)</f>
        <v>9.5</v>
      </c>
      <c r="R213" s="38" t="str">
        <f>VLOOKUP($A213, [6]!ProductsTable[#Data], 14, FALSE)</f>
        <v>2-Krannich</v>
      </c>
      <c r="AE213" t="e">
        <f>COUNTIF('[7]product-export'!$A$2:$A$379, A213)</f>
        <v>#VALUE!</v>
      </c>
    </row>
    <row r="214" spans="1:31" x14ac:dyDescent="0.25">
      <c r="A214" s="76" t="s">
        <v>483</v>
      </c>
      <c r="B214" s="38" t="str">
        <f>VLOOKUP($A214, [6]!ProductsTable[#Data], 2, FALSE)</f>
        <v>Cables</v>
      </c>
      <c r="C214" s="8" t="s">
        <v>153</v>
      </c>
      <c r="D214" s="8" t="s">
        <v>230</v>
      </c>
      <c r="E214" s="38" t="str">
        <f>VLOOKUP($A214, [6]!ProductsTable[#Data], 3, FALSE)</f>
        <v>Victron</v>
      </c>
      <c r="F214" s="38" t="str">
        <f>VLOOKUP($A214, [6]!ProductsTable[#Data], 4, FALSE)</f>
        <v>VE.Direct Cable 0.3m</v>
      </c>
      <c r="G214" s="38" t="str">
        <f>VLOOKUP($A214, [6]!ProductsTable[#Data], 5, FALSE)</f>
        <v>ASS030530203</v>
      </c>
      <c r="I214" s="41" t="e">
        <f>VLOOKUP($A214, [6]!ProductsTable[#Data], 7, FALSE)</f>
        <v>#REF!</v>
      </c>
      <c r="J214" s="39" t="e">
        <f>VLOOKUP($A214, [6]!ProductsTable[#Data], 8, FALSE)</f>
        <v>#REF!</v>
      </c>
      <c r="K214">
        <f>VLOOKUP($A214, [6]!ProductsTable[#Data], 9, FALSE)</f>
        <v>0</v>
      </c>
      <c r="L214" s="38">
        <f>VLOOKUP($A214, [6]!ProductsTable[#Data], 10, FALSE)</f>
        <v>0.15</v>
      </c>
      <c r="M214" s="38">
        <f>VLOOKUP($A214, [6]!ProductsTable[#Data], 11, FALSE)</f>
        <v>10</v>
      </c>
      <c r="N214" s="38">
        <f>VLOOKUP($A214, [6]!ProductsTable[#Data], 12, FALSE)</f>
        <v>10</v>
      </c>
      <c r="O214" s="38">
        <f>VLOOKUP($A214, [6]!ProductsTable[#Data], 13, FALSE)</f>
        <v>1</v>
      </c>
      <c r="R214" s="38" t="str">
        <f>VLOOKUP($A214, [6]!ProductsTable[#Data], 14, FALSE)</f>
        <v>1-Victron</v>
      </c>
      <c r="AE214" t="e">
        <f>COUNTIF('[7]product-export'!$A$2:$A$379, A214)</f>
        <v>#VALUE!</v>
      </c>
    </row>
    <row r="215" spans="1:31" x14ac:dyDescent="0.25">
      <c r="A215" s="76" t="s">
        <v>433</v>
      </c>
      <c r="B215" s="38" t="str">
        <f>VLOOKUP($A215, [6]!ProductsTable[#Data], 2, FALSE)</f>
        <v>Batteries</v>
      </c>
      <c r="C215" s="8" t="s">
        <v>149</v>
      </c>
      <c r="D215" s="8" t="s">
        <v>163</v>
      </c>
      <c r="E215" s="38" t="str">
        <f>VLOOKUP($A215, [6]!ProductsTable[#Data], 3, FALSE)</f>
        <v>VICTRON</v>
      </c>
      <c r="F215" s="38" t="str">
        <f>VLOOKUP($A215, [6]!ProductsTable[#Data], 4, FALSE)</f>
        <v xml:space="preserve">AGM Super Cycle Batt. 12V/15Ah </v>
      </c>
      <c r="G215" s="38" t="str">
        <f>VLOOKUP($A215, [6]!ProductsTable[#Data], 5, FALSE)</f>
        <v>BAT212120086</v>
      </c>
      <c r="I215" s="41" t="e">
        <f>VLOOKUP($A215, [6]!ProductsTable[#Data], 7, FALSE)</f>
        <v>#REF!</v>
      </c>
      <c r="J215" s="39" t="e">
        <f>VLOOKUP($A215, [6]!ProductsTable[#Data], 8, FALSE)</f>
        <v>#REF!</v>
      </c>
      <c r="K215">
        <f>VLOOKUP($A215, [6]!ProductsTable[#Data], 9, FALSE)</f>
        <v>0</v>
      </c>
      <c r="L215" s="38">
        <f>VLOOKUP($A215, [6]!ProductsTable[#Data], 10, FALSE)</f>
        <v>4</v>
      </c>
      <c r="M215" s="38">
        <f>VLOOKUP($A215, [6]!ProductsTable[#Data], 11, FALSE)</f>
        <v>15.1</v>
      </c>
      <c r="N215" s="38">
        <f>VLOOKUP($A215, [6]!ProductsTable[#Data], 12, FALSE)</f>
        <v>9.9</v>
      </c>
      <c r="O215" s="38">
        <f>VLOOKUP($A215, [6]!ProductsTable[#Data], 13, FALSE)</f>
        <v>10.3</v>
      </c>
      <c r="R215" s="38" t="str">
        <f>VLOOKUP($A215, [6]!ProductsTable[#Data], 14, FALSE)</f>
        <v>1-Victron</v>
      </c>
      <c r="AE215" t="e">
        <f>COUNTIF('[7]product-export'!$A$2:$A$379, A215)</f>
        <v>#VALUE!</v>
      </c>
    </row>
    <row r="216" spans="1:31" x14ac:dyDescent="0.25">
      <c r="A216" s="76" t="s">
        <v>441</v>
      </c>
      <c r="B216" s="38" t="str">
        <f>VLOOKUP($A216, [6]!ProductsTable[#Data], 2, FALSE)</f>
        <v>Batteries</v>
      </c>
      <c r="C216" s="8" t="s">
        <v>149</v>
      </c>
      <c r="D216" s="8" t="s">
        <v>162</v>
      </c>
      <c r="E216" s="38" t="str">
        <f>VLOOKUP($A216, [6]!ProductsTable[#Data], 3, FALSE)</f>
        <v>VICTRON</v>
      </c>
      <c r="F216" s="38" t="str">
        <f>VLOOKUP($A216, [6]!ProductsTable[#Data], 4, FALSE)</f>
        <v>Gel Deep Cycle Batt. 12V60Ah (C20)</v>
      </c>
      <c r="G216" s="38" t="str">
        <f>VLOOKUP($A216, [6]!ProductsTable[#Data], 5, FALSE)</f>
        <v>BAT412550104</v>
      </c>
      <c r="I216" s="41" t="e">
        <f>VLOOKUP($A216, [6]!ProductsTable[#Data], 7, FALSE)</f>
        <v>#REF!</v>
      </c>
      <c r="J216" s="39" t="e">
        <f>VLOOKUP($A216, [6]!ProductsTable[#Data], 8, FALSE)</f>
        <v>#REF!</v>
      </c>
      <c r="K216">
        <f>VLOOKUP($A216, [6]!ProductsTable[#Data], 9, FALSE)</f>
        <v>0</v>
      </c>
      <c r="L216" s="38">
        <f>VLOOKUP($A216, [6]!ProductsTable[#Data], 10, FALSE)</f>
        <v>19</v>
      </c>
      <c r="M216" s="38">
        <f>VLOOKUP($A216, [6]!ProductsTable[#Data], 11, FALSE)</f>
        <v>22.9</v>
      </c>
      <c r="N216" s="38">
        <f>VLOOKUP($A216, [6]!ProductsTable[#Data], 12, FALSE)</f>
        <v>13.8</v>
      </c>
      <c r="O216" s="38">
        <f>VLOOKUP($A216, [6]!ProductsTable[#Data], 13, FALSE)</f>
        <v>22.7</v>
      </c>
      <c r="R216" s="38" t="str">
        <f>VLOOKUP($A216, [6]!ProductsTable[#Data], 14, FALSE)</f>
        <v>1-Victron</v>
      </c>
      <c r="AE216" t="e">
        <f>COUNTIF('[7]product-export'!$A$2:$A$379, A216)</f>
        <v>#VALUE!</v>
      </c>
    </row>
    <row r="217" spans="1:31" x14ac:dyDescent="0.25">
      <c r="A217" s="76" t="s">
        <v>449</v>
      </c>
      <c r="B217" s="38" t="str">
        <f>VLOOKUP($A217, [6]!ProductsTable[#Data], 2, FALSE)</f>
        <v>Batteries</v>
      </c>
      <c r="C217" s="8" t="s">
        <v>149</v>
      </c>
      <c r="D217" s="8" t="s">
        <v>163</v>
      </c>
      <c r="E217" s="38" t="str">
        <f>VLOOKUP($A217, [6]!ProductsTable[#Data], 3, FALSE)</f>
        <v>VICTRON</v>
      </c>
      <c r="F217" s="38" t="str">
        <f>VLOOKUP($A217, [6]!ProductsTable[#Data], 4, FALSE)</f>
        <v>Lead Carbon Battery 12V/106Ah (M8)</v>
      </c>
      <c r="G217" s="38" t="str">
        <f>VLOOKUP($A217, [6]!ProductsTable[#Data], 5, FALSE)</f>
        <v>BAT612110081</v>
      </c>
      <c r="I217" s="41" t="e">
        <f>VLOOKUP($A217, [6]!ProductsTable[#Data], 7, FALSE)</f>
        <v>#REF!</v>
      </c>
      <c r="J217" s="39" t="e">
        <f>VLOOKUP($A217, [6]!ProductsTable[#Data], 8, FALSE)</f>
        <v>#REF!</v>
      </c>
      <c r="K217">
        <f>VLOOKUP($A217, [6]!ProductsTable[#Data], 9, FALSE)</f>
        <v>0</v>
      </c>
      <c r="L217" s="38">
        <f>VLOOKUP($A217, [6]!ProductsTable[#Data], 10, FALSE)</f>
        <v>36</v>
      </c>
      <c r="M217" s="38">
        <f>VLOOKUP($A217, [6]!ProductsTable[#Data], 11, FALSE)</f>
        <v>41</v>
      </c>
      <c r="N217" s="38">
        <f>VLOOKUP($A217, [6]!ProductsTable[#Data], 12, FALSE)</f>
        <v>18</v>
      </c>
      <c r="O217" s="38">
        <f>VLOOKUP($A217, [6]!ProductsTable[#Data], 13, FALSE)</f>
        <v>21</v>
      </c>
      <c r="R217" s="38" t="str">
        <f>VLOOKUP($A217, [6]!ProductsTable[#Data], 14, FALSE)</f>
        <v>1-Victron</v>
      </c>
      <c r="AE217" t="e">
        <f>COUNTIF('[7]product-export'!$A$2:$A$379, A217)</f>
        <v>#VALUE!</v>
      </c>
    </row>
    <row r="218" spans="1:31" x14ac:dyDescent="0.25">
      <c r="A218" s="76" t="s">
        <v>451</v>
      </c>
      <c r="B218" s="38" t="str">
        <f>VLOOKUP($A218, [6]!ProductsTable[#Data], 2, FALSE)</f>
        <v>Batteries</v>
      </c>
      <c r="C218" s="8" t="s">
        <v>149</v>
      </c>
      <c r="D218" s="8" t="s">
        <v>161</v>
      </c>
      <c r="E218" s="38" t="str">
        <f>VLOOKUP($A218, [6]!ProductsTable[#Data], 3, FALSE)</f>
        <v>VICTRON</v>
      </c>
      <c r="F218" s="38" t="str">
        <f>VLOOKUP($A218, [6]!ProductsTable[#Data], 4, FALSE)</f>
        <v>LiFePO4 battery 12.8V/60Ah - Smart</v>
      </c>
      <c r="G218" s="38" t="str">
        <f>VLOOKUP($A218, [6]!ProductsTable[#Data], 5, FALSE)</f>
        <v>BAT512060410</v>
      </c>
      <c r="I218" s="41" t="e">
        <f>VLOOKUP($A218, [6]!ProductsTable[#Data], 7, FALSE)</f>
        <v>#REF!</v>
      </c>
      <c r="J218" s="39" t="e">
        <f>VLOOKUP($A218, [6]!ProductsTable[#Data], 8, FALSE)</f>
        <v>#REF!</v>
      </c>
      <c r="K218">
        <f>VLOOKUP($A218, [6]!ProductsTable[#Data], 9, FALSE)</f>
        <v>0</v>
      </c>
      <c r="L218" s="38">
        <f>VLOOKUP($A218, [6]!ProductsTable[#Data], 10, FALSE)</f>
        <v>12</v>
      </c>
      <c r="M218" s="38">
        <f>VLOOKUP($A218, [6]!ProductsTable[#Data], 11, FALSE)</f>
        <v>23.5</v>
      </c>
      <c r="N218" s="38">
        <f>VLOOKUP($A218, [6]!ProductsTable[#Data], 12, FALSE)</f>
        <v>28.5</v>
      </c>
      <c r="O218" s="38">
        <f>VLOOKUP($A218, [6]!ProductsTable[#Data], 13, FALSE)</f>
        <v>13.6</v>
      </c>
      <c r="R218" s="38" t="str">
        <f>VLOOKUP($A218, [6]!ProductsTable[#Data], 14, FALSE)</f>
        <v>1-Victron</v>
      </c>
      <c r="AE218" t="e">
        <f>COUNTIF('[7]product-export'!$A$2:$A$379, A218)</f>
        <v>#VALUE!</v>
      </c>
    </row>
    <row r="219" spans="1:31" x14ac:dyDescent="0.25">
      <c r="A219" s="76" t="s">
        <v>458</v>
      </c>
      <c r="B219" s="38" t="str">
        <f>VLOOKUP($A219, [6]!ProductsTable[#Data], 2, FALSE)</f>
        <v>Batteries</v>
      </c>
      <c r="C219" s="8" t="s">
        <v>149</v>
      </c>
      <c r="D219" s="8" t="s">
        <v>161</v>
      </c>
      <c r="E219" s="38" t="str">
        <f>VLOOKUP($A219, [6]!ProductsTable[#Data], 3, FALSE)</f>
        <v>VICTRON</v>
      </c>
      <c r="F219" s="38" t="str">
        <f>VLOOKUP($A219, [6]!ProductsTable[#Data], 4, FALSE)</f>
        <v>Lithium SuperPack 12,8V/20Ah (M5)</v>
      </c>
      <c r="G219" s="38" t="str">
        <f>VLOOKUP($A219, [6]!ProductsTable[#Data], 5, FALSE)</f>
        <v>BAT512020705</v>
      </c>
      <c r="I219" s="41" t="e">
        <f>VLOOKUP($A219, [6]!ProductsTable[#Data], 7, FALSE)</f>
        <v>#REF!</v>
      </c>
      <c r="J219" s="39" t="e">
        <f>VLOOKUP($A219, [6]!ProductsTable[#Data], 8, FALSE)</f>
        <v>#REF!</v>
      </c>
      <c r="K219">
        <f>VLOOKUP($A219, [6]!ProductsTable[#Data], 9, FALSE)</f>
        <v>0</v>
      </c>
      <c r="L219" s="38">
        <f>VLOOKUP($A219, [6]!ProductsTable[#Data], 10, FALSE)</f>
        <v>3.3</v>
      </c>
      <c r="M219" s="38">
        <f>VLOOKUP($A219, [6]!ProductsTable[#Data], 11, FALSE)</f>
        <v>19.27</v>
      </c>
      <c r="N219" s="38">
        <f>VLOOKUP($A219, [6]!ProductsTable[#Data], 12, FALSE)</f>
        <v>18</v>
      </c>
      <c r="O219" s="38">
        <f>VLOOKUP($A219, [6]!ProductsTable[#Data], 13, FALSE)</f>
        <v>18</v>
      </c>
      <c r="R219" s="38" t="str">
        <f>VLOOKUP($A219, [6]!ProductsTable[#Data], 14, FALSE)</f>
        <v>1-Victron</v>
      </c>
      <c r="AE219" t="e">
        <f>COUNTIF('[7]product-export'!$A$2:$A$379, A219)</f>
        <v>#VALUE!</v>
      </c>
    </row>
    <row r="220" spans="1:31" x14ac:dyDescent="0.25">
      <c r="A220" s="76" t="s">
        <v>416</v>
      </c>
      <c r="B220" s="38" t="str">
        <f>VLOOKUP($A220, [6]!ProductsTable[#Data], 2, FALSE)</f>
        <v>Batteries</v>
      </c>
      <c r="C220" s="8" t="s">
        <v>149</v>
      </c>
      <c r="D220" s="8" t="s">
        <v>163</v>
      </c>
      <c r="E220" s="38" t="str">
        <f>VLOOKUP($A220, [6]!ProductsTable[#Data], 3, FALSE)</f>
        <v>VICTRON</v>
      </c>
      <c r="F220" s="38" t="str">
        <f>VLOOKUP($A220, [6]!ProductsTable[#Data], 4, FALSE)</f>
        <v>AGM Deep Cycle 12V/8Ah</v>
      </c>
      <c r="G220" s="38" t="str">
        <f>VLOOKUP($A220, [6]!ProductsTable[#Data], 5, FALSE)</f>
        <v>BAT212070084</v>
      </c>
      <c r="I220" s="41" t="e">
        <f>VLOOKUP($A220, [6]!ProductsTable[#Data], 7, FALSE)</f>
        <v>#REF!</v>
      </c>
      <c r="J220" s="39" t="e">
        <f>VLOOKUP($A220, [6]!ProductsTable[#Data], 8, FALSE)</f>
        <v>#REF!</v>
      </c>
      <c r="K220">
        <f>VLOOKUP($A220, [6]!ProductsTable[#Data], 9, FALSE)</f>
        <v>0</v>
      </c>
      <c r="L220" s="38">
        <f>VLOOKUP($A220, [6]!ProductsTable[#Data], 10, FALSE)</f>
        <v>2.2999999999999998</v>
      </c>
      <c r="M220" s="38">
        <f>VLOOKUP($A220, [6]!ProductsTable[#Data], 11, FALSE)</f>
        <v>15.1</v>
      </c>
      <c r="N220" s="38">
        <f>VLOOKUP($A220, [6]!ProductsTable[#Data], 12, FALSE)</f>
        <v>6.5</v>
      </c>
      <c r="O220" s="38">
        <f>VLOOKUP($A220, [6]!ProductsTable[#Data], 13, FALSE)</f>
        <v>10.1</v>
      </c>
      <c r="R220" s="38" t="str">
        <f>VLOOKUP($A220, [6]!ProductsTable[#Data], 14, FALSE)</f>
        <v>1-Victron</v>
      </c>
      <c r="AE220" t="e">
        <f>COUNTIF('[7]product-export'!$A$2:$A$379, A220)</f>
        <v>#VALUE!</v>
      </c>
    </row>
    <row r="221" spans="1:31" x14ac:dyDescent="0.25">
      <c r="A221" s="76" t="s">
        <v>417</v>
      </c>
      <c r="B221" s="38" t="str">
        <f>VLOOKUP($A221, [6]!ProductsTable[#Data], 2, FALSE)</f>
        <v>Batteries</v>
      </c>
      <c r="C221" s="8" t="s">
        <v>149</v>
      </c>
      <c r="D221" s="8" t="s">
        <v>163</v>
      </c>
      <c r="E221" s="38" t="str">
        <f>VLOOKUP($A221, [6]!ProductsTable[#Data], 3, FALSE)</f>
        <v>VICTRON</v>
      </c>
      <c r="F221" s="38" t="str">
        <f>VLOOKUP($A221, [6]!ProductsTable[#Data], 4, FALSE)</f>
        <v>AGM Deep Cycle 12V/14Ah</v>
      </c>
      <c r="G221" s="38" t="str">
        <f>VLOOKUP($A221, [6]!ProductsTable[#Data], 5, FALSE)</f>
        <v>BAT212120086</v>
      </c>
      <c r="I221" s="41" t="e">
        <f>VLOOKUP($A221, [6]!ProductsTable[#Data], 7, FALSE)</f>
        <v>#REF!</v>
      </c>
      <c r="J221" s="39" t="e">
        <f>VLOOKUP($A221, [6]!ProductsTable[#Data], 8, FALSE)</f>
        <v>#REF!</v>
      </c>
      <c r="K221">
        <f>VLOOKUP($A221, [6]!ProductsTable[#Data], 9, FALSE)</f>
        <v>0</v>
      </c>
      <c r="L221" s="38">
        <f>VLOOKUP($A221, [6]!ProductsTable[#Data], 10, FALSE)</f>
        <v>4.4000000000000004</v>
      </c>
      <c r="M221" s="38">
        <f>VLOOKUP($A221, [6]!ProductsTable[#Data], 11, FALSE)</f>
        <v>15.1</v>
      </c>
      <c r="N221" s="38">
        <f>VLOOKUP($A221, [6]!ProductsTable[#Data], 12, FALSE)</f>
        <v>9.8000000000000007</v>
      </c>
      <c r="O221" s="38">
        <f>VLOOKUP($A221, [6]!ProductsTable[#Data], 13, FALSE)</f>
        <v>10.1</v>
      </c>
      <c r="R221" s="38" t="str">
        <f>VLOOKUP($A221, [6]!ProductsTable[#Data], 14, FALSE)</f>
        <v>1-Victron</v>
      </c>
      <c r="AE221" t="e">
        <f>COUNTIF('[7]product-export'!$A$2:$A$379, A221)</f>
        <v>#VALUE!</v>
      </c>
    </row>
    <row r="222" spans="1:31" x14ac:dyDescent="0.25">
      <c r="A222" s="76" t="s">
        <v>418</v>
      </c>
      <c r="B222" s="38" t="str">
        <f>VLOOKUP($A222, [6]!ProductsTable[#Data], 2, FALSE)</f>
        <v>Batteries</v>
      </c>
      <c r="C222" s="8" t="s">
        <v>149</v>
      </c>
      <c r="D222" s="8" t="s">
        <v>163</v>
      </c>
      <c r="E222" s="38" t="str">
        <f>VLOOKUP($A222, [6]!ProductsTable[#Data], 3, FALSE)</f>
        <v>VICTRON</v>
      </c>
      <c r="F222" s="38" t="str">
        <f>VLOOKUP($A222, [6]!ProductsTable[#Data], 4, FALSE)</f>
        <v>AGM Deep Cycle 12V/22Ah</v>
      </c>
      <c r="G222" s="38" t="str">
        <f>VLOOKUP($A222, [6]!ProductsTable[#Data], 5, FALSE)</f>
        <v>BAT212200084</v>
      </c>
      <c r="I222" s="41" t="e">
        <f>VLOOKUP($A222, [6]!ProductsTable[#Data], 7, FALSE)</f>
        <v>#REF!</v>
      </c>
      <c r="J222" s="39" t="e">
        <f>VLOOKUP($A222, [6]!ProductsTable[#Data], 8, FALSE)</f>
        <v>#REF!</v>
      </c>
      <c r="K222">
        <f>VLOOKUP($A222, [6]!ProductsTable[#Data], 9, FALSE)</f>
        <v>0</v>
      </c>
      <c r="L222" s="38">
        <f>VLOOKUP($A222, [6]!ProductsTable[#Data], 10, FALSE)</f>
        <v>5.8</v>
      </c>
      <c r="M222" s="38">
        <f>VLOOKUP($A222, [6]!ProductsTable[#Data], 11, FALSE)</f>
        <v>18.100000000000001</v>
      </c>
      <c r="N222" s="38">
        <f>VLOOKUP($A222, [6]!ProductsTable[#Data], 12, FALSE)</f>
        <v>7.7</v>
      </c>
      <c r="O222" s="38">
        <f>VLOOKUP($A222, [6]!ProductsTable[#Data], 13, FALSE)</f>
        <v>16.7</v>
      </c>
      <c r="R222" s="38" t="str">
        <f>VLOOKUP($A222, [6]!ProductsTable[#Data], 14, FALSE)</f>
        <v>1-Victron</v>
      </c>
      <c r="AE222" t="e">
        <f>COUNTIF('[7]product-export'!$A$2:$A$379, A222)</f>
        <v>#VALUE!</v>
      </c>
    </row>
    <row r="223" spans="1:31" x14ac:dyDescent="0.25">
      <c r="A223" s="76" t="s">
        <v>419</v>
      </c>
      <c r="B223" s="38" t="str">
        <f>VLOOKUP($A223, [6]!ProductsTable[#Data], 2, FALSE)</f>
        <v>Batteries</v>
      </c>
      <c r="C223" s="8" t="s">
        <v>149</v>
      </c>
      <c r="D223" s="8" t="s">
        <v>163</v>
      </c>
      <c r="E223" s="38" t="str">
        <f>VLOOKUP($A223, [6]!ProductsTable[#Data], 3, FALSE)</f>
        <v>VICTRON</v>
      </c>
      <c r="F223" s="38" t="str">
        <f>VLOOKUP($A223, [6]!ProductsTable[#Data], 4, FALSE)</f>
        <v>AGM Deep Cycle 12V/38Ah</v>
      </c>
      <c r="G223" s="38" t="str">
        <f>VLOOKUP($A223, [6]!ProductsTable[#Data], 5, FALSE)</f>
        <v>BAT412350084</v>
      </c>
      <c r="I223" s="41" t="e">
        <f>VLOOKUP($A223, [6]!ProductsTable[#Data], 7, FALSE)</f>
        <v>#REF!</v>
      </c>
      <c r="J223" s="39" t="e">
        <f>VLOOKUP($A223, [6]!ProductsTable[#Data], 8, FALSE)</f>
        <v>#REF!</v>
      </c>
      <c r="K223">
        <f>VLOOKUP($A223, [6]!ProductsTable[#Data], 9, FALSE)</f>
        <v>0</v>
      </c>
      <c r="L223" s="38">
        <f>VLOOKUP($A223, [6]!ProductsTable[#Data], 10, FALSE)</f>
        <v>15</v>
      </c>
      <c r="M223" s="38">
        <f>VLOOKUP($A223, [6]!ProductsTable[#Data], 11, FALSE)</f>
        <v>19.7</v>
      </c>
      <c r="N223" s="38">
        <f>VLOOKUP($A223, [6]!ProductsTable[#Data], 12, FALSE)</f>
        <v>16.5</v>
      </c>
      <c r="O223" s="38">
        <f>VLOOKUP($A223, [6]!ProductsTable[#Data], 13, FALSE)</f>
        <v>17</v>
      </c>
      <c r="R223" s="38" t="str">
        <f>VLOOKUP($A223, [6]!ProductsTable[#Data], 14, FALSE)</f>
        <v>1-Victron</v>
      </c>
      <c r="AE223" t="e">
        <f>COUNTIF('[7]product-export'!$A$2:$A$379, A223)</f>
        <v>#VALUE!</v>
      </c>
    </row>
    <row r="224" spans="1:31" x14ac:dyDescent="0.25">
      <c r="A224" s="76" t="s">
        <v>420</v>
      </c>
      <c r="B224" s="38" t="str">
        <f>VLOOKUP($A224, [6]!ProductsTable[#Data], 2, FALSE)</f>
        <v>Batteries</v>
      </c>
      <c r="C224" s="8" t="s">
        <v>149</v>
      </c>
      <c r="D224" s="8" t="s">
        <v>163</v>
      </c>
      <c r="E224" s="38" t="str">
        <f>VLOOKUP($A224, [6]!ProductsTable[#Data], 3, FALSE)</f>
        <v>VICTRON</v>
      </c>
      <c r="F224" s="38" t="str">
        <f>VLOOKUP($A224, [6]!ProductsTable[#Data], 4, FALSE)</f>
        <v>AGM Deep Cycle 12V/60Ah</v>
      </c>
      <c r="G224" s="38" t="str">
        <f>VLOOKUP($A224, [6]!ProductsTable[#Data], 5, FALSE)</f>
        <v>BAT412550084</v>
      </c>
      <c r="I224" s="41" t="e">
        <f>VLOOKUP($A224, [6]!ProductsTable[#Data], 7, FALSE)</f>
        <v>#REF!</v>
      </c>
      <c r="J224" s="39" t="e">
        <f>VLOOKUP($A224, [6]!ProductsTable[#Data], 8, FALSE)</f>
        <v>#REF!</v>
      </c>
      <c r="K224">
        <f>VLOOKUP($A224, [6]!ProductsTable[#Data], 9, FALSE)</f>
        <v>0</v>
      </c>
      <c r="L224" s="38">
        <f>VLOOKUP($A224, [6]!ProductsTable[#Data], 10, FALSE)</f>
        <v>18</v>
      </c>
      <c r="M224" s="38">
        <f>VLOOKUP($A224, [6]!ProductsTable[#Data], 11, FALSE)</f>
        <v>22.9</v>
      </c>
      <c r="N224" s="38">
        <f>VLOOKUP($A224, [6]!ProductsTable[#Data], 12, FALSE)</f>
        <v>13.8</v>
      </c>
      <c r="O224" s="38">
        <f>VLOOKUP($A224, [6]!ProductsTable[#Data], 13, FALSE)</f>
        <v>22.7</v>
      </c>
      <c r="R224" s="38" t="str">
        <f>VLOOKUP($A224, [6]!ProductsTable[#Data], 14, FALSE)</f>
        <v>1-Victron</v>
      </c>
      <c r="AE224" t="e">
        <f>COUNTIF('[7]product-export'!$A$2:$A$379, A224)</f>
        <v>#VALUE!</v>
      </c>
    </row>
    <row r="225" spans="1:31" x14ac:dyDescent="0.25">
      <c r="A225" s="76" t="s">
        <v>421</v>
      </c>
      <c r="B225" s="38" t="str">
        <f>VLOOKUP($A225, [6]!ProductsTable[#Data], 2, FALSE)</f>
        <v>Batteries</v>
      </c>
      <c r="C225" s="8" t="s">
        <v>149</v>
      </c>
      <c r="D225" s="8" t="s">
        <v>163</v>
      </c>
      <c r="E225" s="38" t="str">
        <f>VLOOKUP($A225, [6]!ProductsTable[#Data], 3, FALSE)</f>
        <v>VICTRON</v>
      </c>
      <c r="F225" s="38" t="str">
        <f>VLOOKUP($A225, [6]!ProductsTable[#Data], 4, FALSE)</f>
        <v>AGM Deep Cycle 12V/66Ah</v>
      </c>
      <c r="G225" s="38" t="str">
        <f>VLOOKUP($A225, [6]!ProductsTable[#Data], 5, FALSE)</f>
        <v>BAT412600084</v>
      </c>
      <c r="I225" s="41" t="e">
        <f>VLOOKUP($A225, [6]!ProductsTable[#Data], 7, FALSE)</f>
        <v>#REF!</v>
      </c>
      <c r="J225" s="39" t="e">
        <f>VLOOKUP($A225, [6]!ProductsTable[#Data], 8, FALSE)</f>
        <v>#REF!</v>
      </c>
      <c r="K225">
        <f>VLOOKUP($A225, [6]!ProductsTable[#Data], 9, FALSE)</f>
        <v>0</v>
      </c>
      <c r="L225" s="38">
        <f>VLOOKUP($A225, [6]!ProductsTable[#Data], 10, FALSE)</f>
        <v>24</v>
      </c>
      <c r="M225" s="38">
        <f>VLOOKUP($A225, [6]!ProductsTable[#Data], 11, FALSE)</f>
        <v>25.8</v>
      </c>
      <c r="N225" s="38">
        <f>VLOOKUP($A225, [6]!ProductsTable[#Data], 12, FALSE)</f>
        <v>16.600000000000001</v>
      </c>
      <c r="O225" s="38">
        <f>VLOOKUP($A225, [6]!ProductsTable[#Data], 13, FALSE)</f>
        <v>23.5</v>
      </c>
      <c r="R225" s="38" t="str">
        <f>VLOOKUP($A225, [6]!ProductsTable[#Data], 14, FALSE)</f>
        <v>1-Victron</v>
      </c>
      <c r="AE225" t="e">
        <f>COUNTIF('[7]product-export'!$A$2:$A$379, A225)</f>
        <v>#VALUE!</v>
      </c>
    </row>
    <row r="226" spans="1:31" x14ac:dyDescent="0.25">
      <c r="A226" s="76" t="s">
        <v>422</v>
      </c>
      <c r="B226" s="38" t="str">
        <f>VLOOKUP($A226, [6]!ProductsTable[#Data], 2, FALSE)</f>
        <v>Batteries</v>
      </c>
      <c r="C226" s="8" t="s">
        <v>149</v>
      </c>
      <c r="D226" s="8" t="s">
        <v>163</v>
      </c>
      <c r="E226" s="38" t="str">
        <f>VLOOKUP($A226, [6]!ProductsTable[#Data], 3, FALSE)</f>
        <v>VICTRON</v>
      </c>
      <c r="F226" s="38" t="str">
        <f>VLOOKUP($A226, [6]!ProductsTable[#Data], 4, FALSE)</f>
        <v>AGM Deep Cycle 12V/90Ah</v>
      </c>
      <c r="G226" s="38" t="str">
        <f>VLOOKUP($A226, [6]!ProductsTable[#Data], 5, FALSE)</f>
        <v>BAT412800084</v>
      </c>
      <c r="I226" s="41" t="e">
        <f>VLOOKUP($A226, [6]!ProductsTable[#Data], 7, FALSE)</f>
        <v>#REF!</v>
      </c>
      <c r="J226" s="39" t="e">
        <f>VLOOKUP($A226, [6]!ProductsTable[#Data], 8, FALSE)</f>
        <v>#REF!</v>
      </c>
      <c r="K226">
        <f>VLOOKUP($A226, [6]!ProductsTable[#Data], 9, FALSE)</f>
        <v>0</v>
      </c>
      <c r="L226" s="38">
        <f>VLOOKUP($A226, [6]!ProductsTable[#Data], 10, FALSE)</f>
        <v>27</v>
      </c>
      <c r="M226" s="38">
        <f>VLOOKUP($A226, [6]!ProductsTable[#Data], 11, FALSE)</f>
        <v>35</v>
      </c>
      <c r="N226" s="38">
        <f>VLOOKUP($A226, [6]!ProductsTable[#Data], 12, FALSE)</f>
        <v>16.7</v>
      </c>
      <c r="O226" s="38">
        <f>VLOOKUP($A226, [6]!ProductsTable[#Data], 13, FALSE)</f>
        <v>18.3</v>
      </c>
      <c r="R226" s="38" t="str">
        <f>VLOOKUP($A226, [6]!ProductsTable[#Data], 14, FALSE)</f>
        <v>1-Victron</v>
      </c>
      <c r="AE226" t="e">
        <f>COUNTIF('[7]product-export'!$A$2:$A$379, A226)</f>
        <v>#VALUE!</v>
      </c>
    </row>
    <row r="227" spans="1:31" x14ac:dyDescent="0.25">
      <c r="A227" s="76" t="s">
        <v>423</v>
      </c>
      <c r="B227" s="38" t="str">
        <f>VLOOKUP($A227, [6]!ProductsTable[#Data], 2, FALSE)</f>
        <v>Batteries</v>
      </c>
      <c r="C227" s="8" t="s">
        <v>149</v>
      </c>
      <c r="D227" s="8" t="s">
        <v>163</v>
      </c>
      <c r="E227" s="38" t="str">
        <f>VLOOKUP($A227, [6]!ProductsTable[#Data], 3, FALSE)</f>
        <v>VICTRON</v>
      </c>
      <c r="F227" s="38" t="str">
        <f>VLOOKUP($A227, [6]!ProductsTable[#Data], 4, FALSE)</f>
        <v xml:space="preserve">AGM Deep Cycle 12V/110Ah </v>
      </c>
      <c r="G227" s="38" t="str">
        <f>VLOOKUP($A227, [6]!ProductsTable[#Data], 5, FALSE)</f>
        <v>BAT412101084</v>
      </c>
      <c r="I227" s="41" t="e">
        <f>VLOOKUP($A227, [6]!ProductsTable[#Data], 7, FALSE)</f>
        <v>#REF!</v>
      </c>
      <c r="J227" s="39" t="e">
        <f>VLOOKUP($A227, [6]!ProductsTable[#Data], 8, FALSE)</f>
        <v>#REF!</v>
      </c>
      <c r="K227">
        <f>VLOOKUP($A227, [6]!ProductsTable[#Data], 9, FALSE)</f>
        <v>0</v>
      </c>
      <c r="L227" s="38">
        <f>VLOOKUP($A227, [6]!ProductsTable[#Data], 10, FALSE)</f>
        <v>32</v>
      </c>
      <c r="M227" s="38">
        <f>VLOOKUP($A227, [6]!ProductsTable[#Data], 11, FALSE)</f>
        <v>33</v>
      </c>
      <c r="N227" s="38">
        <f>VLOOKUP($A227, [6]!ProductsTable[#Data], 12, FALSE)</f>
        <v>17.100000000000001</v>
      </c>
      <c r="O227" s="38">
        <f>VLOOKUP($A227, [6]!ProductsTable[#Data], 13, FALSE)</f>
        <v>22</v>
      </c>
      <c r="R227" s="38" t="str">
        <f>VLOOKUP($A227, [6]!ProductsTable[#Data], 14, FALSE)</f>
        <v>1-Victron</v>
      </c>
      <c r="AE227" t="e">
        <f>COUNTIF('[7]product-export'!$A$2:$A$379, A227)</f>
        <v>#VALUE!</v>
      </c>
    </row>
    <row r="228" spans="1:31" x14ac:dyDescent="0.25">
      <c r="A228" s="76" t="s">
        <v>424</v>
      </c>
      <c r="B228" s="38" t="str">
        <f>VLOOKUP($A228, [6]!ProductsTable[#Data], 2, FALSE)</f>
        <v>Batteries</v>
      </c>
      <c r="C228" s="8" t="s">
        <v>149</v>
      </c>
      <c r="D228" s="8" t="s">
        <v>163</v>
      </c>
      <c r="E228" s="38" t="str">
        <f>VLOOKUP($A228, [6]!ProductsTable[#Data], 3, FALSE)</f>
        <v>VICTRON</v>
      </c>
      <c r="F228" s="38" t="str">
        <f>VLOOKUP($A228, [6]!ProductsTable[#Data], 4, FALSE)</f>
        <v>AGM Deep Cycle 12V/130Ah</v>
      </c>
      <c r="G228" s="38" t="str">
        <f>VLOOKUP($A228, [6]!ProductsTable[#Data], 5, FALSE)</f>
        <v>BAT412121084</v>
      </c>
      <c r="I228" s="41" t="e">
        <f>VLOOKUP($A228, [6]!ProductsTable[#Data], 7, FALSE)</f>
        <v>#REF!</v>
      </c>
      <c r="J228" s="39" t="e">
        <f>VLOOKUP($A228, [6]!ProductsTable[#Data], 8, FALSE)</f>
        <v>#REF!</v>
      </c>
      <c r="K228">
        <f>VLOOKUP($A228, [6]!ProductsTable[#Data], 9, FALSE)</f>
        <v>0</v>
      </c>
      <c r="L228" s="38">
        <f>VLOOKUP($A228, [6]!ProductsTable[#Data], 10, FALSE)</f>
        <v>38</v>
      </c>
      <c r="M228" s="38">
        <f>VLOOKUP($A228, [6]!ProductsTable[#Data], 11, FALSE)</f>
        <v>41</v>
      </c>
      <c r="N228" s="38">
        <f>VLOOKUP($A228, [6]!ProductsTable[#Data], 12, FALSE)</f>
        <v>17.600000000000001</v>
      </c>
      <c r="O228" s="38">
        <f>VLOOKUP($A228, [6]!ProductsTable[#Data], 13, FALSE)</f>
        <v>22.7</v>
      </c>
      <c r="R228" s="38" t="str">
        <f>VLOOKUP($A228, [6]!ProductsTable[#Data], 14, FALSE)</f>
        <v>1-Victron</v>
      </c>
      <c r="AE228" t="e">
        <f>COUNTIF('[7]product-export'!$A$2:$A$379, A228)</f>
        <v>#VALUE!</v>
      </c>
    </row>
    <row r="229" spans="1:31" x14ac:dyDescent="0.25">
      <c r="A229" s="76" t="s">
        <v>425</v>
      </c>
      <c r="B229" s="38" t="str">
        <f>VLOOKUP($A229, [6]!ProductsTable[#Data], 2, FALSE)</f>
        <v>Batteries</v>
      </c>
      <c r="C229" s="8" t="s">
        <v>149</v>
      </c>
      <c r="D229" s="8" t="s">
        <v>163</v>
      </c>
      <c r="E229" s="38" t="str">
        <f>VLOOKUP($A229, [6]!ProductsTable[#Data], 3, FALSE)</f>
        <v>VICTRON</v>
      </c>
      <c r="F229" s="38" t="str">
        <f>VLOOKUP($A229, [6]!ProductsTable[#Data], 4, FALSE)</f>
        <v>AGM Deep Cycle 12V/165Ah</v>
      </c>
      <c r="G229" s="38" t="str">
        <f>VLOOKUP($A229, [6]!ProductsTable[#Data], 5, FALSE)</f>
        <v>BAT412151084</v>
      </c>
      <c r="I229" s="41" t="e">
        <f>VLOOKUP($A229, [6]!ProductsTable[#Data], 7, FALSE)</f>
        <v>#REF!</v>
      </c>
      <c r="J229" s="39" t="e">
        <f>VLOOKUP($A229, [6]!ProductsTable[#Data], 8, FALSE)</f>
        <v>#REF!</v>
      </c>
      <c r="K229">
        <f>VLOOKUP($A229, [6]!ProductsTable[#Data], 9, FALSE)</f>
        <v>0</v>
      </c>
      <c r="L229" s="38">
        <f>VLOOKUP($A229, [6]!ProductsTable[#Data], 10, FALSE)</f>
        <v>47</v>
      </c>
      <c r="M229" s="38">
        <f>VLOOKUP($A229, [6]!ProductsTable[#Data], 11, FALSE)</f>
        <v>48.5</v>
      </c>
      <c r="N229" s="38">
        <f>VLOOKUP($A229, [6]!ProductsTable[#Data], 12, FALSE)</f>
        <v>17.2</v>
      </c>
      <c r="O229" s="38">
        <f>VLOOKUP($A229, [6]!ProductsTable[#Data], 13, FALSE)</f>
        <v>24</v>
      </c>
      <c r="R229" s="38" t="str">
        <f>VLOOKUP($A229, [6]!ProductsTable[#Data], 14, FALSE)</f>
        <v>1-Victron</v>
      </c>
      <c r="AE229" t="e">
        <f>COUNTIF('[7]product-export'!$A$2:$A$379, A229)</f>
        <v>#VALUE!</v>
      </c>
    </row>
    <row r="230" spans="1:31" x14ac:dyDescent="0.25">
      <c r="A230" s="76" t="s">
        <v>426</v>
      </c>
      <c r="B230" s="38" t="str">
        <f>VLOOKUP($A230, [6]!ProductsTable[#Data], 2, FALSE)</f>
        <v>Batteries</v>
      </c>
      <c r="C230" s="8" t="s">
        <v>149</v>
      </c>
      <c r="D230" s="8" t="s">
        <v>163</v>
      </c>
      <c r="E230" s="38" t="str">
        <f>VLOOKUP($A230, [6]!ProductsTable[#Data], 3, FALSE)</f>
        <v>VICTRON</v>
      </c>
      <c r="F230" s="38" t="str">
        <f>VLOOKUP($A230, [6]!ProductsTable[#Data], 4, FALSE)</f>
        <v xml:space="preserve">AGM Deep Cycle 12V/220Ah </v>
      </c>
      <c r="G230" s="38" t="str">
        <f>VLOOKUP($A230, [6]!ProductsTable[#Data], 5, FALSE)</f>
        <v>BAT412201084</v>
      </c>
      <c r="I230" s="41" t="e">
        <f>VLOOKUP($A230, [6]!ProductsTable[#Data], 7, FALSE)</f>
        <v>#REF!</v>
      </c>
      <c r="J230" s="39" t="e">
        <f>VLOOKUP($A230, [6]!ProductsTable[#Data], 8, FALSE)</f>
        <v>#REF!</v>
      </c>
      <c r="K230">
        <f>VLOOKUP($A230, [6]!ProductsTable[#Data], 9, FALSE)</f>
        <v>0</v>
      </c>
      <c r="L230" s="38">
        <f>VLOOKUP($A230, [6]!ProductsTable[#Data], 10, FALSE)</f>
        <v>65</v>
      </c>
      <c r="M230" s="38">
        <f>VLOOKUP($A230, [6]!ProductsTable[#Data], 11, FALSE)</f>
        <v>52.2</v>
      </c>
      <c r="N230" s="38">
        <f>VLOOKUP($A230, [6]!ProductsTable[#Data], 12, FALSE)</f>
        <v>23.8</v>
      </c>
      <c r="O230" s="38">
        <f>VLOOKUP($A230, [6]!ProductsTable[#Data], 13, FALSE)</f>
        <v>24</v>
      </c>
      <c r="R230" s="38" t="str">
        <f>VLOOKUP($A230, [6]!ProductsTable[#Data], 14, FALSE)</f>
        <v>1-Victron</v>
      </c>
      <c r="AE230" t="e">
        <f>COUNTIF('[7]product-export'!$A$2:$A$379, A230)</f>
        <v>#VALUE!</v>
      </c>
    </row>
    <row r="231" spans="1:31" x14ac:dyDescent="0.25">
      <c r="A231" s="76" t="s">
        <v>427</v>
      </c>
      <c r="B231" s="38" t="str">
        <f>VLOOKUP($A231, [6]!ProductsTable[#Data], 2, FALSE)</f>
        <v>Batteries</v>
      </c>
      <c r="C231" s="8" t="s">
        <v>149</v>
      </c>
      <c r="D231" s="8" t="s">
        <v>163</v>
      </c>
      <c r="E231" s="38" t="str">
        <f>VLOOKUP($A231, [6]!ProductsTable[#Data], 3, FALSE)</f>
        <v>VICTRON</v>
      </c>
      <c r="F231" s="38" t="str">
        <f>VLOOKUP($A231, [6]!ProductsTable[#Data], 4, FALSE)</f>
        <v>AGM Dp Cycle 12V/90Ah Threaded insert (M6)</v>
      </c>
      <c r="G231" s="38" t="str">
        <f>VLOOKUP($A231, [6]!ProductsTable[#Data], 5, FALSE)</f>
        <v>BAT412800085</v>
      </c>
      <c r="I231" s="41" t="e">
        <f>VLOOKUP($A231, [6]!ProductsTable[#Data], 7, FALSE)</f>
        <v>#REF!</v>
      </c>
      <c r="J231" s="39" t="e">
        <f>VLOOKUP($A231, [6]!ProductsTable[#Data], 8, FALSE)</f>
        <v>#REF!</v>
      </c>
      <c r="K231">
        <f>VLOOKUP($A231, [6]!ProductsTable[#Data], 9, FALSE)</f>
        <v>0</v>
      </c>
      <c r="L231" s="38">
        <f>VLOOKUP($A231, [6]!ProductsTable[#Data], 10, FALSE)</f>
        <v>27</v>
      </c>
      <c r="M231" s="38">
        <f>VLOOKUP($A231, [6]!ProductsTable[#Data], 11, FALSE)</f>
        <v>35</v>
      </c>
      <c r="N231" s="38">
        <f>VLOOKUP($A231, [6]!ProductsTable[#Data], 12, FALSE)</f>
        <v>16.7</v>
      </c>
      <c r="O231" s="38">
        <f>VLOOKUP($A231, [6]!ProductsTable[#Data], 13, FALSE)</f>
        <v>18.3</v>
      </c>
      <c r="R231" s="38" t="str">
        <f>VLOOKUP($A231, [6]!ProductsTable[#Data], 14, FALSE)</f>
        <v>1-Victron</v>
      </c>
      <c r="AE231" t="e">
        <f>COUNTIF('[7]product-export'!$A$2:$A$379, A231)</f>
        <v>#VALUE!</v>
      </c>
    </row>
    <row r="232" spans="1:31" x14ac:dyDescent="0.25">
      <c r="A232" s="76" t="s">
        <v>428</v>
      </c>
      <c r="B232" s="38" t="str">
        <f>VLOOKUP($A232, [6]!ProductsTable[#Data], 2, FALSE)</f>
        <v>Batteries</v>
      </c>
      <c r="C232" s="8" t="s">
        <v>149</v>
      </c>
      <c r="D232" s="8" t="s">
        <v>163</v>
      </c>
      <c r="E232" s="38" t="str">
        <f>VLOOKUP($A232, [6]!ProductsTable[#Data], 3, FALSE)</f>
        <v>VICTRON</v>
      </c>
      <c r="F232" s="38" t="str">
        <f>VLOOKUP($A232, [6]!ProductsTable[#Data], 4, FALSE)</f>
        <v>AGM Dp Cycle 12V/110Ah Threaded insert (M8)</v>
      </c>
      <c r="G232" s="38" t="str">
        <f>VLOOKUP($A232, [6]!ProductsTable[#Data], 5, FALSE)</f>
        <v>BAT412101085</v>
      </c>
      <c r="I232" s="41" t="e">
        <f>VLOOKUP($A232, [6]!ProductsTable[#Data], 7, FALSE)</f>
        <v>#REF!</v>
      </c>
      <c r="J232" s="39" t="e">
        <f>VLOOKUP($A232, [6]!ProductsTable[#Data], 8, FALSE)</f>
        <v>#REF!</v>
      </c>
      <c r="K232">
        <f>VLOOKUP($A232, [6]!ProductsTable[#Data], 9, FALSE)</f>
        <v>0</v>
      </c>
      <c r="L232" s="38">
        <f>VLOOKUP($A232, [6]!ProductsTable[#Data], 10, FALSE)</f>
        <v>32</v>
      </c>
      <c r="M232" s="38">
        <f>VLOOKUP($A232, [6]!ProductsTable[#Data], 11, FALSE)</f>
        <v>33</v>
      </c>
      <c r="N232" s="38">
        <f>VLOOKUP($A232, [6]!ProductsTable[#Data], 12, FALSE)</f>
        <v>17.100000000000001</v>
      </c>
      <c r="O232" s="38">
        <f>VLOOKUP($A232, [6]!ProductsTable[#Data], 13, FALSE)</f>
        <v>22</v>
      </c>
      <c r="R232" s="38" t="str">
        <f>VLOOKUP($A232, [6]!ProductsTable[#Data], 14, FALSE)</f>
        <v>1-Victron</v>
      </c>
      <c r="AE232" t="e">
        <f>COUNTIF('[7]product-export'!$A$2:$A$379, A232)</f>
        <v>#VALUE!</v>
      </c>
    </row>
    <row r="233" spans="1:31" x14ac:dyDescent="0.25">
      <c r="A233" s="76" t="s">
        <v>429</v>
      </c>
      <c r="B233" s="38" t="e">
        <f>VLOOKUP($A233, [6]!ProductsTable[#Data], 2, FALSE)</f>
        <v>#N/A</v>
      </c>
      <c r="C233" s="8" t="s">
        <v>149</v>
      </c>
      <c r="D233" s="8" t="s">
        <v>163</v>
      </c>
      <c r="E233" s="38" t="e">
        <f>VLOOKUP($A233, [6]!ProductsTable[#Data], 3, FALSE)</f>
        <v>#N/A</v>
      </c>
      <c r="F233" s="38" t="e">
        <f>VLOOKUP($A233, [6]!ProductsTable[#Data], 4, FALSE)</f>
        <v>#N/A</v>
      </c>
      <c r="G233" s="38" t="e">
        <f>VLOOKUP($A233, [6]!ProductsTable[#Data], 5, FALSE)</f>
        <v>#N/A</v>
      </c>
      <c r="I233" s="41" t="e">
        <f>VLOOKUP($A233, [6]!ProductsTable[#Data], 7, FALSE)</f>
        <v>#N/A</v>
      </c>
      <c r="J233" s="39" t="e">
        <f>VLOOKUP($A233, [6]!ProductsTable[#Data], 8, FALSE)</f>
        <v>#N/A</v>
      </c>
      <c r="K233" t="e">
        <f>VLOOKUP($A233, [6]!ProductsTable[#Data], 9, FALSE)</f>
        <v>#N/A</v>
      </c>
      <c r="L233" s="38" t="e">
        <f>VLOOKUP($A233, [6]!ProductsTable[#Data], 10, FALSE)</f>
        <v>#N/A</v>
      </c>
      <c r="M233" s="38" t="e">
        <f>VLOOKUP($A233, [6]!ProductsTable[#Data], 11, FALSE)</f>
        <v>#N/A</v>
      </c>
      <c r="N233" s="38" t="e">
        <f>VLOOKUP($A233, [6]!ProductsTable[#Data], 12, FALSE)</f>
        <v>#N/A</v>
      </c>
      <c r="O233" s="38" t="e">
        <f>VLOOKUP($A233, [6]!ProductsTable[#Data], 13, FALSE)</f>
        <v>#N/A</v>
      </c>
      <c r="R233" s="38" t="e">
        <f>VLOOKUP($A233, [6]!ProductsTable[#Data], 14, FALSE)</f>
        <v>#N/A</v>
      </c>
      <c r="AE233" t="e">
        <f>COUNTIF('[7]product-export'!$A$2:$A$379, A233)</f>
        <v>#VALUE!</v>
      </c>
    </row>
    <row r="234" spans="1:31" x14ac:dyDescent="0.25">
      <c r="A234" s="76" t="s">
        <v>430</v>
      </c>
      <c r="B234" s="38" t="str">
        <f>VLOOKUP($A234, [6]!ProductsTable[#Data], 2, FALSE)</f>
        <v>Batteries</v>
      </c>
      <c r="C234" s="8" t="s">
        <v>149</v>
      </c>
      <c r="D234" s="8" t="s">
        <v>163</v>
      </c>
      <c r="E234" s="38" t="str">
        <f>VLOOKUP($A234, [6]!ProductsTable[#Data], 3, FALSE)</f>
        <v>VICTRON</v>
      </c>
      <c r="F234" s="38" t="str">
        <f>VLOOKUP($A234, [6]!ProductsTable[#Data], 4, FALSE)</f>
        <v>AGM Dp Cycle 12V/165Ah Threaded insert (M8)</v>
      </c>
      <c r="G234" s="38" t="str">
        <f>VLOOKUP($A234, [6]!ProductsTable[#Data], 5, FALSE)</f>
        <v>BAT412151085</v>
      </c>
      <c r="I234" s="41" t="e">
        <f>VLOOKUP($A234, [6]!ProductsTable[#Data], 7, FALSE)</f>
        <v>#REF!</v>
      </c>
      <c r="J234" s="39" t="e">
        <f>VLOOKUP($A234, [6]!ProductsTable[#Data], 8, FALSE)</f>
        <v>#REF!</v>
      </c>
      <c r="K234">
        <f>VLOOKUP($A234, [6]!ProductsTable[#Data], 9, FALSE)</f>
        <v>0</v>
      </c>
      <c r="L234" s="38">
        <f>VLOOKUP($A234, [6]!ProductsTable[#Data], 10, FALSE)</f>
        <v>47</v>
      </c>
      <c r="M234" s="38">
        <f>VLOOKUP($A234, [6]!ProductsTable[#Data], 11, FALSE)</f>
        <v>48.5</v>
      </c>
      <c r="N234" s="38">
        <f>VLOOKUP($A234, [6]!ProductsTable[#Data], 12, FALSE)</f>
        <v>17.2</v>
      </c>
      <c r="O234" s="38">
        <f>VLOOKUP($A234, [6]!ProductsTable[#Data], 13, FALSE)</f>
        <v>24</v>
      </c>
      <c r="R234" s="38" t="str">
        <f>VLOOKUP($A234, [6]!ProductsTable[#Data], 14, FALSE)</f>
        <v>1-Victron</v>
      </c>
      <c r="AE234" t="e">
        <f>COUNTIF('[7]product-export'!$A$2:$A$379, A234)</f>
        <v>#VALUE!</v>
      </c>
    </row>
    <row r="235" spans="1:31" x14ac:dyDescent="0.25">
      <c r="A235" s="76" t="s">
        <v>431</v>
      </c>
      <c r="B235" s="38" t="str">
        <f>VLOOKUP($A235, [6]!ProductsTable[#Data], 2, FALSE)</f>
        <v>Batteries</v>
      </c>
      <c r="C235" s="8" t="s">
        <v>149</v>
      </c>
      <c r="D235" s="8" t="s">
        <v>163</v>
      </c>
      <c r="E235" s="38" t="str">
        <f>VLOOKUP($A235, [6]!ProductsTable[#Data], 3, FALSE)</f>
        <v>VICTRON</v>
      </c>
      <c r="F235" s="38" t="str">
        <f>VLOOKUP($A235, [6]!ProductsTable[#Data], 4, FALSE)</f>
        <v>AGM Dp Cycle 12V/220Ah Threaded insert (M8)</v>
      </c>
      <c r="G235" s="38" t="str">
        <f>VLOOKUP($A235, [6]!ProductsTable[#Data], 5, FALSE)</f>
        <v>BAT412201085</v>
      </c>
      <c r="I235" s="41" t="e">
        <f>VLOOKUP($A235, [6]!ProductsTable[#Data], 7, FALSE)</f>
        <v>#REF!</v>
      </c>
      <c r="J235" s="39" t="e">
        <f>VLOOKUP($A235, [6]!ProductsTable[#Data], 8, FALSE)</f>
        <v>#REF!</v>
      </c>
      <c r="K235">
        <f>VLOOKUP($A235, [6]!ProductsTable[#Data], 9, FALSE)</f>
        <v>0</v>
      </c>
      <c r="L235" s="38">
        <f>VLOOKUP($A235, [6]!ProductsTable[#Data], 10, FALSE)</f>
        <v>65</v>
      </c>
      <c r="M235" s="38">
        <f>VLOOKUP($A235, [6]!ProductsTable[#Data], 11, FALSE)</f>
        <v>52.2</v>
      </c>
      <c r="N235" s="38">
        <f>VLOOKUP($A235, [6]!ProductsTable[#Data], 12, FALSE)</f>
        <v>23.8</v>
      </c>
      <c r="O235" s="38">
        <f>VLOOKUP($A235, [6]!ProductsTable[#Data], 13, FALSE)</f>
        <v>24</v>
      </c>
      <c r="R235" s="38" t="str">
        <f>VLOOKUP($A235, [6]!ProductsTable[#Data], 14, FALSE)</f>
        <v>1-Victron</v>
      </c>
      <c r="AE235" t="e">
        <f>COUNTIF('[7]product-export'!$A$2:$A$379, A235)</f>
        <v>#VALUE!</v>
      </c>
    </row>
    <row r="236" spans="1:31" x14ac:dyDescent="0.25">
      <c r="A236" s="76" t="s">
        <v>432</v>
      </c>
      <c r="B236" s="38" t="str">
        <f>VLOOKUP($A236, [6]!ProductsTable[#Data], 2, FALSE)</f>
        <v>Batteries</v>
      </c>
      <c r="C236" s="8" t="s">
        <v>149</v>
      </c>
      <c r="D236" s="8" t="s">
        <v>163</v>
      </c>
      <c r="E236" s="38" t="str">
        <f>VLOOKUP($A236, [6]!ProductsTable[#Data], 3, FALSE)</f>
        <v>VICTRON</v>
      </c>
      <c r="F236" s="38" t="str">
        <f>VLOOKUP($A236, [6]!ProductsTable[#Data], 4, FALSE)</f>
        <v>AGM Dp Cycle 12V/240Ah Threaded insert (M8)</v>
      </c>
      <c r="G236" s="38" t="str">
        <f>VLOOKUP($A236, [6]!ProductsTable[#Data], 5, FALSE)</f>
        <v>BAT412124081</v>
      </c>
      <c r="I236" s="41" t="e">
        <f>VLOOKUP($A236, [6]!ProductsTable[#Data], 7, FALSE)</f>
        <v>#REF!</v>
      </c>
      <c r="J236" s="39" t="e">
        <f>VLOOKUP($A236, [6]!ProductsTable[#Data], 8, FALSE)</f>
        <v>#REF!</v>
      </c>
      <c r="K236">
        <f>VLOOKUP($A236, [6]!ProductsTable[#Data], 9, FALSE)</f>
        <v>0</v>
      </c>
      <c r="L236" s="38">
        <f>VLOOKUP($A236, [6]!ProductsTable[#Data], 10, FALSE)</f>
        <v>67</v>
      </c>
      <c r="M236" s="38">
        <f>VLOOKUP($A236, [6]!ProductsTable[#Data], 11, FALSE)</f>
        <v>52.2</v>
      </c>
      <c r="N236" s="38">
        <f>VLOOKUP($A236, [6]!ProductsTable[#Data], 12, FALSE)</f>
        <v>24</v>
      </c>
      <c r="O236" s="38">
        <f>VLOOKUP($A236, [6]!ProductsTable[#Data], 13, FALSE)</f>
        <v>22.4</v>
      </c>
      <c r="R236" s="38" t="str">
        <f>VLOOKUP($A236, [6]!ProductsTable[#Data], 14, FALSE)</f>
        <v>1-Victron</v>
      </c>
      <c r="AE236" t="e">
        <f>COUNTIF('[7]product-export'!$A$2:$A$379, A236)</f>
        <v>#VALUE!</v>
      </c>
    </row>
    <row r="237" spans="1:31" x14ac:dyDescent="0.25">
      <c r="A237" s="76" t="s">
        <v>435</v>
      </c>
      <c r="B237" s="38" t="str">
        <f>VLOOKUP($A237, [6]!ProductsTable[#Data], 2, FALSE)</f>
        <v>Batteries</v>
      </c>
      <c r="C237" s="8" t="s">
        <v>149</v>
      </c>
      <c r="D237" s="8" t="s">
        <v>163</v>
      </c>
      <c r="E237" s="38" t="str">
        <f>VLOOKUP($A237, [6]!ProductsTable[#Data], 3, FALSE)</f>
        <v>VICTRON</v>
      </c>
      <c r="F237" s="38" t="str">
        <f>VLOOKUP($A237, [6]!ProductsTable[#Data], 4, FALSE)</f>
        <v>AGM Super Cycle Batt. (M5) 12V38Ah</v>
      </c>
      <c r="G237" s="38" t="str">
        <f>VLOOKUP($A237, [6]!ProductsTable[#Data], 5, FALSE)</f>
        <v>BAT412038081</v>
      </c>
      <c r="I237" s="41" t="e">
        <f>VLOOKUP($A237, [6]!ProductsTable[#Data], 7, FALSE)</f>
        <v>#REF!</v>
      </c>
      <c r="J237" s="39" t="e">
        <f>VLOOKUP($A237, [6]!ProductsTable[#Data], 8, FALSE)</f>
        <v>#REF!</v>
      </c>
      <c r="K237">
        <f>VLOOKUP($A237, [6]!ProductsTable[#Data], 9, FALSE)</f>
        <v>0</v>
      </c>
      <c r="L237" s="38">
        <f>VLOOKUP($A237, [6]!ProductsTable[#Data], 10, FALSE)</f>
        <v>10</v>
      </c>
      <c r="M237" s="38">
        <f>VLOOKUP($A237, [6]!ProductsTable[#Data], 11, FALSE)</f>
        <v>26.7</v>
      </c>
      <c r="N237" s="38">
        <f>VLOOKUP($A237, [6]!ProductsTable[#Data], 12, FALSE)</f>
        <v>7.7</v>
      </c>
      <c r="O237" s="38">
        <f>VLOOKUP($A237, [6]!ProductsTable[#Data], 13, FALSE)</f>
        <v>17.5</v>
      </c>
      <c r="R237" s="38" t="str">
        <f>VLOOKUP($A237, [6]!ProductsTable[#Data], 14, FALSE)</f>
        <v>1-Victron</v>
      </c>
      <c r="AE237" t="e">
        <f>COUNTIF('[7]product-export'!$A$2:$A$379, A237)</f>
        <v>#VALUE!</v>
      </c>
    </row>
    <row r="238" spans="1:31" x14ac:dyDescent="0.25">
      <c r="A238" s="76" t="s">
        <v>437</v>
      </c>
      <c r="B238" s="38" t="str">
        <f>VLOOKUP($A238, [6]!ProductsTable[#Data], 2, FALSE)</f>
        <v>Batteries</v>
      </c>
      <c r="C238" s="8" t="s">
        <v>149</v>
      </c>
      <c r="D238" s="8" t="s">
        <v>163</v>
      </c>
      <c r="E238" s="38" t="str">
        <f>VLOOKUP($A238, [6]!ProductsTable[#Data], 3, FALSE)</f>
        <v>VICTRON</v>
      </c>
      <c r="F238" s="38" t="str">
        <f>VLOOKUP($A238, [6]!ProductsTable[#Data], 4, FALSE)</f>
        <v>AGM Super Cycle Batt. (M6) 12V/100Ah</v>
      </c>
      <c r="G238" s="38" t="str">
        <f>VLOOKUP($A238, [6]!ProductsTable[#Data], 5, FALSE)</f>
        <v>BAT412110081</v>
      </c>
      <c r="I238" s="41" t="e">
        <f>VLOOKUP($A238, [6]!ProductsTable[#Data], 7, FALSE)</f>
        <v>#REF!</v>
      </c>
      <c r="J238" s="39" t="e">
        <f>VLOOKUP($A238, [6]!ProductsTable[#Data], 8, FALSE)</f>
        <v>#REF!</v>
      </c>
      <c r="K238">
        <f>VLOOKUP($A238, [6]!ProductsTable[#Data], 9, FALSE)</f>
        <v>0</v>
      </c>
      <c r="L238" s="38">
        <f>VLOOKUP($A238, [6]!ProductsTable[#Data], 10, FALSE)</f>
        <v>25</v>
      </c>
      <c r="M238" s="38">
        <f>VLOOKUP($A238, [6]!ProductsTable[#Data], 11, FALSE)</f>
        <v>26</v>
      </c>
      <c r="N238" s="38">
        <f>VLOOKUP($A238, [6]!ProductsTable[#Data], 12, FALSE)</f>
        <v>16.8</v>
      </c>
      <c r="O238" s="38">
        <f>VLOOKUP($A238, [6]!ProductsTable[#Data], 13, FALSE)</f>
        <v>21.5</v>
      </c>
      <c r="R238" s="38" t="str">
        <f>VLOOKUP($A238, [6]!ProductsTable[#Data], 14, FALSE)</f>
        <v>1-Victron</v>
      </c>
      <c r="AE238" t="e">
        <f>COUNTIF('[7]product-export'!$A$2:$A$379, A238)</f>
        <v>#VALUE!</v>
      </c>
    </row>
    <row r="239" spans="1:31" x14ac:dyDescent="0.25">
      <c r="A239" s="76" t="s">
        <v>438</v>
      </c>
      <c r="B239" s="38" t="str">
        <f>VLOOKUP($A239, [6]!ProductsTable[#Data], 2, FALSE)</f>
        <v>Batteries</v>
      </c>
      <c r="C239" s="8" t="s">
        <v>149</v>
      </c>
      <c r="D239" s="8" t="s">
        <v>163</v>
      </c>
      <c r="E239" s="38" t="str">
        <f>VLOOKUP($A239, [6]!ProductsTable[#Data], 3, FALSE)</f>
        <v>VICTRON</v>
      </c>
      <c r="F239" s="38" t="str">
        <f>VLOOKUP($A239, [6]!ProductsTable[#Data], 4, FALSE)</f>
        <v>AGM Super Cycle Batt. (M8) 12V125Ah</v>
      </c>
      <c r="G239" s="38" t="str">
        <f>VLOOKUP($A239, [6]!ProductsTable[#Data], 5, FALSE)</f>
        <v>BAT412112081</v>
      </c>
      <c r="I239" s="41" t="e">
        <f>VLOOKUP($A239, [6]!ProductsTable[#Data], 7, FALSE)</f>
        <v>#REF!</v>
      </c>
      <c r="J239" s="39" t="e">
        <f>VLOOKUP($A239, [6]!ProductsTable[#Data], 8, FALSE)</f>
        <v>#REF!</v>
      </c>
      <c r="K239">
        <f>VLOOKUP($A239, [6]!ProductsTable[#Data], 9, FALSE)</f>
        <v>0</v>
      </c>
      <c r="L239" s="38">
        <f>VLOOKUP($A239, [6]!ProductsTable[#Data], 10, FALSE)</f>
        <v>34</v>
      </c>
      <c r="M239" s="38">
        <f>VLOOKUP($A239, [6]!ProductsTable[#Data], 11, FALSE)</f>
        <v>33</v>
      </c>
      <c r="N239" s="38">
        <f>VLOOKUP($A239, [6]!ProductsTable[#Data], 12, FALSE)</f>
        <v>17.100000000000001</v>
      </c>
      <c r="O239" s="38">
        <f>VLOOKUP($A239, [6]!ProductsTable[#Data], 13, FALSE)</f>
        <v>21.4</v>
      </c>
      <c r="R239" s="38" t="str">
        <f>VLOOKUP($A239, [6]!ProductsTable[#Data], 14, FALSE)</f>
        <v>1-Victron</v>
      </c>
      <c r="AE239" t="e">
        <f>COUNTIF('[7]product-export'!$A$2:$A$379, A239)</f>
        <v>#VALUE!</v>
      </c>
    </row>
    <row r="240" spans="1:31" x14ac:dyDescent="0.25">
      <c r="A240" s="76" t="s">
        <v>439</v>
      </c>
      <c r="B240" s="38" t="str">
        <f>VLOOKUP($A240, [6]!ProductsTable[#Data], 2, FALSE)</f>
        <v>Batteries</v>
      </c>
      <c r="C240" s="8" t="s">
        <v>149</v>
      </c>
      <c r="D240" s="8" t="s">
        <v>163</v>
      </c>
      <c r="E240" s="38" t="str">
        <f>VLOOKUP($A240, [6]!ProductsTable[#Data], 3, FALSE)</f>
        <v>VICTRON</v>
      </c>
      <c r="F240" s="38" t="str">
        <f>VLOOKUP($A240, [6]!ProductsTable[#Data], 4, FALSE)</f>
        <v>AGM Super Cycle Batt. (M8) 12V170Ah</v>
      </c>
      <c r="G240" s="38" t="str">
        <f>VLOOKUP($A240, [6]!ProductsTable[#Data], 5, FALSE)</f>
        <v>BAT412117081</v>
      </c>
      <c r="I240" s="41" t="e">
        <f>VLOOKUP($A240, [6]!ProductsTable[#Data], 7, FALSE)</f>
        <v>#REF!</v>
      </c>
      <c r="J240" s="39" t="e">
        <f>VLOOKUP($A240, [6]!ProductsTable[#Data], 8, FALSE)</f>
        <v>#REF!</v>
      </c>
      <c r="K240">
        <f>VLOOKUP($A240, [6]!ProductsTable[#Data], 9, FALSE)</f>
        <v>0</v>
      </c>
      <c r="L240" s="38">
        <f>VLOOKUP($A240, [6]!ProductsTable[#Data], 10, FALSE)</f>
        <v>45</v>
      </c>
      <c r="M240" s="38">
        <f>VLOOKUP($A240, [6]!ProductsTable[#Data], 11, FALSE)</f>
        <v>33.9</v>
      </c>
      <c r="N240" s="38">
        <f>VLOOKUP($A240, [6]!ProductsTable[#Data], 12, FALSE)</f>
        <v>17.2</v>
      </c>
      <c r="O240" s="38">
        <f>VLOOKUP($A240, [6]!ProductsTable[#Data], 13, FALSE)</f>
        <v>28.1</v>
      </c>
      <c r="R240" s="38" t="str">
        <f>VLOOKUP($A240, [6]!ProductsTable[#Data], 14, FALSE)</f>
        <v>1-Victron</v>
      </c>
      <c r="AE240" t="e">
        <f>COUNTIF('[7]product-export'!$A$2:$A$379, A240)</f>
        <v>#VALUE!</v>
      </c>
    </row>
    <row r="241" spans="1:31" x14ac:dyDescent="0.25">
      <c r="A241" s="76" t="s">
        <v>440</v>
      </c>
      <c r="B241" s="38" t="str">
        <f>VLOOKUP($A241, [6]!ProductsTable[#Data], 2, FALSE)</f>
        <v>Batteries</v>
      </c>
      <c r="C241" s="8" t="s">
        <v>149</v>
      </c>
      <c r="D241" s="8" t="s">
        <v>163</v>
      </c>
      <c r="E241" s="38" t="str">
        <f>VLOOKUP($A241, [6]!ProductsTable[#Data], 3, FALSE)</f>
        <v>VICTRON</v>
      </c>
      <c r="F241" s="38" t="str">
        <f>VLOOKUP($A241, [6]!ProductsTable[#Data], 4, FALSE)</f>
        <v>AGM Super Cycle Batt. (M8) 12V/230Ah</v>
      </c>
      <c r="G241" s="38" t="str">
        <f>VLOOKUP($A241, [6]!ProductsTable[#Data], 5, FALSE)</f>
        <v>BAT412123081</v>
      </c>
      <c r="I241" s="41" t="e">
        <f>VLOOKUP($A241, [6]!ProductsTable[#Data], 7, FALSE)</f>
        <v>#REF!</v>
      </c>
      <c r="J241" s="39" t="e">
        <f>VLOOKUP($A241, [6]!ProductsTable[#Data], 8, FALSE)</f>
        <v>#REF!</v>
      </c>
      <c r="K241">
        <f>VLOOKUP($A241, [6]!ProductsTable[#Data], 9, FALSE)</f>
        <v>0</v>
      </c>
      <c r="L241" s="38">
        <f>VLOOKUP($A241, [6]!ProductsTable[#Data], 10, FALSE)</f>
        <v>61</v>
      </c>
      <c r="M241" s="38">
        <f>VLOOKUP($A241, [6]!ProductsTable[#Data], 11, FALSE)</f>
        <v>53.2</v>
      </c>
      <c r="N241" s="38">
        <f>VLOOKUP($A241, [6]!ProductsTable[#Data], 12, FALSE)</f>
        <v>20.7</v>
      </c>
      <c r="O241" s="38">
        <f>VLOOKUP($A241, [6]!ProductsTable[#Data], 13, FALSE)</f>
        <v>21.8</v>
      </c>
      <c r="R241" s="38" t="str">
        <f>VLOOKUP($A241, [6]!ProductsTable[#Data], 14, FALSE)</f>
        <v>1-Victron</v>
      </c>
      <c r="AE241" t="e">
        <f>COUNTIF('[7]product-export'!$A$2:$A$379, A241)</f>
        <v>#VALUE!</v>
      </c>
    </row>
    <row r="242" spans="1:31" x14ac:dyDescent="0.25">
      <c r="A242" s="76" t="s">
        <v>442</v>
      </c>
      <c r="B242" s="38" t="str">
        <f>VLOOKUP($A242, [6]!ProductsTable[#Data], 2, FALSE)</f>
        <v>Batteries</v>
      </c>
      <c r="C242" s="8" t="s">
        <v>149</v>
      </c>
      <c r="D242" s="8" t="s">
        <v>162</v>
      </c>
      <c r="E242" s="38" t="str">
        <f>VLOOKUP($A242, [6]!ProductsTable[#Data], 3, FALSE)</f>
        <v>VICTRON</v>
      </c>
      <c r="F242" s="38" t="str">
        <f>VLOOKUP($A242, [6]!ProductsTable[#Data], 4, FALSE)</f>
        <v>Gel Deep Cycle Batt. 12V66Ah  (C20)</v>
      </c>
      <c r="G242" s="38" t="str">
        <f>VLOOKUP($A242, [6]!ProductsTable[#Data], 5, FALSE)</f>
        <v>BAT412600104</v>
      </c>
      <c r="I242" s="41" t="e">
        <f>VLOOKUP($A242, [6]!ProductsTable[#Data], 7, FALSE)</f>
        <v>#REF!</v>
      </c>
      <c r="J242" s="39" t="e">
        <f>VLOOKUP($A242, [6]!ProductsTable[#Data], 8, FALSE)</f>
        <v>#REF!</v>
      </c>
      <c r="K242">
        <f>VLOOKUP($A242, [6]!ProductsTable[#Data], 9, FALSE)</f>
        <v>0</v>
      </c>
      <c r="L242" s="38">
        <f>VLOOKUP($A242, [6]!ProductsTable[#Data], 10, FALSE)</f>
        <v>24</v>
      </c>
      <c r="M242" s="38">
        <f>VLOOKUP($A242, [6]!ProductsTable[#Data], 11, FALSE)</f>
        <v>25.8</v>
      </c>
      <c r="N242" s="38">
        <f>VLOOKUP($A242, [6]!ProductsTable[#Data], 12, FALSE)</f>
        <v>16.600000000000001</v>
      </c>
      <c r="O242" s="38">
        <f>VLOOKUP($A242, [6]!ProductsTable[#Data], 13, FALSE)</f>
        <v>23.5</v>
      </c>
      <c r="R242" s="38" t="str">
        <f>VLOOKUP($A242, [6]!ProductsTable[#Data], 14, FALSE)</f>
        <v>1-Victron</v>
      </c>
      <c r="AE242" t="e">
        <f>COUNTIF('[7]product-export'!$A$2:$A$379, A242)</f>
        <v>#VALUE!</v>
      </c>
    </row>
    <row r="243" spans="1:31" x14ac:dyDescent="0.25">
      <c r="A243" s="76" t="s">
        <v>443</v>
      </c>
      <c r="B243" s="38" t="str">
        <f>VLOOKUP($A243, [6]!ProductsTable[#Data], 2, FALSE)</f>
        <v>Batteries</v>
      </c>
      <c r="C243" s="8" t="s">
        <v>149</v>
      </c>
      <c r="D243" s="8" t="s">
        <v>162</v>
      </c>
      <c r="E243" s="38" t="str">
        <f>VLOOKUP($A243, [6]!ProductsTable[#Data], 3, FALSE)</f>
        <v>VICTRON</v>
      </c>
      <c r="F243" s="38" t="str">
        <f>VLOOKUP($A243, [6]!ProductsTable[#Data], 4, FALSE)</f>
        <v>Gel Deep Cycle Batt. 12V90Ah  (C20)</v>
      </c>
      <c r="G243" s="38" t="str">
        <f>VLOOKUP($A243, [6]!ProductsTable[#Data], 5, FALSE)</f>
        <v>BAT412800104</v>
      </c>
      <c r="I243" s="41" t="e">
        <f>VLOOKUP($A243, [6]!ProductsTable[#Data], 7, FALSE)</f>
        <v>#REF!</v>
      </c>
      <c r="J243" s="39" t="e">
        <f>VLOOKUP($A243, [6]!ProductsTable[#Data], 8, FALSE)</f>
        <v>#REF!</v>
      </c>
      <c r="K243">
        <f>VLOOKUP($A243, [6]!ProductsTable[#Data], 9, FALSE)</f>
        <v>0</v>
      </c>
      <c r="L243" s="38">
        <f>VLOOKUP($A243, [6]!ProductsTable[#Data], 10, FALSE)</f>
        <v>26</v>
      </c>
      <c r="M243" s="38">
        <f>VLOOKUP($A243, [6]!ProductsTable[#Data], 11, FALSE)</f>
        <v>35</v>
      </c>
      <c r="N243" s="38">
        <f>VLOOKUP($A243, [6]!ProductsTable[#Data], 12, FALSE)</f>
        <v>16.7</v>
      </c>
      <c r="O243" s="38">
        <f>VLOOKUP($A243, [6]!ProductsTable[#Data], 13, FALSE)</f>
        <v>18.3</v>
      </c>
      <c r="R243" s="38" t="str">
        <f>VLOOKUP($A243, [6]!ProductsTable[#Data], 14, FALSE)</f>
        <v>1-Victron</v>
      </c>
      <c r="AE243" t="e">
        <f>COUNTIF('[7]product-export'!$A$2:$A$379, A243)</f>
        <v>#VALUE!</v>
      </c>
    </row>
    <row r="244" spans="1:31" x14ac:dyDescent="0.25">
      <c r="A244" s="76" t="s">
        <v>444</v>
      </c>
      <c r="B244" s="38" t="str">
        <f>VLOOKUP($A244, [6]!ProductsTable[#Data], 2, FALSE)</f>
        <v>Batteries</v>
      </c>
      <c r="C244" s="8" t="s">
        <v>149</v>
      </c>
      <c r="D244" s="8" t="s">
        <v>162</v>
      </c>
      <c r="E244" s="38" t="str">
        <f>VLOOKUP($A244, [6]!ProductsTable[#Data], 3, FALSE)</f>
        <v>VICTRON</v>
      </c>
      <c r="F244" s="38" t="str">
        <f>VLOOKUP($A244, [6]!ProductsTable[#Data], 4, FALSE)</f>
        <v>Gel Deep Cycle Batt. 12V110Ah  (C20)</v>
      </c>
      <c r="G244" s="38" t="str">
        <f>VLOOKUP($A244, [6]!ProductsTable[#Data], 5, FALSE)</f>
        <v>BAT412101104</v>
      </c>
      <c r="I244" s="41" t="e">
        <f>VLOOKUP($A244, [6]!ProductsTable[#Data], 7, FALSE)</f>
        <v>#REF!</v>
      </c>
      <c r="J244" s="39" t="e">
        <f>VLOOKUP($A244, [6]!ProductsTable[#Data], 8, FALSE)</f>
        <v>#REF!</v>
      </c>
      <c r="K244">
        <f>VLOOKUP($A244, [6]!ProductsTable[#Data], 9, FALSE)</f>
        <v>0</v>
      </c>
      <c r="L244" s="38">
        <f>VLOOKUP($A244, [6]!ProductsTable[#Data], 10, FALSE)</f>
        <v>33</v>
      </c>
      <c r="M244" s="38">
        <f>VLOOKUP($A244, [6]!ProductsTable[#Data], 11, FALSE)</f>
        <v>33</v>
      </c>
      <c r="N244" s="38">
        <f>VLOOKUP($A244, [6]!ProductsTable[#Data], 12, FALSE)</f>
        <v>17.100000000000001</v>
      </c>
      <c r="O244" s="38">
        <f>VLOOKUP($A244, [6]!ProductsTable[#Data], 13, FALSE)</f>
        <v>22</v>
      </c>
      <c r="R244" s="38" t="str">
        <f>VLOOKUP($A244, [6]!ProductsTable[#Data], 14, FALSE)</f>
        <v>1-Victron</v>
      </c>
      <c r="AE244" t="e">
        <f>COUNTIF('[7]product-export'!$A$2:$A$379, A244)</f>
        <v>#VALUE!</v>
      </c>
    </row>
    <row r="245" spans="1:31" x14ac:dyDescent="0.25">
      <c r="A245" s="76" t="s">
        <v>445</v>
      </c>
      <c r="B245" s="38" t="str">
        <f>VLOOKUP($A245, [6]!ProductsTable[#Data], 2, FALSE)</f>
        <v>Batteries</v>
      </c>
      <c r="C245" s="8" t="s">
        <v>149</v>
      </c>
      <c r="D245" s="8" t="s">
        <v>162</v>
      </c>
      <c r="E245" s="38" t="str">
        <f>VLOOKUP($A245, [6]!ProductsTable[#Data], 3, FALSE)</f>
        <v>VICTRON</v>
      </c>
      <c r="F245" s="38" t="str">
        <f>VLOOKUP($A245, [6]!ProductsTable[#Data], 4, FALSE)</f>
        <v>Gel Deep Cycle Batt. 12V130Ah  (C20)</v>
      </c>
      <c r="G245" s="38" t="str">
        <f>VLOOKUP($A245, [6]!ProductsTable[#Data], 5, FALSE)</f>
        <v>BAT412121104</v>
      </c>
      <c r="I245" s="41" t="e">
        <f>VLOOKUP($A245, [6]!ProductsTable[#Data], 7, FALSE)</f>
        <v>#REF!</v>
      </c>
      <c r="J245" s="39" t="e">
        <f>VLOOKUP($A245, [6]!ProductsTable[#Data], 8, FALSE)</f>
        <v>#REF!</v>
      </c>
      <c r="K245">
        <f>VLOOKUP($A245, [6]!ProductsTable[#Data], 9, FALSE)</f>
        <v>0</v>
      </c>
      <c r="L245" s="38">
        <f>VLOOKUP($A245, [6]!ProductsTable[#Data], 10, FALSE)</f>
        <v>38</v>
      </c>
      <c r="M245" s="38">
        <f>VLOOKUP($A245, [6]!ProductsTable[#Data], 11, FALSE)</f>
        <v>41</v>
      </c>
      <c r="N245" s="38">
        <f>VLOOKUP($A245, [6]!ProductsTable[#Data], 12, FALSE)</f>
        <v>17.600000000000001</v>
      </c>
      <c r="O245" s="38">
        <f>VLOOKUP($A245, [6]!ProductsTable[#Data], 13, FALSE)</f>
        <v>22.7</v>
      </c>
      <c r="R245" s="38" t="str">
        <f>VLOOKUP($A245, [6]!ProductsTable[#Data], 14, FALSE)</f>
        <v>1-Victron</v>
      </c>
      <c r="AE245" t="e">
        <f>COUNTIF('[7]product-export'!$A$2:$A$379, A245)</f>
        <v>#VALUE!</v>
      </c>
    </row>
    <row r="246" spans="1:31" x14ac:dyDescent="0.25">
      <c r="A246" s="76" t="s">
        <v>446</v>
      </c>
      <c r="B246" s="38" t="str">
        <f>VLOOKUP($A246, [6]!ProductsTable[#Data], 2, FALSE)</f>
        <v>Batteries</v>
      </c>
      <c r="C246" s="8" t="s">
        <v>149</v>
      </c>
      <c r="D246" s="8" t="s">
        <v>162</v>
      </c>
      <c r="E246" s="38" t="str">
        <f>VLOOKUP($A246, [6]!ProductsTable[#Data], 3, FALSE)</f>
        <v>VICTRON</v>
      </c>
      <c r="F246" s="38" t="str">
        <f>VLOOKUP($A246, [6]!ProductsTable[#Data], 4, FALSE)</f>
        <v>Gel Deep Cycle Batt. 12V165Ah  (C20)</v>
      </c>
      <c r="G246" s="38" t="str">
        <f>VLOOKUP($A246, [6]!ProductsTable[#Data], 5, FALSE)</f>
        <v>BAT412151104</v>
      </c>
      <c r="I246" s="41" t="e">
        <f>VLOOKUP($A246, [6]!ProductsTable[#Data], 7, FALSE)</f>
        <v>#REF!</v>
      </c>
      <c r="J246" s="39" t="e">
        <f>VLOOKUP($A246, [6]!ProductsTable[#Data], 8, FALSE)</f>
        <v>#REF!</v>
      </c>
      <c r="K246">
        <f>VLOOKUP($A246, [6]!ProductsTable[#Data], 9, FALSE)</f>
        <v>0</v>
      </c>
      <c r="L246" s="38">
        <f>VLOOKUP($A246, [6]!ProductsTable[#Data], 10, FALSE)</f>
        <v>48</v>
      </c>
      <c r="M246" s="38">
        <f>VLOOKUP($A246, [6]!ProductsTable[#Data], 11, FALSE)</f>
        <v>48.5</v>
      </c>
      <c r="N246" s="38">
        <f>VLOOKUP($A246, [6]!ProductsTable[#Data], 12, FALSE)</f>
        <v>17.2</v>
      </c>
      <c r="O246" s="38">
        <f>VLOOKUP($A246, [6]!ProductsTable[#Data], 13, FALSE)</f>
        <v>24</v>
      </c>
      <c r="R246" s="38" t="str">
        <f>VLOOKUP($A246, [6]!ProductsTable[#Data], 14, FALSE)</f>
        <v>1-Victron</v>
      </c>
      <c r="AE246" t="e">
        <f>COUNTIF('[7]product-export'!$A$2:$A$379, A246)</f>
        <v>#VALUE!</v>
      </c>
    </row>
    <row r="247" spans="1:31" x14ac:dyDescent="0.25">
      <c r="A247" s="76" t="s">
        <v>447</v>
      </c>
      <c r="B247" s="38" t="str">
        <f>VLOOKUP($A247, [6]!ProductsTable[#Data], 2, FALSE)</f>
        <v>Batteries</v>
      </c>
      <c r="C247" s="8" t="s">
        <v>149</v>
      </c>
      <c r="D247" s="8" t="s">
        <v>162</v>
      </c>
      <c r="E247" s="38" t="str">
        <f>VLOOKUP($A247, [6]!ProductsTable[#Data], 3, FALSE)</f>
        <v>VICTRON</v>
      </c>
      <c r="F247" s="38" t="str">
        <f>VLOOKUP($A247, [6]!ProductsTable[#Data], 4, FALSE)</f>
        <v>Gel Deep Cycle Batt. 12V220Ah  (C20)</v>
      </c>
      <c r="G247" s="38" t="str">
        <f>VLOOKUP($A247, [6]!ProductsTable[#Data], 5, FALSE)</f>
        <v>BAT412201104</v>
      </c>
      <c r="I247" s="41" t="e">
        <f>VLOOKUP($A247, [6]!ProductsTable[#Data], 7, FALSE)</f>
        <v>#REF!</v>
      </c>
      <c r="J247" s="39" t="e">
        <f>VLOOKUP($A247, [6]!ProductsTable[#Data], 8, FALSE)</f>
        <v>#REF!</v>
      </c>
      <c r="K247">
        <f>VLOOKUP($A247, [6]!ProductsTable[#Data], 9, FALSE)</f>
        <v>0</v>
      </c>
      <c r="L247" s="38">
        <f>VLOOKUP($A247, [6]!ProductsTable[#Data], 10, FALSE)</f>
        <v>66</v>
      </c>
      <c r="M247" s="38">
        <f>VLOOKUP($A247, [6]!ProductsTable[#Data], 11, FALSE)</f>
        <v>52.2</v>
      </c>
      <c r="N247" s="38">
        <f>VLOOKUP($A247, [6]!ProductsTable[#Data], 12, FALSE)</f>
        <v>23.8</v>
      </c>
      <c r="O247" s="38">
        <f>VLOOKUP($A247, [6]!ProductsTable[#Data], 13, FALSE)</f>
        <v>24</v>
      </c>
      <c r="R247" s="38" t="str">
        <f>VLOOKUP($A247, [6]!ProductsTable[#Data], 14, FALSE)</f>
        <v>1-Victron</v>
      </c>
      <c r="AE247" t="e">
        <f>COUNTIF('[7]product-export'!$A$2:$A$379, A247)</f>
        <v>#VALUE!</v>
      </c>
    </row>
    <row r="248" spans="1:31" x14ac:dyDescent="0.25">
      <c r="A248" s="76" t="s">
        <v>448</v>
      </c>
      <c r="B248" s="38" t="str">
        <f>VLOOKUP($A248, [6]!ProductsTable[#Data], 2, FALSE)</f>
        <v>Batteries</v>
      </c>
      <c r="C248" s="8" t="s">
        <v>149</v>
      </c>
      <c r="D248" s="8" t="s">
        <v>162</v>
      </c>
      <c r="E248" s="38" t="str">
        <f>VLOOKUP($A248, [6]!ProductsTable[#Data], 3, FALSE)</f>
        <v>VICTRON</v>
      </c>
      <c r="F248" s="38" t="str">
        <f>VLOOKUP($A248, [6]!ProductsTable[#Data], 4, FALSE)</f>
        <v>Gel Deep Cycle Batt. 12V265Ah  (C20)</v>
      </c>
      <c r="G248" s="38" t="str">
        <f>VLOOKUP($A248, [6]!ProductsTable[#Data], 5, FALSE)</f>
        <v>BAT412126101</v>
      </c>
      <c r="I248" s="41" t="e">
        <f>VLOOKUP($A248, [6]!ProductsTable[#Data], 7, FALSE)</f>
        <v>#REF!</v>
      </c>
      <c r="J248" s="39" t="e">
        <f>VLOOKUP($A248, [6]!ProductsTable[#Data], 8, FALSE)</f>
        <v>#REF!</v>
      </c>
      <c r="K248">
        <f>VLOOKUP($A248, [6]!ProductsTable[#Data], 9, FALSE)</f>
        <v>0</v>
      </c>
      <c r="L248" s="38">
        <f>VLOOKUP($A248, [6]!ProductsTable[#Data], 10, FALSE)</f>
        <v>75</v>
      </c>
      <c r="M248" s="38">
        <f>VLOOKUP($A248, [6]!ProductsTable[#Data], 11, FALSE)</f>
        <v>52</v>
      </c>
      <c r="N248" s="38">
        <f>VLOOKUP($A248, [6]!ProductsTable[#Data], 12, FALSE)</f>
        <v>26.8</v>
      </c>
      <c r="O248" s="38">
        <f>VLOOKUP($A248, [6]!ProductsTable[#Data], 13, FALSE)</f>
        <v>22.3</v>
      </c>
      <c r="R248" s="38" t="str">
        <f>VLOOKUP($A248, [6]!ProductsTable[#Data], 14, FALSE)</f>
        <v>1-Victron</v>
      </c>
      <c r="AE248" t="e">
        <f>COUNTIF('[7]product-export'!$A$2:$A$379, A248)</f>
        <v>#VALUE!</v>
      </c>
    </row>
    <row r="249" spans="1:31" x14ac:dyDescent="0.25">
      <c r="A249" s="76" t="s">
        <v>450</v>
      </c>
      <c r="B249" s="38" t="str">
        <f>VLOOKUP($A249, [6]!ProductsTable[#Data], 2, FALSE)</f>
        <v>Batteries</v>
      </c>
      <c r="C249" s="8" t="s">
        <v>149</v>
      </c>
      <c r="D249" s="8" t="s">
        <v>163</v>
      </c>
      <c r="E249" s="38" t="str">
        <f>VLOOKUP($A249, [6]!ProductsTable[#Data], 3, FALSE)</f>
        <v>VICTRON</v>
      </c>
      <c r="F249" s="38" t="str">
        <f>VLOOKUP($A249, [6]!ProductsTable[#Data], 4, FALSE)</f>
        <v>Lead Carbon Battery 12V/160Ah (M8)</v>
      </c>
      <c r="G249" s="38" t="str">
        <f>VLOOKUP($A249, [6]!ProductsTable[#Data], 5, FALSE)</f>
        <v>BAT612116081</v>
      </c>
      <c r="I249" s="41" t="e">
        <f>VLOOKUP($A249, [6]!ProductsTable[#Data], 7, FALSE)</f>
        <v>#REF!</v>
      </c>
      <c r="J249" s="39" t="e">
        <f>VLOOKUP($A249, [6]!ProductsTable[#Data], 8, FALSE)</f>
        <v>#REF!</v>
      </c>
      <c r="K249">
        <f>VLOOKUP($A249, [6]!ProductsTable[#Data], 9, FALSE)</f>
        <v>0</v>
      </c>
      <c r="L249" s="38">
        <f>VLOOKUP($A249, [6]!ProductsTable[#Data], 10, FALSE)</f>
        <v>55</v>
      </c>
      <c r="M249" s="38">
        <f>VLOOKUP($A249, [6]!ProductsTable[#Data], 11, FALSE)</f>
        <v>53.2</v>
      </c>
      <c r="N249" s="38">
        <f>VLOOKUP($A249, [6]!ProductsTable[#Data], 12, FALSE)</f>
        <v>20.7</v>
      </c>
      <c r="O249" s="38">
        <f>VLOOKUP($A249, [6]!ProductsTable[#Data], 13, FALSE)</f>
        <v>21.5</v>
      </c>
      <c r="R249" s="38" t="str">
        <f>VLOOKUP($A249, [6]!ProductsTable[#Data], 14, FALSE)</f>
        <v>1-Victron</v>
      </c>
      <c r="AE249" t="e">
        <f>COUNTIF('[7]product-export'!$A$2:$A$379, A249)</f>
        <v>#VALUE!</v>
      </c>
    </row>
    <row r="250" spans="1:31" x14ac:dyDescent="0.25">
      <c r="A250" s="76" t="s">
        <v>452</v>
      </c>
      <c r="B250" s="38" t="str">
        <f>VLOOKUP($A250, [6]!ProductsTable[#Data], 2, FALSE)</f>
        <v>Batteries</v>
      </c>
      <c r="C250" s="8" t="s">
        <v>149</v>
      </c>
      <c r="D250" s="8" t="s">
        <v>161</v>
      </c>
      <c r="E250" s="38" t="str">
        <f>VLOOKUP($A250, [6]!ProductsTable[#Data], 3, FALSE)</f>
        <v>VICTRON</v>
      </c>
      <c r="F250" s="38" t="str">
        <f>VLOOKUP($A250, [6]!ProductsTable[#Data], 4, FALSE)</f>
        <v>LiFePO4 battery 12.8V/100Ah - Smart</v>
      </c>
      <c r="G250" s="38" t="str">
        <f>VLOOKUP($A250, [6]!ProductsTable[#Data], 5, FALSE)</f>
        <v>BAT512110610</v>
      </c>
      <c r="I250" s="41" t="e">
        <f>VLOOKUP($A250, [6]!ProductsTable[#Data], 7, FALSE)</f>
        <v>#REF!</v>
      </c>
      <c r="J250" s="39" t="e">
        <f>VLOOKUP($A250, [6]!ProductsTable[#Data], 8, FALSE)</f>
        <v>#REF!</v>
      </c>
      <c r="K250">
        <f>VLOOKUP($A250, [6]!ProductsTable[#Data], 9, FALSE)</f>
        <v>0</v>
      </c>
      <c r="L250" s="38">
        <f>VLOOKUP($A250, [6]!ProductsTable[#Data], 10, FALSE)</f>
        <v>15</v>
      </c>
      <c r="M250" s="38">
        <f>VLOOKUP($A250, [6]!ProductsTable[#Data], 11, FALSE)</f>
        <v>24.9</v>
      </c>
      <c r="N250" s="38">
        <f>VLOOKUP($A250, [6]!ProductsTable[#Data], 12, FALSE)</f>
        <v>28.5</v>
      </c>
      <c r="O250" s="38">
        <f>VLOOKUP($A250, [6]!ProductsTable[#Data], 13, FALSE)</f>
        <v>16.8</v>
      </c>
      <c r="R250" s="38" t="str">
        <f>VLOOKUP($A250, [6]!ProductsTable[#Data], 14, FALSE)</f>
        <v>1-Victron</v>
      </c>
      <c r="AE250" t="e">
        <f>COUNTIF('[7]product-export'!$A$2:$A$379, A250)</f>
        <v>#VALUE!</v>
      </c>
    </row>
    <row r="251" spans="1:31" x14ac:dyDescent="0.25">
      <c r="A251" s="76" t="s">
        <v>453</v>
      </c>
      <c r="B251" s="38" t="e">
        <f>VLOOKUP($A251, [6]!ProductsTable[#Data], 2, FALSE)</f>
        <v>#N/A</v>
      </c>
      <c r="C251" s="8" t="s">
        <v>149</v>
      </c>
      <c r="D251" s="8" t="s">
        <v>161</v>
      </c>
      <c r="E251" s="38" t="e">
        <f>VLOOKUP($A251, [6]!ProductsTable[#Data], 3, FALSE)</f>
        <v>#N/A</v>
      </c>
      <c r="F251" s="38" t="e">
        <f>VLOOKUP($A251, [6]!ProductsTable[#Data], 4, FALSE)</f>
        <v>#N/A</v>
      </c>
      <c r="G251" s="38" t="e">
        <f>VLOOKUP($A251, [6]!ProductsTable[#Data], 5, FALSE)</f>
        <v>#N/A</v>
      </c>
      <c r="I251" s="41" t="e">
        <f>VLOOKUP($A251, [6]!ProductsTable[#Data], 7, FALSE)</f>
        <v>#N/A</v>
      </c>
      <c r="J251" s="39" t="e">
        <f>VLOOKUP($A251, [6]!ProductsTable[#Data], 8, FALSE)</f>
        <v>#N/A</v>
      </c>
      <c r="K251" t="e">
        <f>VLOOKUP($A251, [6]!ProductsTable[#Data], 9, FALSE)</f>
        <v>#N/A</v>
      </c>
      <c r="L251" s="38" t="e">
        <f>VLOOKUP($A251, [6]!ProductsTable[#Data], 10, FALSE)</f>
        <v>#N/A</v>
      </c>
      <c r="M251" s="38" t="e">
        <f>VLOOKUP($A251, [6]!ProductsTable[#Data], 11, FALSE)</f>
        <v>#N/A</v>
      </c>
      <c r="N251" s="38" t="e">
        <f>VLOOKUP($A251, [6]!ProductsTable[#Data], 12, FALSE)</f>
        <v>#N/A</v>
      </c>
      <c r="O251" s="38" t="e">
        <f>VLOOKUP($A251, [6]!ProductsTable[#Data], 13, FALSE)</f>
        <v>#N/A</v>
      </c>
      <c r="R251" s="38" t="e">
        <f>VLOOKUP($A251, [6]!ProductsTable[#Data], 14, FALSE)</f>
        <v>#N/A</v>
      </c>
      <c r="AE251" t="e">
        <f>COUNTIF('[7]product-export'!$A$2:$A$379, A251)</f>
        <v>#VALUE!</v>
      </c>
    </row>
    <row r="252" spans="1:31" x14ac:dyDescent="0.25">
      <c r="A252" s="76" t="s">
        <v>454</v>
      </c>
      <c r="B252" s="38" t="str">
        <f>VLOOKUP($A252, [6]!ProductsTable[#Data], 2, FALSE)</f>
        <v>Batteries</v>
      </c>
      <c r="C252" s="8" t="s">
        <v>149</v>
      </c>
      <c r="D252" s="8" t="s">
        <v>161</v>
      </c>
      <c r="E252" s="38" t="str">
        <f>VLOOKUP($A252, [6]!ProductsTable[#Data], 3, FALSE)</f>
        <v>VICTRON</v>
      </c>
      <c r="F252" s="38" t="str">
        <f>VLOOKUP($A252, [6]!ProductsTable[#Data], 4, FALSE)</f>
        <v>LiFePO4 battery 12.8V/160Ah - Smart</v>
      </c>
      <c r="G252" s="38" t="str">
        <f>VLOOKUP($A252, [6]!ProductsTable[#Data], 5, FALSE)</f>
        <v>BAT512116610</v>
      </c>
      <c r="I252" s="41" t="e">
        <f>VLOOKUP($A252, [6]!ProductsTable[#Data], 7, FALSE)</f>
        <v>#REF!</v>
      </c>
      <c r="J252" s="39" t="e">
        <f>VLOOKUP($A252, [6]!ProductsTable[#Data], 8, FALSE)</f>
        <v>#REF!</v>
      </c>
      <c r="K252">
        <f>VLOOKUP($A252, [6]!ProductsTable[#Data], 9, FALSE)</f>
        <v>0</v>
      </c>
      <c r="L252" s="38">
        <f>VLOOKUP($A252, [6]!ProductsTable[#Data], 10, FALSE)</f>
        <v>33</v>
      </c>
      <c r="M252" s="38">
        <f>VLOOKUP($A252, [6]!ProductsTable[#Data], 11, FALSE)</f>
        <v>32</v>
      </c>
      <c r="N252" s="38">
        <f>VLOOKUP($A252, [6]!ProductsTable[#Data], 12, FALSE)</f>
        <v>33.799999999999997</v>
      </c>
      <c r="O252" s="38">
        <f>VLOOKUP($A252, [6]!ProductsTable[#Data], 13, FALSE)</f>
        <v>23.3</v>
      </c>
      <c r="R252" s="38" t="str">
        <f>VLOOKUP($A252, [6]!ProductsTable[#Data], 14, FALSE)</f>
        <v>1-Victron</v>
      </c>
      <c r="AE252" t="e">
        <f>COUNTIF('[7]product-export'!$A$2:$A$379, A252)</f>
        <v>#VALUE!</v>
      </c>
    </row>
    <row r="253" spans="1:31" x14ac:dyDescent="0.25">
      <c r="A253" s="76" t="s">
        <v>455</v>
      </c>
      <c r="B253" s="38" t="str">
        <f>VLOOKUP($A253, [6]!ProductsTable[#Data], 2, FALSE)</f>
        <v>Batteries</v>
      </c>
      <c r="C253" s="8" t="s">
        <v>149</v>
      </c>
      <c r="D253" s="8" t="s">
        <v>161</v>
      </c>
      <c r="E253" s="38" t="str">
        <f>VLOOKUP($A253, [6]!ProductsTable[#Data], 3, FALSE)</f>
        <v>VICTRON</v>
      </c>
      <c r="F253" s="38" t="str">
        <f>VLOOKUP($A253, [6]!ProductsTable[#Data], 4, FALSE)</f>
        <v>LiFePO4 Battery 12.8V/200Ah - Smart</v>
      </c>
      <c r="G253" s="38" t="str">
        <f>VLOOKUP($A253, [6]!ProductsTable[#Data], 5, FALSE)</f>
        <v>BAT512120610</v>
      </c>
      <c r="I253" s="41" t="e">
        <f>VLOOKUP($A253, [6]!ProductsTable[#Data], 7, FALSE)</f>
        <v>#REF!</v>
      </c>
      <c r="J253" s="39" t="e">
        <f>VLOOKUP($A253, [6]!ProductsTable[#Data], 8, FALSE)</f>
        <v>#REF!</v>
      </c>
      <c r="K253">
        <f>VLOOKUP($A253, [6]!ProductsTable[#Data], 9, FALSE)</f>
        <v>0</v>
      </c>
      <c r="L253" s="38">
        <f>VLOOKUP($A253, [6]!ProductsTable[#Data], 10, FALSE)</f>
        <v>42</v>
      </c>
      <c r="M253" s="38">
        <f>VLOOKUP($A253, [6]!ProductsTable[#Data], 11, FALSE)</f>
        <v>29.5</v>
      </c>
      <c r="N253" s="38">
        <f>VLOOKUP($A253, [6]!ProductsTable[#Data], 12, FALSE)</f>
        <v>42.5</v>
      </c>
      <c r="O253" s="38">
        <f>VLOOKUP($A253, [6]!ProductsTable[#Data], 13, FALSE)</f>
        <v>27.4</v>
      </c>
      <c r="R253" s="38" t="str">
        <f>VLOOKUP($A253, [6]!ProductsTable[#Data], 14, FALSE)</f>
        <v>1-Victron</v>
      </c>
      <c r="AE253" t="e">
        <f>COUNTIF('[7]product-export'!$A$2:$A$379, A253)</f>
        <v>#VALUE!</v>
      </c>
    </row>
    <row r="254" spans="1:31" x14ac:dyDescent="0.25">
      <c r="A254" s="76" t="s">
        <v>456</v>
      </c>
      <c r="B254" s="38" t="str">
        <f>VLOOKUP($A254, [6]!ProductsTable[#Data], 2, FALSE)</f>
        <v>Batteries</v>
      </c>
      <c r="C254" s="8" t="s">
        <v>149</v>
      </c>
      <c r="D254" s="8" t="s">
        <v>161</v>
      </c>
      <c r="E254" s="38" t="str">
        <f>VLOOKUP($A254, [6]!ProductsTable[#Data], 3, FALSE)</f>
        <v>VICTRON</v>
      </c>
      <c r="F254" s="38" t="str">
        <f>VLOOKUP($A254, [6]!ProductsTable[#Data], 4, FALSE)</f>
        <v>LiFePO4 Battery 12.8V/300Ah - Smart</v>
      </c>
      <c r="G254" s="38" t="str">
        <f>VLOOKUP($A254, [6]!ProductsTable[#Data], 5, FALSE)</f>
        <v>BAT512130410</v>
      </c>
      <c r="I254" s="41" t="e">
        <f>VLOOKUP($A254, [6]!ProductsTable[#Data], 7, FALSE)</f>
        <v>#REF!</v>
      </c>
      <c r="J254" s="39" t="e">
        <f>VLOOKUP($A254, [6]!ProductsTable[#Data], 8, FALSE)</f>
        <v>#REF!</v>
      </c>
      <c r="K254">
        <f>VLOOKUP($A254, [6]!ProductsTable[#Data], 9, FALSE)</f>
        <v>0</v>
      </c>
      <c r="L254" s="38">
        <f>VLOOKUP($A254, [6]!ProductsTable[#Data], 10, FALSE)</f>
        <v>51</v>
      </c>
      <c r="M254" s="38">
        <f>VLOOKUP($A254, [6]!ProductsTable[#Data], 11, FALSE)</f>
        <v>34.5</v>
      </c>
      <c r="N254" s="38">
        <f>VLOOKUP($A254, [6]!ProductsTable[#Data], 12, FALSE)</f>
        <v>42.5</v>
      </c>
      <c r="O254" s="38">
        <f>VLOOKUP($A254, [6]!ProductsTable[#Data], 13, FALSE)</f>
        <v>27.4</v>
      </c>
      <c r="R254" s="38" t="str">
        <f>VLOOKUP($A254, [6]!ProductsTable[#Data], 14, FALSE)</f>
        <v>1-Victron</v>
      </c>
      <c r="AE254" t="e">
        <f>COUNTIF('[7]product-export'!$A$2:$A$379, A254)</f>
        <v>#VALUE!</v>
      </c>
    </row>
    <row r="255" spans="1:31" x14ac:dyDescent="0.25">
      <c r="A255" s="76" t="s">
        <v>457</v>
      </c>
      <c r="B255" s="38" t="str">
        <f>VLOOKUP($A255, [6]!ProductsTable[#Data], 2, FALSE)</f>
        <v>Batteries</v>
      </c>
      <c r="C255" s="8" t="s">
        <v>149</v>
      </c>
      <c r="D255" s="8" t="s">
        <v>161</v>
      </c>
      <c r="E255" s="38" t="str">
        <f>VLOOKUP($A255, [6]!ProductsTable[#Data], 3, FALSE)</f>
        <v>VICTRON</v>
      </c>
      <c r="F255" s="38" t="str">
        <f>VLOOKUP($A255, [6]!ProductsTable[#Data], 4, FALSE)</f>
        <v>LiFePO4 Battery 25.6V/200Ah - Smart</v>
      </c>
      <c r="G255" s="38" t="str">
        <f>VLOOKUP($A255, [6]!ProductsTable[#Data], 5, FALSE)</f>
        <v>BAT524120410</v>
      </c>
      <c r="I255" s="41" t="e">
        <f>VLOOKUP($A255, [6]!ProductsTable[#Data], 7, FALSE)</f>
        <v>#REF!</v>
      </c>
      <c r="J255" s="39" t="e">
        <f>VLOOKUP($A255, [6]!ProductsTable[#Data], 8, FALSE)</f>
        <v>#REF!</v>
      </c>
      <c r="K255">
        <f>VLOOKUP($A255, [6]!ProductsTable[#Data], 9, FALSE)</f>
        <v>0</v>
      </c>
      <c r="L255" s="38">
        <f>VLOOKUP($A255, [6]!ProductsTable[#Data], 10, FALSE)</f>
        <v>60</v>
      </c>
      <c r="M255" s="38">
        <f>VLOOKUP($A255, [6]!ProductsTable[#Data], 11, FALSE)</f>
        <v>31.7</v>
      </c>
      <c r="N255" s="38">
        <f>VLOOKUP($A255, [6]!ProductsTable[#Data], 12, FALSE)</f>
        <v>63.1</v>
      </c>
      <c r="O255" s="38">
        <f>VLOOKUP($A255, [6]!ProductsTable[#Data], 13, FALSE)</f>
        <v>20.8</v>
      </c>
      <c r="R255" s="38" t="str">
        <f>VLOOKUP($A255, [6]!ProductsTable[#Data], 14, FALSE)</f>
        <v>1-Victron</v>
      </c>
      <c r="AE255" t="e">
        <f>COUNTIF('[7]product-export'!$A$2:$A$379, A255)</f>
        <v>#VALUE!</v>
      </c>
    </row>
    <row r="256" spans="1:31" x14ac:dyDescent="0.25">
      <c r="A256" s="76" t="s">
        <v>459</v>
      </c>
      <c r="B256" s="38" t="str">
        <f>VLOOKUP($A256, [6]!ProductsTable[#Data], 2, FALSE)</f>
        <v>Batteries</v>
      </c>
      <c r="C256" s="8" t="s">
        <v>149</v>
      </c>
      <c r="D256" s="8" t="s">
        <v>161</v>
      </c>
      <c r="E256" s="38" t="str">
        <f>VLOOKUP($A256, [6]!ProductsTable[#Data], 3, FALSE)</f>
        <v>VICTRON</v>
      </c>
      <c r="F256" s="38" t="str">
        <f>VLOOKUP($A256, [6]!ProductsTable[#Data], 4, FALSE)</f>
        <v>Lithium SuperPack 12,8V/60Ah (M6)</v>
      </c>
      <c r="G256" s="38" t="str">
        <f>VLOOKUP($A256, [6]!ProductsTable[#Data], 5, FALSE)</f>
        <v>BAT512060705</v>
      </c>
      <c r="I256" s="41" t="e">
        <f>VLOOKUP($A256, [6]!ProductsTable[#Data], 7, FALSE)</f>
        <v>#REF!</v>
      </c>
      <c r="J256" s="39" t="e">
        <f>VLOOKUP($A256, [6]!ProductsTable[#Data], 8, FALSE)</f>
        <v>#REF!</v>
      </c>
      <c r="K256">
        <f>VLOOKUP($A256, [6]!ProductsTable[#Data], 9, FALSE)</f>
        <v>0</v>
      </c>
      <c r="L256" s="38">
        <f>VLOOKUP($A256, [6]!ProductsTable[#Data], 10, FALSE)</f>
        <v>9.3000000000000007</v>
      </c>
      <c r="M256" s="38">
        <f>VLOOKUP($A256, [6]!ProductsTable[#Data], 11, FALSE)</f>
        <v>27</v>
      </c>
      <c r="N256" s="38">
        <f>VLOOKUP($A256, [6]!ProductsTable[#Data], 12, FALSE)</f>
        <v>27</v>
      </c>
      <c r="O256" s="38">
        <f>VLOOKUP($A256, [6]!ProductsTable[#Data], 13, FALSE)</f>
        <v>18</v>
      </c>
      <c r="R256" s="38" t="str">
        <f>VLOOKUP($A256, [6]!ProductsTable[#Data], 14, FALSE)</f>
        <v>1-Victron</v>
      </c>
      <c r="AE256" t="e">
        <f>COUNTIF('[7]product-export'!$A$2:$A$379, A256)</f>
        <v>#VALUE!</v>
      </c>
    </row>
    <row r="257" spans="1:31" x14ac:dyDescent="0.25">
      <c r="A257" s="76" t="s">
        <v>460</v>
      </c>
      <c r="B257" s="38" t="str">
        <f>VLOOKUP($A257, [6]!ProductsTable[#Data], 2, FALSE)</f>
        <v>Batteries</v>
      </c>
      <c r="C257" s="8" t="s">
        <v>149</v>
      </c>
      <c r="D257" s="8" t="s">
        <v>161</v>
      </c>
      <c r="E257" s="38" t="str">
        <f>VLOOKUP($A257, [6]!ProductsTable[#Data], 3, FALSE)</f>
        <v>VICTRON</v>
      </c>
      <c r="F257" s="38" t="str">
        <f>VLOOKUP($A257, [6]!ProductsTable[#Data], 4, FALSE)</f>
        <v>Lithium SuperPack 12,8V/100Ah (M8)</v>
      </c>
      <c r="G257" s="38" t="str">
        <f>VLOOKUP($A257, [6]!ProductsTable[#Data], 5, FALSE)</f>
        <v>BAT512110705</v>
      </c>
      <c r="I257" s="41" t="e">
        <f>VLOOKUP($A257, [6]!ProductsTable[#Data], 7, FALSE)</f>
        <v>#REF!</v>
      </c>
      <c r="J257" s="39" t="e">
        <f>VLOOKUP($A257, [6]!ProductsTable[#Data], 8, FALSE)</f>
        <v>#REF!</v>
      </c>
      <c r="K257">
        <f>VLOOKUP($A257, [6]!ProductsTable[#Data], 9, FALSE)</f>
        <v>0</v>
      </c>
      <c r="L257" s="38">
        <f>VLOOKUP($A257, [6]!ProductsTable[#Data], 10, FALSE)</f>
        <v>13.5</v>
      </c>
      <c r="M257" s="38">
        <f>VLOOKUP($A257, [6]!ProductsTable[#Data], 11, FALSE)</f>
        <v>27</v>
      </c>
      <c r="N257" s="38">
        <f>VLOOKUP($A257, [6]!ProductsTable[#Data], 12, FALSE)</f>
        <v>37</v>
      </c>
      <c r="O257" s="38">
        <f>VLOOKUP($A257, [6]!ProductsTable[#Data], 13, FALSE)</f>
        <v>21.5</v>
      </c>
      <c r="R257" s="38" t="str">
        <f>VLOOKUP($A257, [6]!ProductsTable[#Data], 14, FALSE)</f>
        <v>1-Victron</v>
      </c>
      <c r="AE257" t="e">
        <f>COUNTIF('[7]product-export'!$A$2:$A$379, A257)</f>
        <v>#VALUE!</v>
      </c>
    </row>
    <row r="258" spans="1:31" x14ac:dyDescent="0.25">
      <c r="A258" s="76" t="s">
        <v>461</v>
      </c>
      <c r="B258" s="38" t="str">
        <f>VLOOKUP($A258, [6]!ProductsTable[#Data], 2, FALSE)</f>
        <v>Batteries</v>
      </c>
      <c r="C258" s="8" t="s">
        <v>149</v>
      </c>
      <c r="D258" s="8" t="s">
        <v>161</v>
      </c>
      <c r="E258" s="38" t="str">
        <f>VLOOKUP($A258, [6]!ProductsTable[#Data], 3, FALSE)</f>
        <v>VICTRON</v>
      </c>
      <c r="F258" s="38" t="str">
        <f>VLOOKUP($A258, [6]!ProductsTable[#Data], 4, FALSE)</f>
        <v>Lithium SuperPack 12,8V/200Ah (M8)</v>
      </c>
      <c r="G258" s="38" t="str">
        <f>VLOOKUP($A258, [6]!ProductsTable[#Data], 5, FALSE)</f>
        <v>BAT512120705</v>
      </c>
      <c r="I258" s="41" t="e">
        <f>VLOOKUP($A258, [6]!ProductsTable[#Data], 7, FALSE)</f>
        <v>#REF!</v>
      </c>
      <c r="J258" s="39" t="e">
        <f>VLOOKUP($A258, [6]!ProductsTable[#Data], 8, FALSE)</f>
        <v>#REF!</v>
      </c>
      <c r="K258">
        <f>VLOOKUP($A258, [6]!ProductsTable[#Data], 9, FALSE)</f>
        <v>0</v>
      </c>
      <c r="L258" s="38">
        <f>VLOOKUP($A258, [6]!ProductsTable[#Data], 10, FALSE)</f>
        <v>30.3</v>
      </c>
      <c r="M258" s="38">
        <f>VLOOKUP($A258, [6]!ProductsTable[#Data], 11, FALSE)</f>
        <v>25.5</v>
      </c>
      <c r="N258" s="38">
        <f>VLOOKUP($A258, [6]!ProductsTable[#Data], 12, FALSE)</f>
        <v>56.5</v>
      </c>
      <c r="O258" s="38">
        <f>VLOOKUP($A258, [6]!ProductsTable[#Data], 13, FALSE)</f>
        <v>31</v>
      </c>
      <c r="R258" s="38" t="str">
        <f>VLOOKUP($A258, [6]!ProductsTable[#Data], 14, FALSE)</f>
        <v>1-Victron</v>
      </c>
      <c r="AE258" t="e">
        <f>COUNTIF('[7]product-export'!$A$2:$A$379, A258)</f>
        <v>#VALUE!</v>
      </c>
    </row>
    <row r="259" spans="1:31" x14ac:dyDescent="0.25">
      <c r="A259" s="76" t="s">
        <v>463</v>
      </c>
      <c r="B259" s="38" t="str">
        <f>VLOOKUP($A259, [6]!ProductsTable[#Data], 2, FALSE)</f>
        <v>Chargers</v>
      </c>
      <c r="C259" s="8" t="s">
        <v>149</v>
      </c>
      <c r="D259" s="8" t="s">
        <v>164</v>
      </c>
      <c r="E259" s="38" t="str">
        <f>VLOOKUP($A259, [6]!ProductsTable[#Data], 3, FALSE)</f>
        <v>VICTRON</v>
      </c>
      <c r="F259" s="38" t="str">
        <f>VLOOKUP($A259, [6]!ProductsTable[#Data], 4, FALSE)</f>
        <v>Battery Charger Blue Smart IP65s  12/4(1) + DC connector</v>
      </c>
      <c r="G259" s="38" t="str">
        <f>VLOOKUP($A259, [6]!ProductsTable[#Data], 5, FALSE)</f>
        <v>BPC120433014R</v>
      </c>
      <c r="I259" s="41" t="e">
        <f>VLOOKUP($A259, [6]!ProductsTable[#Data], 7, FALSE)</f>
        <v>#REF!</v>
      </c>
      <c r="J259" s="39" t="e">
        <f>VLOOKUP($A259, [6]!ProductsTable[#Data], 8, FALSE)</f>
        <v>#REF!</v>
      </c>
      <c r="K259">
        <f>VLOOKUP($A259, [6]!ProductsTable[#Data], 9, FALSE)</f>
        <v>0</v>
      </c>
      <c r="L259" s="38">
        <f>VLOOKUP($A259, [6]!ProductsTable[#Data], 10, FALSE)</f>
        <v>0.6</v>
      </c>
      <c r="M259" s="38">
        <f>VLOOKUP($A259, [6]!ProductsTable[#Data], 11, FALSE)</f>
        <v>4.5</v>
      </c>
      <c r="N259" s="38">
        <f>VLOOKUP($A259, [6]!ProductsTable[#Data], 12, FALSE)</f>
        <v>8.1</v>
      </c>
      <c r="O259" s="38">
        <f>VLOOKUP($A259, [6]!ProductsTable[#Data], 13, FALSE)</f>
        <v>18.2</v>
      </c>
      <c r="R259" s="38" t="str">
        <f>VLOOKUP($A259, [6]!ProductsTable[#Data], 14, FALSE)</f>
        <v>1-Victron</v>
      </c>
      <c r="AE259" t="e">
        <f>COUNTIF('[7]product-export'!$A$2:$A$379, A259)</f>
        <v>#VALUE!</v>
      </c>
    </row>
    <row r="260" spans="1:31" x14ac:dyDescent="0.25">
      <c r="A260" s="76" t="s">
        <v>464</v>
      </c>
      <c r="B260" s="38" t="str">
        <f>VLOOKUP($A260, [6]!ProductsTable[#Data], 2, FALSE)</f>
        <v>Chargers</v>
      </c>
      <c r="C260" s="8" t="s">
        <v>149</v>
      </c>
      <c r="D260" s="8" t="s">
        <v>164</v>
      </c>
      <c r="E260" s="38" t="str">
        <f>VLOOKUP($A260, [6]!ProductsTable[#Data], 3, FALSE)</f>
        <v>VICTRON</v>
      </c>
      <c r="F260" s="38" t="str">
        <f>VLOOKUP($A260, [6]!ProductsTable[#Data], 4, FALSE)</f>
        <v>Battery Charger Blue Smart IP65s  12/5(1) + DC connector</v>
      </c>
      <c r="G260" s="38" t="str">
        <f>VLOOKUP($A260, [6]!ProductsTable[#Data], 5, FALSE)</f>
        <v>BPC120533014R</v>
      </c>
      <c r="I260" s="41" t="e">
        <f>VLOOKUP($A260, [6]!ProductsTable[#Data], 7, FALSE)</f>
        <v>#REF!</v>
      </c>
      <c r="J260" s="39" t="e">
        <f>VLOOKUP($A260, [6]!ProductsTable[#Data], 8, FALSE)</f>
        <v>#REF!</v>
      </c>
      <c r="K260">
        <f>VLOOKUP($A260, [6]!ProductsTable[#Data], 9, FALSE)</f>
        <v>0</v>
      </c>
      <c r="L260" s="38">
        <f>VLOOKUP($A260, [6]!ProductsTable[#Data], 10, FALSE)</f>
        <v>0.6</v>
      </c>
      <c r="M260" s="38">
        <f>VLOOKUP($A260, [6]!ProductsTable[#Data], 11, FALSE)</f>
        <v>4.5</v>
      </c>
      <c r="N260" s="38">
        <f>VLOOKUP($A260, [6]!ProductsTable[#Data], 12, FALSE)</f>
        <v>8.1</v>
      </c>
      <c r="O260" s="38">
        <f>VLOOKUP($A260, [6]!ProductsTable[#Data], 13, FALSE)</f>
        <v>18.2</v>
      </c>
      <c r="R260" s="38" t="str">
        <f>VLOOKUP($A260, [6]!ProductsTable[#Data], 14, FALSE)</f>
        <v>1-Victron</v>
      </c>
      <c r="AE260" t="e">
        <f>COUNTIF('[7]product-export'!$A$2:$A$379, A260)</f>
        <v>#VALUE!</v>
      </c>
    </row>
    <row r="261" spans="1:31" x14ac:dyDescent="0.25">
      <c r="A261" s="76" t="s">
        <v>465</v>
      </c>
      <c r="B261" s="38" t="str">
        <f>VLOOKUP($A261, [6]!ProductsTable[#Data], 2, FALSE)</f>
        <v>Chargers</v>
      </c>
      <c r="C261" s="8" t="s">
        <v>149</v>
      </c>
      <c r="D261" s="8" t="s">
        <v>164</v>
      </c>
      <c r="E261" s="38" t="str">
        <f>VLOOKUP($A261, [6]!ProductsTable[#Data], 3, FALSE)</f>
        <v>VICTRON</v>
      </c>
      <c r="F261" s="38" t="str">
        <f>VLOOKUP($A261, [6]!ProductsTable[#Data], 4, FALSE)</f>
        <v>Battery Charger Blue Smart IP65s  12/7(1) + DC connector</v>
      </c>
      <c r="G261" s="38" t="str">
        <f>VLOOKUP($A261, [6]!ProductsTable[#Data], 5, FALSE)</f>
        <v>BPC120731014R</v>
      </c>
      <c r="I261" s="41" t="e">
        <f>VLOOKUP($A261, [6]!ProductsTable[#Data], 7, FALSE)</f>
        <v>#REF!</v>
      </c>
      <c r="J261" s="39" t="e">
        <f>VLOOKUP($A261, [6]!ProductsTable[#Data], 8, FALSE)</f>
        <v>#REF!</v>
      </c>
      <c r="K261">
        <f>VLOOKUP($A261, [6]!ProductsTable[#Data], 9, FALSE)</f>
        <v>0</v>
      </c>
      <c r="L261" s="38">
        <f>VLOOKUP($A261, [6]!ProductsTable[#Data], 10, FALSE)</f>
        <v>0.9</v>
      </c>
      <c r="M261" s="38">
        <f>VLOOKUP($A261, [6]!ProductsTable[#Data], 11, FALSE)</f>
        <v>4.7</v>
      </c>
      <c r="N261" s="38">
        <f>VLOOKUP($A261, [6]!ProductsTable[#Data], 12, FALSE)</f>
        <v>9.5</v>
      </c>
      <c r="O261" s="38">
        <f>VLOOKUP($A261, [6]!ProductsTable[#Data], 13, FALSE)</f>
        <v>19</v>
      </c>
      <c r="R261" s="38" t="str">
        <f>VLOOKUP($A261, [6]!ProductsTable[#Data], 14, FALSE)</f>
        <v>1-Victron</v>
      </c>
      <c r="AE261" t="e">
        <f>COUNTIF('[7]product-export'!$A$2:$A$379, A261)</f>
        <v>#VALUE!</v>
      </c>
    </row>
    <row r="262" spans="1:31" x14ac:dyDescent="0.25">
      <c r="A262" s="76" t="s">
        <v>466</v>
      </c>
      <c r="B262" s="38" t="str">
        <f>VLOOKUP($A262, [6]!ProductsTable[#Data], 2, FALSE)</f>
        <v>Chargers</v>
      </c>
      <c r="C262" s="8" t="s">
        <v>149</v>
      </c>
      <c r="D262" s="8" t="s">
        <v>164</v>
      </c>
      <c r="E262" s="38" t="str">
        <f>VLOOKUP($A262, [6]!ProductsTable[#Data], 3, FALSE)</f>
        <v>VICTRON</v>
      </c>
      <c r="F262" s="38" t="str">
        <f>VLOOKUP($A262, [6]!ProductsTable[#Data], 4, FALSE)</f>
        <v>Battery Charger Blue Smart IP65s  12/10(1) + DC connector</v>
      </c>
      <c r="G262" s="38" t="str">
        <f>VLOOKUP($A262, [6]!ProductsTable[#Data], 5, FALSE)</f>
        <v>BPC121031014R</v>
      </c>
      <c r="I262" s="41" t="e">
        <f>VLOOKUP($A262, [6]!ProductsTable[#Data], 7, FALSE)</f>
        <v>#REF!</v>
      </c>
      <c r="J262" s="39" t="e">
        <f>VLOOKUP($A262, [6]!ProductsTable[#Data], 8, FALSE)</f>
        <v>#REF!</v>
      </c>
      <c r="K262">
        <f>VLOOKUP($A262, [6]!ProductsTable[#Data], 9, FALSE)</f>
        <v>0</v>
      </c>
      <c r="L262" s="38">
        <f>VLOOKUP($A262, [6]!ProductsTable[#Data], 10, FALSE)</f>
        <v>0.9</v>
      </c>
      <c r="M262" s="38">
        <f>VLOOKUP($A262, [6]!ProductsTable[#Data], 11, FALSE)</f>
        <v>6</v>
      </c>
      <c r="N262" s="38">
        <f>VLOOKUP($A262, [6]!ProductsTable[#Data], 12, FALSE)</f>
        <v>10.5</v>
      </c>
      <c r="O262" s="38">
        <f>VLOOKUP($A262, [6]!ProductsTable[#Data], 13, FALSE)</f>
        <v>19</v>
      </c>
      <c r="R262" s="38" t="str">
        <f>VLOOKUP($A262, [6]!ProductsTable[#Data], 14, FALSE)</f>
        <v>1-Victron</v>
      </c>
      <c r="AE262" t="e">
        <f>COUNTIF('[7]product-export'!$A$2:$A$379, A262)</f>
        <v>#VALUE!</v>
      </c>
    </row>
    <row r="263" spans="1:31" x14ac:dyDescent="0.25">
      <c r="A263" s="76" t="s">
        <v>467</v>
      </c>
      <c r="B263" s="38" t="str">
        <f>VLOOKUP($A263, [6]!ProductsTable[#Data], 2, FALSE)</f>
        <v>Chargers</v>
      </c>
      <c r="C263" s="8" t="s">
        <v>149</v>
      </c>
      <c r="D263" s="8" t="s">
        <v>164</v>
      </c>
      <c r="E263" s="38" t="str">
        <f>VLOOKUP($A263, [6]!ProductsTable[#Data], 3, FALSE)</f>
        <v>VICTRON</v>
      </c>
      <c r="F263" s="38" t="str">
        <f>VLOOKUP($A263, [6]!ProductsTable[#Data], 4, FALSE)</f>
        <v>Battery Charger Blue Smart IP65s  12/15(1) + DC connector</v>
      </c>
      <c r="G263" s="38" t="str">
        <f>VLOOKUP($A263, [6]!ProductsTable[#Data], 5, FALSE)</f>
        <v>BPC121531014R</v>
      </c>
      <c r="I263" s="41" t="e">
        <f>VLOOKUP($A263, [6]!ProductsTable[#Data], 7, FALSE)</f>
        <v>#REF!</v>
      </c>
      <c r="J263" s="39" t="e">
        <f>VLOOKUP($A263, [6]!ProductsTable[#Data], 8, FALSE)</f>
        <v>#REF!</v>
      </c>
      <c r="K263">
        <f>VLOOKUP($A263, [6]!ProductsTable[#Data], 9, FALSE)</f>
        <v>0</v>
      </c>
      <c r="L263" s="38">
        <f>VLOOKUP($A263, [6]!ProductsTable[#Data], 10, FALSE)</f>
        <v>0.9</v>
      </c>
      <c r="M263" s="38">
        <f>VLOOKUP($A263, [6]!ProductsTable[#Data], 11, FALSE)</f>
        <v>6</v>
      </c>
      <c r="N263" s="38">
        <f>VLOOKUP($A263, [6]!ProductsTable[#Data], 12, FALSE)</f>
        <v>10.5</v>
      </c>
      <c r="O263" s="38">
        <f>VLOOKUP($A263, [6]!ProductsTable[#Data], 13, FALSE)</f>
        <v>19</v>
      </c>
      <c r="R263" s="38" t="str">
        <f>VLOOKUP($A263, [6]!ProductsTable[#Data], 14, FALSE)</f>
        <v>1-Victron</v>
      </c>
      <c r="AE263" t="e">
        <f>COUNTIF('[7]product-export'!$A$2:$A$379, A263)</f>
        <v>#VALUE!</v>
      </c>
    </row>
    <row r="264" spans="1:31" x14ac:dyDescent="0.25">
      <c r="A264" s="76" t="s">
        <v>468</v>
      </c>
      <c r="B264" s="38" t="str">
        <f>VLOOKUP($A264, [6]!ProductsTable[#Data], 2, FALSE)</f>
        <v>Chargers</v>
      </c>
      <c r="C264" s="8" t="s">
        <v>149</v>
      </c>
      <c r="D264" s="8" t="s">
        <v>164</v>
      </c>
      <c r="E264" s="38" t="str">
        <f>VLOOKUP($A264, [6]!ProductsTable[#Data], 3, FALSE)</f>
        <v>VICTRON</v>
      </c>
      <c r="F264" s="38" t="str">
        <f>VLOOKUP($A264, [6]!ProductsTable[#Data], 4, FALSE)</f>
        <v>Battery Charger Blue Smart IP65s  24/5(1) + DC connector</v>
      </c>
      <c r="G264" s="38" t="str">
        <f>VLOOKUP($A264, [6]!ProductsTable[#Data], 5, FALSE)</f>
        <v>BPC240531014R</v>
      </c>
      <c r="I264" s="41" t="e">
        <f>VLOOKUP($A264, [6]!ProductsTable[#Data], 7, FALSE)</f>
        <v>#REF!</v>
      </c>
      <c r="J264" s="39" t="e">
        <f>VLOOKUP($A264, [6]!ProductsTable[#Data], 8, FALSE)</f>
        <v>#REF!</v>
      </c>
      <c r="K264">
        <f>VLOOKUP($A264, [6]!ProductsTable[#Data], 9, FALSE)</f>
        <v>0</v>
      </c>
      <c r="L264" s="38">
        <f>VLOOKUP($A264, [6]!ProductsTable[#Data], 10, FALSE)</f>
        <v>0.9</v>
      </c>
      <c r="M264" s="38">
        <f>VLOOKUP($A264, [6]!ProductsTable[#Data], 11, FALSE)</f>
        <v>4.7</v>
      </c>
      <c r="N264" s="38">
        <f>VLOOKUP($A264, [6]!ProductsTable[#Data], 12, FALSE)</f>
        <v>9.5</v>
      </c>
      <c r="O264" s="38">
        <f>VLOOKUP($A264, [6]!ProductsTable[#Data], 13, FALSE)</f>
        <v>19</v>
      </c>
      <c r="R264" s="38" t="str">
        <f>VLOOKUP($A264, [6]!ProductsTable[#Data], 14, FALSE)</f>
        <v>1-Victron</v>
      </c>
      <c r="AE264" t="e">
        <f>COUNTIF('[7]product-export'!$A$2:$A$379, A264)</f>
        <v>#VALUE!</v>
      </c>
    </row>
    <row r="265" spans="1:31" x14ac:dyDescent="0.25">
      <c r="A265" s="76" t="s">
        <v>469</v>
      </c>
      <c r="B265" s="38" t="str">
        <f>VLOOKUP($A265, [6]!ProductsTable[#Data], 2, FALSE)</f>
        <v>Chargers</v>
      </c>
      <c r="C265" s="8" t="s">
        <v>149</v>
      </c>
      <c r="D265" s="8" t="s">
        <v>164</v>
      </c>
      <c r="E265" s="38" t="str">
        <f>VLOOKUP($A265, [6]!ProductsTable[#Data], 3, FALSE)</f>
        <v>VICTRON</v>
      </c>
      <c r="F265" s="38" t="str">
        <f>VLOOKUP($A265, [6]!ProductsTable[#Data], 4, FALSE)</f>
        <v>Battery Charger Blue Smart IP65s 24/8(1) + DC connector</v>
      </c>
      <c r="G265" s="38" t="str">
        <f>VLOOKUP($A265, [6]!ProductsTable[#Data], 5, FALSE)</f>
        <v>BPC240831014R</v>
      </c>
      <c r="I265" s="41" t="e">
        <f>VLOOKUP($A265, [6]!ProductsTable[#Data], 7, FALSE)</f>
        <v>#REF!</v>
      </c>
      <c r="J265" s="39" t="e">
        <f>VLOOKUP($A265, [6]!ProductsTable[#Data], 8, FALSE)</f>
        <v>#REF!</v>
      </c>
      <c r="K265">
        <f>VLOOKUP($A265, [6]!ProductsTable[#Data], 9, FALSE)</f>
        <v>0</v>
      </c>
      <c r="L265" s="38">
        <f>VLOOKUP($A265, [6]!ProductsTable[#Data], 10, FALSE)</f>
        <v>0.9</v>
      </c>
      <c r="M265" s="38">
        <f>VLOOKUP($A265, [6]!ProductsTable[#Data], 11, FALSE)</f>
        <v>6</v>
      </c>
      <c r="N265" s="38">
        <f>VLOOKUP($A265, [6]!ProductsTable[#Data], 12, FALSE)</f>
        <v>10.5</v>
      </c>
      <c r="O265" s="38">
        <f>VLOOKUP($A265, [6]!ProductsTable[#Data], 13, FALSE)</f>
        <v>19</v>
      </c>
      <c r="R265" s="38" t="str">
        <f>VLOOKUP($A265, [6]!ProductsTable[#Data], 14, FALSE)</f>
        <v>1-Victron</v>
      </c>
      <c r="AE265" t="e">
        <f>COUNTIF('[7]product-export'!$A$2:$A$379, A265)</f>
        <v>#VALUE!</v>
      </c>
    </row>
    <row r="266" spans="1:31" x14ac:dyDescent="0.25">
      <c r="A266" s="76" t="s">
        <v>415</v>
      </c>
      <c r="B266" s="38" t="str">
        <f>VLOOKUP($A266, [6]!ProductsTable[#Data], 2, FALSE)</f>
        <v>Inverter-Chargers</v>
      </c>
      <c r="C266" s="8" t="s">
        <v>217</v>
      </c>
      <c r="D266" s="8" t="s">
        <v>171</v>
      </c>
      <c r="E266" s="38" t="str">
        <f>VLOOKUP($A266, [6]!ProductsTable[#Data], 3, FALSE)</f>
        <v>Victron</v>
      </c>
      <c r="F266" s="38" t="str">
        <f>VLOOKUP($A266, [6]!ProductsTable[#Data], 4, FALSE)</f>
        <v>Multiplus 48/1200/13</v>
      </c>
      <c r="G266" s="38" t="str">
        <f>VLOOKUP($A266, [6]!ProductsTable[#Data], 5, FALSE)</f>
        <v>PMP482120000</v>
      </c>
      <c r="I266" s="41" t="e">
        <f>VLOOKUP($A266, [6]!ProductsTable[#Data], 7, FALSE)</f>
        <v>#REF!</v>
      </c>
      <c r="J266" s="39" t="e">
        <f>VLOOKUP($A266, [6]!ProductsTable[#Data], 8, FALSE)</f>
        <v>#REF!</v>
      </c>
      <c r="K266">
        <f>VLOOKUP($A266, [6]!ProductsTable[#Data], 9, FALSE)</f>
        <v>0</v>
      </c>
      <c r="L266" s="38">
        <f>VLOOKUP($A266, [6]!ProductsTable[#Data], 10, FALSE)</f>
        <v>8.1999999999999993</v>
      </c>
      <c r="M266" s="38">
        <f>VLOOKUP($A266, [6]!ProductsTable[#Data], 11, FALSE)</f>
        <v>40.6</v>
      </c>
      <c r="N266" s="38">
        <f>VLOOKUP($A266, [6]!ProductsTable[#Data], 12, FALSE)</f>
        <v>25</v>
      </c>
      <c r="O266" s="38">
        <f>VLOOKUP($A266, [6]!ProductsTable[#Data], 13, FALSE)</f>
        <v>10</v>
      </c>
      <c r="R266" s="38" t="str">
        <f>VLOOKUP($A266, [6]!ProductsTable[#Data], 14, FALSE)</f>
        <v>1-Victron</v>
      </c>
      <c r="AE266" t="e">
        <f>COUNTIF('[7]product-export'!$A$2:$A$379, A266)</f>
        <v>#VALUE!</v>
      </c>
    </row>
    <row r="267" spans="1:31" x14ac:dyDescent="0.25">
      <c r="A267" s="76" t="s">
        <v>480</v>
      </c>
      <c r="B267" s="38" t="str">
        <f>VLOOKUP($A267, [6]!ProductsTable[#Data], 2, FALSE)</f>
        <v>Cables</v>
      </c>
      <c r="C267" s="8" t="s">
        <v>153</v>
      </c>
      <c r="D267" s="8" t="s">
        <v>230</v>
      </c>
      <c r="E267" s="38" t="str">
        <f>VLOOKUP($A267, [6]!ProductsTable[#Data], 3, FALSE)</f>
        <v>Victron</v>
      </c>
      <c r="F267" s="38" t="str">
        <f>VLOOKUP($A267, [6]!ProductsTable[#Data], 4, FALSE)</f>
        <v>VE.Direct Cable 10m</v>
      </c>
      <c r="G267" s="38" t="str">
        <f>VLOOKUP($A267, [6]!ProductsTable[#Data], 5, FALSE)</f>
        <v>ASS030530310</v>
      </c>
      <c r="I267" s="41" t="e">
        <f>VLOOKUP($A267, [6]!ProductsTable[#Data], 7, FALSE)</f>
        <v>#REF!</v>
      </c>
      <c r="J267" s="39" t="e">
        <f>VLOOKUP($A267, [6]!ProductsTable[#Data], 8, FALSE)</f>
        <v>#REF!</v>
      </c>
      <c r="K267">
        <f>VLOOKUP($A267, [6]!ProductsTable[#Data], 9, FALSE)</f>
        <v>0</v>
      </c>
      <c r="L267" s="38">
        <f>VLOOKUP($A267, [6]!ProductsTable[#Data], 10, FALSE)</f>
        <v>0.5</v>
      </c>
      <c r="M267" s="38">
        <f>VLOOKUP($A267, [6]!ProductsTable[#Data], 11, FALSE)</f>
        <v>15</v>
      </c>
      <c r="N267" s="38">
        <f>VLOOKUP($A267, [6]!ProductsTable[#Data], 12, FALSE)</f>
        <v>15</v>
      </c>
      <c r="O267" s="38">
        <f>VLOOKUP($A267, [6]!ProductsTable[#Data], 13, FALSE)</f>
        <v>4</v>
      </c>
      <c r="R267" s="38" t="str">
        <f>VLOOKUP($A267, [6]!ProductsTable[#Data], 14, FALSE)</f>
        <v>1-Victron</v>
      </c>
      <c r="AE267" t="e">
        <f>COUNTIF('[7]product-export'!$A$2:$A$379, A267)</f>
        <v>#VALUE!</v>
      </c>
    </row>
    <row r="268" spans="1:31" x14ac:dyDescent="0.25">
      <c r="A268" s="76" t="s">
        <v>548</v>
      </c>
      <c r="B268" s="38" t="str">
        <f>VLOOKUP($A268, [6]!ProductsTable[#Data], 2, FALSE)</f>
        <v>Electrical</v>
      </c>
      <c r="C268" s="8" t="s">
        <v>217</v>
      </c>
      <c r="D268" s="8" t="s">
        <v>172</v>
      </c>
      <c r="E268" s="38" t="str">
        <f>VLOOKUP($A268, [6]!ProductsTable[#Data], 3, FALSE)</f>
        <v>Noark</v>
      </c>
      <c r="F268" s="38" t="str">
        <f>VLOOKUP($A268, [6]!ProductsTable[#Data], 4, FALSE)</f>
        <v>MCB 32A 360V DC 2 Pole</v>
      </c>
      <c r="G268" s="38" t="str">
        <f>VLOOKUP($A268, [6]!ProductsTable[#Data], 5, FALSE)</f>
        <v>N84453</v>
      </c>
      <c r="I268" s="41" t="e">
        <f>VLOOKUP($A268, [6]!ProductsTable[#Data], 7, FALSE)</f>
        <v>#REF!</v>
      </c>
      <c r="J268" s="39" t="e">
        <f>VLOOKUP($A268, [6]!ProductsTable[#Data], 8, FALSE)</f>
        <v>#REF!</v>
      </c>
      <c r="K268">
        <f>VLOOKUP($A268, [6]!ProductsTable[#Data], 9, FALSE)</f>
        <v>0</v>
      </c>
      <c r="L268" s="38">
        <f>VLOOKUP($A268, [6]!ProductsTable[#Data], 10, FALSE)</f>
        <v>0.25</v>
      </c>
      <c r="M268" s="38">
        <f>VLOOKUP($A268, [6]!ProductsTable[#Data], 11, FALSE)</f>
        <v>9</v>
      </c>
      <c r="N268" s="38">
        <f>VLOOKUP($A268, [6]!ProductsTable[#Data], 12, FALSE)</f>
        <v>7.5</v>
      </c>
      <c r="O268" s="38">
        <f>VLOOKUP($A268, [6]!ProductsTable[#Data], 13, FALSE)</f>
        <v>3.5</v>
      </c>
      <c r="R268" s="38" t="str">
        <f>VLOOKUP($A268, [6]!ProductsTable[#Data], 14, FALSE)</f>
        <v>3-Tradezone</v>
      </c>
      <c r="AE268" t="e">
        <f>COUNTIF('[7]product-export'!$A$2:$A$379, A268)</f>
        <v>#VALUE!</v>
      </c>
    </row>
    <row r="269" spans="1:31" x14ac:dyDescent="0.25">
      <c r="A269" s="76" t="s">
        <v>547</v>
      </c>
      <c r="B269" s="38" t="str">
        <f>VLOOKUP($A269, [6]!ProductsTable[#Data], 2, FALSE)</f>
        <v>Electrical</v>
      </c>
      <c r="C269" s="8" t="s">
        <v>217</v>
      </c>
      <c r="D269" s="8" t="s">
        <v>172</v>
      </c>
      <c r="E269" s="38" t="str">
        <f>VLOOKUP($A269, [6]!ProductsTable[#Data], 3, FALSE)</f>
        <v>Noark</v>
      </c>
      <c r="F269" s="38" t="str">
        <f>VLOOKUP($A269, [6]!ProductsTable[#Data], 4, FALSE)</f>
        <v>MCB 50A 360V DC 4 Pole</v>
      </c>
      <c r="G269" s="38" t="str">
        <f>VLOOKUP($A269, [6]!ProductsTable[#Data], 5, FALSE)</f>
        <v>N84481</v>
      </c>
      <c r="I269" s="41" t="e">
        <f>VLOOKUP($A269, [6]!ProductsTable[#Data], 7, FALSE)</f>
        <v>#REF!</v>
      </c>
      <c r="J269" s="39" t="e">
        <f>VLOOKUP($A269, [6]!ProductsTable[#Data], 8, FALSE)</f>
        <v>#REF!</v>
      </c>
      <c r="K269">
        <f>VLOOKUP($A269, [6]!ProductsTable[#Data], 9, FALSE)</f>
        <v>0</v>
      </c>
      <c r="L269" s="38">
        <f>VLOOKUP($A269, [6]!ProductsTable[#Data], 10, FALSE)</f>
        <v>0.51</v>
      </c>
      <c r="M269" s="38">
        <f>VLOOKUP($A269, [6]!ProductsTable[#Data], 11, FALSE)</f>
        <v>9</v>
      </c>
      <c r="N269" s="38">
        <f>VLOOKUP($A269, [6]!ProductsTable[#Data], 12, FALSE)</f>
        <v>7.5</v>
      </c>
      <c r="O269" s="38">
        <f>VLOOKUP($A269, [6]!ProductsTable[#Data], 13, FALSE)</f>
        <v>7.5</v>
      </c>
      <c r="R269" s="38" t="str">
        <f>VLOOKUP($A269, [6]!ProductsTable[#Data], 14, FALSE)</f>
        <v>6-Various</v>
      </c>
      <c r="AE269" t="e">
        <f>COUNTIF('[7]product-export'!$A$2:$A$379, A269)</f>
        <v>#VALUE!</v>
      </c>
    </row>
    <row r="270" spans="1:31" x14ac:dyDescent="0.25">
      <c r="A270" s="76" t="s">
        <v>462</v>
      </c>
      <c r="B270" s="38" t="str">
        <f>VLOOKUP($A270, [6]!ProductsTable[#Data], 2, FALSE)</f>
        <v>Hot Water</v>
      </c>
      <c r="C270" s="8" t="s">
        <v>153</v>
      </c>
      <c r="D270" s="8" t="s">
        <v>230</v>
      </c>
      <c r="E270" s="38" t="str">
        <f>VLOOKUP($A270, [6]!ProductsTable[#Data], 3, FALSE)</f>
        <v>Plasmatronics</v>
      </c>
      <c r="F270" s="38" t="str">
        <f>VLOOKUP($A270, [6]!ProductsTable[#Data], 4, FALSE)</f>
        <v>Hot Water Diverter Plasmatronics Jackal</v>
      </c>
      <c r="G270" s="38" t="str">
        <f>VLOOKUP($A270, [6]!ProductsTable[#Data], 5, FALSE)</f>
        <v>Jackal</v>
      </c>
      <c r="I270" s="41" t="e">
        <f>VLOOKUP($A270, [6]!ProductsTable[#Data], 7, FALSE)</f>
        <v>#REF!</v>
      </c>
      <c r="J270" s="39" t="e">
        <f>VLOOKUP($A270, [6]!ProductsTable[#Data], 8, FALSE)</f>
        <v>#REF!</v>
      </c>
      <c r="K270">
        <f>VLOOKUP($A270, [6]!ProductsTable[#Data], 9, FALSE)</f>
        <v>0</v>
      </c>
      <c r="L270" s="38">
        <f>VLOOKUP($A270, [6]!ProductsTable[#Data], 10, FALSE)</f>
        <v>2</v>
      </c>
      <c r="M270" s="38">
        <f>VLOOKUP($A270, [6]!ProductsTable[#Data], 11, FALSE)</f>
        <v>18</v>
      </c>
      <c r="N270" s="38">
        <f>VLOOKUP($A270, [6]!ProductsTable[#Data], 12, FALSE)</f>
        <v>15</v>
      </c>
      <c r="O270" s="38">
        <f>VLOOKUP($A270, [6]!ProductsTable[#Data], 13, FALSE)</f>
        <v>9.5</v>
      </c>
      <c r="R270" s="38" t="str">
        <f>VLOOKUP($A270, [6]!ProductsTable[#Data], 14, FALSE)</f>
        <v>4-Plasmatronics</v>
      </c>
      <c r="AE270" t="e">
        <f>COUNTIF('[7]product-export'!$A$2:$A$379, A270)</f>
        <v>#VALUE!</v>
      </c>
    </row>
    <row r="271" spans="1:31" x14ac:dyDescent="0.25">
      <c r="A271" s="76" t="s">
        <v>510</v>
      </c>
      <c r="B271" s="38" t="str">
        <f>VLOOKUP($A271, [6]!ProductsTable[#Data], 2, FALSE)</f>
        <v>Batteries</v>
      </c>
      <c r="C271" s="8" t="s">
        <v>149</v>
      </c>
      <c r="D271" s="8" t="s">
        <v>161</v>
      </c>
      <c r="E271" s="38" t="str">
        <f>VLOOKUP($A271, [6]!ProductsTable[#Data], 3, FALSE)</f>
        <v>Powerplus</v>
      </c>
      <c r="F271" s="38" t="str">
        <f>VLOOKUP($A271, [6]!ProductsTable[#Data], 4, FALSE)</f>
        <v>Battery Powerplus eco 4KWh Lithium Module</v>
      </c>
      <c r="G271" s="38" t="str">
        <f>VLOOKUP($A271, [6]!ProductsTable[#Data], 5, FALSE)</f>
        <v>ECO4840P</v>
      </c>
      <c r="I271" s="41" t="e">
        <f>VLOOKUP($A271, [6]!ProductsTable[#Data], 7, FALSE)</f>
        <v>#REF!</v>
      </c>
      <c r="J271" s="39" t="e">
        <f>VLOOKUP($A271, [6]!ProductsTable[#Data], 8, FALSE)</f>
        <v>#REF!</v>
      </c>
      <c r="K271">
        <f>VLOOKUP($A271, [6]!ProductsTable[#Data], 9, FALSE)</f>
        <v>0</v>
      </c>
      <c r="L271" s="38">
        <f>VLOOKUP($A271, [6]!ProductsTable[#Data], 10, FALSE)</f>
        <v>43</v>
      </c>
      <c r="M271" s="38">
        <f>VLOOKUP($A271, [6]!ProductsTable[#Data], 11, FALSE)</f>
        <v>64</v>
      </c>
      <c r="N271" s="38">
        <f>VLOOKUP($A271, [6]!ProductsTable[#Data], 12, FALSE)</f>
        <v>44</v>
      </c>
      <c r="O271" s="38">
        <f>VLOOKUP($A271, [6]!ProductsTable[#Data], 13, FALSE)</f>
        <v>9</v>
      </c>
      <c r="R271" s="38" t="str">
        <f>VLOOKUP($A271, [6]!ProductsTable[#Data], 14, FALSE)</f>
        <v>6-Various</v>
      </c>
      <c r="AE271" t="e">
        <f>COUNTIF('[7]product-export'!$A$2:$A$379, A271)</f>
        <v>#VALUE!</v>
      </c>
    </row>
    <row r="272" spans="1:31" x14ac:dyDescent="0.25">
      <c r="A272" s="76" t="s">
        <v>484</v>
      </c>
      <c r="B272" s="38" t="str">
        <f>VLOOKUP($A272, [6]!ProductsTable[#Data], 2, FALSE)</f>
        <v>Cables</v>
      </c>
      <c r="C272" s="8" t="s">
        <v>153</v>
      </c>
      <c r="D272" s="8" t="s">
        <v>230</v>
      </c>
      <c r="E272" s="38" t="str">
        <f>VLOOKUP($A272, [6]!ProductsTable[#Data], 3, FALSE)</f>
        <v>Victron</v>
      </c>
      <c r="F272" s="38" t="str">
        <f>VLOOKUP($A272, [6]!ProductsTable[#Data], 4, FALSE)</f>
        <v>VE.Direct Cable 3m</v>
      </c>
      <c r="G272" s="38" t="str">
        <f>VLOOKUP($A272, [6]!ProductsTable[#Data], 5, FALSE)</f>
        <v>ASS030530230</v>
      </c>
      <c r="I272" s="41" t="e">
        <f>VLOOKUP($A272, [6]!ProductsTable[#Data], 7, FALSE)</f>
        <v>#REF!</v>
      </c>
      <c r="J272" s="39" t="e">
        <f>VLOOKUP($A272, [6]!ProductsTable[#Data], 8, FALSE)</f>
        <v>#REF!</v>
      </c>
      <c r="K272">
        <f>VLOOKUP($A272, [6]!ProductsTable[#Data], 9, FALSE)</f>
        <v>0</v>
      </c>
      <c r="L272" s="38">
        <f>VLOOKUP($A272, [6]!ProductsTable[#Data], 10, FALSE)</f>
        <v>0.15</v>
      </c>
      <c r="M272" s="38">
        <f>VLOOKUP($A272, [6]!ProductsTable[#Data], 11, FALSE)</f>
        <v>10</v>
      </c>
      <c r="N272" s="38">
        <f>VLOOKUP($A272, [6]!ProductsTable[#Data], 12, FALSE)</f>
        <v>10</v>
      </c>
      <c r="O272" s="38">
        <f>VLOOKUP($A272, [6]!ProductsTable[#Data], 13, FALSE)</f>
        <v>1</v>
      </c>
      <c r="R272" s="38" t="str">
        <f>VLOOKUP($A272, [6]!ProductsTable[#Data], 14, FALSE)</f>
        <v>1-Victron</v>
      </c>
      <c r="AE272" t="e">
        <f>COUNTIF('[7]product-export'!$A$2:$A$379, A272)</f>
        <v>#VALUE!</v>
      </c>
    </row>
    <row r="273" spans="1:31" x14ac:dyDescent="0.25">
      <c r="A273" s="76" t="s">
        <v>485</v>
      </c>
      <c r="B273" s="38" t="str">
        <f>VLOOKUP($A273, [6]!ProductsTable[#Data], 2, FALSE)</f>
        <v>Cables</v>
      </c>
      <c r="C273" s="8" t="s">
        <v>153</v>
      </c>
      <c r="D273" s="8" t="s">
        <v>230</v>
      </c>
      <c r="E273" s="38" t="str">
        <f>VLOOKUP($A273, [6]!ProductsTable[#Data], 3, FALSE)</f>
        <v>Victron</v>
      </c>
      <c r="F273" s="38" t="str">
        <f>VLOOKUP($A273, [6]!ProductsTable[#Data], 4, FALSE)</f>
        <v>VE.Direct Cable 5m</v>
      </c>
      <c r="G273" s="38" t="str">
        <f>VLOOKUP($A273, [6]!ProductsTable[#Data], 5, FALSE)</f>
        <v>ASS030530250</v>
      </c>
      <c r="I273" s="41" t="e">
        <f>VLOOKUP($A273, [6]!ProductsTable[#Data], 7, FALSE)</f>
        <v>#REF!</v>
      </c>
      <c r="J273" s="39" t="e">
        <f>VLOOKUP($A273, [6]!ProductsTable[#Data], 8, FALSE)</f>
        <v>#REF!</v>
      </c>
      <c r="K273">
        <f>VLOOKUP($A273, [6]!ProductsTable[#Data], 9, FALSE)</f>
        <v>0</v>
      </c>
      <c r="L273" s="38">
        <f>VLOOKUP($A273, [6]!ProductsTable[#Data], 10, FALSE)</f>
        <v>0.3</v>
      </c>
      <c r="M273" s="38">
        <f>VLOOKUP($A273, [6]!ProductsTable[#Data], 11, FALSE)</f>
        <v>10</v>
      </c>
      <c r="N273" s="38">
        <f>VLOOKUP($A273, [6]!ProductsTable[#Data], 12, FALSE)</f>
        <v>10</v>
      </c>
      <c r="O273" s="38">
        <f>VLOOKUP($A273, [6]!ProductsTable[#Data], 13, FALSE)</f>
        <v>1</v>
      </c>
      <c r="R273" s="38" t="str">
        <f>VLOOKUP($A273, [6]!ProductsTable[#Data], 14, FALSE)</f>
        <v>1-Victron</v>
      </c>
      <c r="AE273" t="e">
        <f>COUNTIF('[7]product-export'!$A$2:$A$379, A273)</f>
        <v>#VALUE!</v>
      </c>
    </row>
    <row r="274" spans="1:31" x14ac:dyDescent="0.25">
      <c r="A274" s="76" t="s">
        <v>30</v>
      </c>
      <c r="B274" s="38" t="str">
        <f>VLOOKUP($A274, [6]!ProductsTable[#Data], 2, FALSE)</f>
        <v>Batteries</v>
      </c>
      <c r="C274" s="8" t="s">
        <v>149</v>
      </c>
      <c r="D274" s="8" t="s">
        <v>162</v>
      </c>
      <c r="E274" s="38" t="str">
        <f>VLOOKUP($A274, [6]!ProductsTable[#Data], 3, FALSE)</f>
        <v>BAE</v>
      </c>
      <c r="F274" s="38" t="str">
        <f>VLOOKUP($A274, [6]!ProductsTable[#Data], 4, FALSE)</f>
        <v>Secura 280Ah 2V Gel</v>
      </c>
      <c r="G274" s="38" t="str">
        <f>VLOOKUP($A274, [6]!ProductsTable[#Data], 5, FALSE)</f>
        <v xml:space="preserve">4PVV 280 </v>
      </c>
      <c r="I274" s="41" t="e">
        <f>VLOOKUP($A274, [6]!ProductsTable[#Data], 7, FALSE)</f>
        <v>#REF!</v>
      </c>
      <c r="J274" s="39" t="e">
        <f>VLOOKUP($A274, [6]!ProductsTable[#Data], 8, FALSE)</f>
        <v>#REF!</v>
      </c>
      <c r="K274">
        <f>VLOOKUP($A274, [6]!ProductsTable[#Data], 9, FALSE)</f>
        <v>0</v>
      </c>
      <c r="L274" s="38">
        <f>VLOOKUP($A274, [6]!ProductsTable[#Data], 10, FALSE)</f>
        <v>19.399999999999999</v>
      </c>
      <c r="M274" s="38">
        <f>VLOOKUP($A274, [6]!ProductsTable[#Data], 11, FALSE)</f>
        <v>42</v>
      </c>
      <c r="N274" s="38">
        <f>VLOOKUP($A274, [6]!ProductsTable[#Data], 12, FALSE)</f>
        <v>21</v>
      </c>
      <c r="O274" s="38">
        <f>VLOOKUP($A274, [6]!ProductsTable[#Data], 13, FALSE)</f>
        <v>10.5</v>
      </c>
      <c r="R274" s="38" t="str">
        <f>VLOOKUP($A274, [6]!ProductsTable[#Data], 14, FALSE)</f>
        <v>2-Krannich</v>
      </c>
      <c r="AE274" t="e">
        <f>COUNTIF('[7]product-export'!$A$2:$A$379, A274)</f>
        <v>#VALUE!</v>
      </c>
    </row>
    <row r="275" spans="1:31" x14ac:dyDescent="0.25">
      <c r="A275" s="76" t="s">
        <v>34</v>
      </c>
      <c r="B275" s="38" t="str">
        <f>VLOOKUP($A275, [6]!ProductsTable[#Data], 2, FALSE)</f>
        <v>Batteries</v>
      </c>
      <c r="C275" s="8" t="s">
        <v>149</v>
      </c>
      <c r="D275" s="8" t="s">
        <v>162</v>
      </c>
      <c r="E275" s="38" t="str">
        <f>VLOOKUP($A275, [6]!ProductsTable[#Data], 3, FALSE)</f>
        <v>BAE</v>
      </c>
      <c r="F275" s="38" t="str">
        <f>VLOOKUP($A275, [6]!ProductsTable[#Data], 4, FALSE)</f>
        <v>Secura 350Ah 2V Gel</v>
      </c>
      <c r="G275" s="38" t="str">
        <f>VLOOKUP($A275, [6]!ProductsTable[#Data], 5, FALSE)</f>
        <v xml:space="preserve">5PVV 350 </v>
      </c>
      <c r="I275" s="41" t="e">
        <f>VLOOKUP($A275, [6]!ProductsTable[#Data], 7, FALSE)</f>
        <v>#REF!</v>
      </c>
      <c r="J275" s="39" t="e">
        <f>VLOOKUP($A275, [6]!ProductsTable[#Data], 8, FALSE)</f>
        <v>#REF!</v>
      </c>
      <c r="K275">
        <f>VLOOKUP($A275, [6]!ProductsTable[#Data], 9, FALSE)</f>
        <v>0</v>
      </c>
      <c r="L275" s="38">
        <f>VLOOKUP($A275, [6]!ProductsTable[#Data], 10, FALSE)</f>
        <v>23.3</v>
      </c>
      <c r="M275" s="38">
        <f>VLOOKUP($A275, [6]!ProductsTable[#Data], 11, FALSE)</f>
        <v>42</v>
      </c>
      <c r="N275" s="38">
        <f>VLOOKUP($A275, [6]!ProductsTable[#Data], 12, FALSE)</f>
        <v>21</v>
      </c>
      <c r="O275" s="38">
        <f>VLOOKUP($A275, [6]!ProductsTable[#Data], 13, FALSE)</f>
        <v>12.6</v>
      </c>
      <c r="R275" s="38" t="str">
        <f>VLOOKUP($A275, [6]!ProductsTable[#Data], 14, FALSE)</f>
        <v>2-Krannich</v>
      </c>
      <c r="AE275" t="e">
        <f>COUNTIF('[7]product-export'!$A$2:$A$379, A275)</f>
        <v>#VALUE!</v>
      </c>
    </row>
    <row r="276" spans="1:31" x14ac:dyDescent="0.25">
      <c r="A276" s="76" t="s">
        <v>35</v>
      </c>
      <c r="B276" s="38" t="str">
        <f>VLOOKUP($A276, [6]!ProductsTable[#Data], 2, FALSE)</f>
        <v>Batteries</v>
      </c>
      <c r="C276" s="8" t="s">
        <v>149</v>
      </c>
      <c r="D276" s="8" t="s">
        <v>162</v>
      </c>
      <c r="E276" s="38" t="str">
        <f>VLOOKUP($A276, [6]!ProductsTable[#Data], 3, FALSE)</f>
        <v>BAE</v>
      </c>
      <c r="F276" s="38" t="str">
        <f>VLOOKUP($A276, [6]!ProductsTable[#Data], 4, FALSE)</f>
        <v>Secura 420Ah 2V Gel</v>
      </c>
      <c r="G276" s="38" t="str">
        <f>VLOOKUP($A276, [6]!ProductsTable[#Data], 5, FALSE)</f>
        <v xml:space="preserve">6PVV 420 </v>
      </c>
      <c r="I276" s="41" t="e">
        <f>VLOOKUP($A276, [6]!ProductsTable[#Data], 7, FALSE)</f>
        <v>#REF!</v>
      </c>
      <c r="J276" s="39" t="e">
        <f>VLOOKUP($A276, [6]!ProductsTable[#Data], 8, FALSE)</f>
        <v>#REF!</v>
      </c>
      <c r="K276">
        <f>VLOOKUP($A276, [6]!ProductsTable[#Data], 9, FALSE)</f>
        <v>0</v>
      </c>
      <c r="L276" s="38">
        <f>VLOOKUP($A276, [6]!ProductsTable[#Data], 10, FALSE)</f>
        <v>27.4</v>
      </c>
      <c r="M276" s="38">
        <f>VLOOKUP($A276, [6]!ProductsTable[#Data], 11, FALSE)</f>
        <v>42</v>
      </c>
      <c r="N276" s="38">
        <f>VLOOKUP($A276, [6]!ProductsTable[#Data], 12, FALSE)</f>
        <v>21</v>
      </c>
      <c r="O276" s="38">
        <f>VLOOKUP($A276, [6]!ProductsTable[#Data], 13, FALSE)</f>
        <v>14.7</v>
      </c>
      <c r="R276" s="38" t="str">
        <f>VLOOKUP($A276, [6]!ProductsTable[#Data], 14, FALSE)</f>
        <v>2-Krannich</v>
      </c>
      <c r="AE276" t="e">
        <f>COUNTIF('[7]product-export'!$A$2:$A$379, A276)</f>
        <v>#VALUE!</v>
      </c>
    </row>
    <row r="277" spans="1:31" x14ac:dyDescent="0.25">
      <c r="A277" s="76" t="s">
        <v>487</v>
      </c>
      <c r="B277" s="38" t="str">
        <f>VLOOKUP($A277, [6]!ProductsTable[#Data], 2, FALSE)</f>
        <v>Batteries</v>
      </c>
      <c r="C277" s="8" t="s">
        <v>149</v>
      </c>
      <c r="D277" s="8" t="s">
        <v>162</v>
      </c>
      <c r="E277" s="38" t="str">
        <f>VLOOKUP($A277, [6]!ProductsTable[#Data], 3, FALSE)</f>
        <v>BAE</v>
      </c>
      <c r="F277" s="38" t="str">
        <f>VLOOKUP($A277, [6]!ProductsTable[#Data], 4, FALSE)</f>
        <v>Secura 550Ah 2V Gel</v>
      </c>
      <c r="G277" s="38" t="str">
        <f>VLOOKUP($A277, [6]!ProductsTable[#Data], 5, FALSE)</f>
        <v xml:space="preserve">5PVV 550 </v>
      </c>
      <c r="I277" s="41" t="e">
        <f>VLOOKUP($A277, [6]!ProductsTable[#Data], 7, FALSE)</f>
        <v>#REF!</v>
      </c>
      <c r="J277" s="39" t="e">
        <f>VLOOKUP($A277, [6]!ProductsTable[#Data], 8, FALSE)</f>
        <v>#REF!</v>
      </c>
      <c r="K277">
        <f>VLOOKUP($A277, [6]!ProductsTable[#Data], 9, FALSE)</f>
        <v>0</v>
      </c>
      <c r="L277" s="38">
        <f>VLOOKUP($A277, [6]!ProductsTable[#Data], 10, FALSE)</f>
        <v>31.4</v>
      </c>
      <c r="M277" s="38">
        <f>VLOOKUP($A277, [6]!ProductsTable[#Data], 11, FALSE)</f>
        <v>53.5</v>
      </c>
      <c r="N277" s="38">
        <f>VLOOKUP($A277, [6]!ProductsTable[#Data], 12, FALSE)</f>
        <v>21</v>
      </c>
      <c r="O277" s="38">
        <f>VLOOKUP($A277, [6]!ProductsTable[#Data], 13, FALSE)</f>
        <v>12.6</v>
      </c>
      <c r="R277" s="38" t="str">
        <f>VLOOKUP($A277, [6]!ProductsTable[#Data], 14, FALSE)</f>
        <v>2-Krannich</v>
      </c>
      <c r="AE277" t="e">
        <f>COUNTIF('[7]product-export'!$A$2:$A$379, A277)</f>
        <v>#VALUE!</v>
      </c>
    </row>
    <row r="278" spans="1:31" x14ac:dyDescent="0.25">
      <c r="A278" s="76" t="s">
        <v>488</v>
      </c>
      <c r="B278" s="38" t="str">
        <f>VLOOKUP($A278, [6]!ProductsTable[#Data], 2, FALSE)</f>
        <v>Batteries</v>
      </c>
      <c r="C278" s="8" t="s">
        <v>149</v>
      </c>
      <c r="D278" s="8" t="s">
        <v>162</v>
      </c>
      <c r="E278" s="38" t="str">
        <f>VLOOKUP($A278, [6]!ProductsTable[#Data], 3, FALSE)</f>
        <v>BAE</v>
      </c>
      <c r="F278" s="38" t="str">
        <f>VLOOKUP($A278, [6]!ProductsTable[#Data], 4, FALSE)</f>
        <v>Secura 660Ah 2V Gel</v>
      </c>
      <c r="G278" s="38" t="str">
        <f>VLOOKUP($A278, [6]!ProductsTable[#Data], 5, FALSE)</f>
        <v xml:space="preserve">6PVV 660 </v>
      </c>
      <c r="I278" s="41" t="e">
        <f>VLOOKUP($A278, [6]!ProductsTable[#Data], 7, FALSE)</f>
        <v>#REF!</v>
      </c>
      <c r="J278" s="39" t="e">
        <f>VLOOKUP($A278, [6]!ProductsTable[#Data], 8, FALSE)</f>
        <v>#REF!</v>
      </c>
      <c r="K278">
        <f>VLOOKUP($A278, [6]!ProductsTable[#Data], 9, FALSE)</f>
        <v>0</v>
      </c>
      <c r="L278" s="38">
        <f>VLOOKUP($A278, [6]!ProductsTable[#Data], 10, FALSE)</f>
        <v>36.9</v>
      </c>
      <c r="M278" s="38">
        <f>VLOOKUP($A278, [6]!ProductsTable[#Data], 11, FALSE)</f>
        <v>53.5</v>
      </c>
      <c r="N278" s="38">
        <f>VLOOKUP($A278, [6]!ProductsTable[#Data], 12, FALSE)</f>
        <v>21</v>
      </c>
      <c r="O278" s="38">
        <f>VLOOKUP($A278, [6]!ProductsTable[#Data], 13, FALSE)</f>
        <v>14.7</v>
      </c>
      <c r="R278" s="38" t="str">
        <f>VLOOKUP($A278, [6]!ProductsTable[#Data], 14, FALSE)</f>
        <v>2-Krannich</v>
      </c>
      <c r="AE278" t="e">
        <f>COUNTIF('[7]product-export'!$A$2:$A$379, A278)</f>
        <v>#VALUE!</v>
      </c>
    </row>
    <row r="279" spans="1:31" x14ac:dyDescent="0.25">
      <c r="A279" s="76" t="s">
        <v>489</v>
      </c>
      <c r="B279" s="38" t="str">
        <f>VLOOKUP($A279, [6]!ProductsTable[#Data], 2, FALSE)</f>
        <v>Batteries</v>
      </c>
      <c r="C279" s="8" t="s">
        <v>149</v>
      </c>
      <c r="D279" s="8" t="s">
        <v>162</v>
      </c>
      <c r="E279" s="38" t="str">
        <f>VLOOKUP($A279, [6]!ProductsTable[#Data], 3, FALSE)</f>
        <v>BAE</v>
      </c>
      <c r="F279" s="38" t="str">
        <f>VLOOKUP($A279, [6]!ProductsTable[#Data], 4, FALSE)</f>
        <v>Secura 770Ah 2V Gel</v>
      </c>
      <c r="G279" s="38" t="str">
        <f>VLOOKUP($A279, [6]!ProductsTable[#Data], 5, FALSE)</f>
        <v xml:space="preserve">7PVV 770 </v>
      </c>
      <c r="I279" s="41" t="e">
        <f>VLOOKUP($A279, [6]!ProductsTable[#Data], 7, FALSE)</f>
        <v>#REF!</v>
      </c>
      <c r="J279" s="39" t="e">
        <f>VLOOKUP($A279, [6]!ProductsTable[#Data], 8, FALSE)</f>
        <v>#REF!</v>
      </c>
      <c r="K279">
        <f>VLOOKUP($A279, [6]!ProductsTable[#Data], 9, FALSE)</f>
        <v>0</v>
      </c>
      <c r="L279" s="38">
        <f>VLOOKUP($A279, [6]!ProductsTable[#Data], 10, FALSE)</f>
        <v>42.4</v>
      </c>
      <c r="M279" s="38">
        <f>VLOOKUP($A279, [6]!ProductsTable[#Data], 11, FALSE)</f>
        <v>53.5</v>
      </c>
      <c r="N279" s="38">
        <f>VLOOKUP($A279, [6]!ProductsTable[#Data], 12, FALSE)</f>
        <v>21</v>
      </c>
      <c r="O279" s="38">
        <f>VLOOKUP($A279, [6]!ProductsTable[#Data], 13, FALSE)</f>
        <v>17</v>
      </c>
      <c r="R279" s="38" t="str">
        <f>VLOOKUP($A279, [6]!ProductsTable[#Data], 14, FALSE)</f>
        <v>2-Krannich</v>
      </c>
      <c r="AE279" t="e">
        <f>COUNTIF('[7]product-export'!$A$2:$A$379, A279)</f>
        <v>#VALUE!</v>
      </c>
    </row>
    <row r="280" spans="1:31" x14ac:dyDescent="0.25">
      <c r="A280" s="76" t="s">
        <v>490</v>
      </c>
      <c r="B280" s="38" t="str">
        <f>VLOOKUP($A280, [6]!ProductsTable[#Data], 2, FALSE)</f>
        <v>Batteries</v>
      </c>
      <c r="C280" s="8" t="s">
        <v>149</v>
      </c>
      <c r="D280" s="8" t="s">
        <v>162</v>
      </c>
      <c r="E280" s="38" t="str">
        <f>VLOOKUP($A280, [6]!ProductsTable[#Data], 3, FALSE)</f>
        <v>BAE</v>
      </c>
      <c r="F280" s="38" t="str">
        <f>VLOOKUP($A280, [6]!ProductsTable[#Data], 4, FALSE)</f>
        <v>Secura 900Ah 2V Gel</v>
      </c>
      <c r="G280" s="38" t="str">
        <f>VLOOKUP($A280, [6]!ProductsTable[#Data], 5, FALSE)</f>
        <v xml:space="preserve">6PVV 900 </v>
      </c>
      <c r="I280" s="41" t="e">
        <f>VLOOKUP($A280, [6]!ProductsTable[#Data], 7, FALSE)</f>
        <v>#REF!</v>
      </c>
      <c r="J280" s="39" t="e">
        <f>VLOOKUP($A280, [6]!ProductsTable[#Data], 8, FALSE)</f>
        <v>#REF!</v>
      </c>
      <c r="K280">
        <f>VLOOKUP($A280, [6]!ProductsTable[#Data], 9, FALSE)</f>
        <v>0</v>
      </c>
      <c r="L280" s="38">
        <f>VLOOKUP($A280, [6]!ProductsTable[#Data], 10, FALSE)</f>
        <v>51</v>
      </c>
      <c r="M280" s="38">
        <f>VLOOKUP($A280, [6]!ProductsTable[#Data], 11, FALSE)</f>
        <v>71</v>
      </c>
      <c r="N280" s="38">
        <f>VLOOKUP($A280, [6]!ProductsTable[#Data], 12, FALSE)</f>
        <v>21</v>
      </c>
      <c r="O280" s="38">
        <f>VLOOKUP($A280, [6]!ProductsTable[#Data], 13, FALSE)</f>
        <v>14.7</v>
      </c>
      <c r="R280" s="38" t="str">
        <f>VLOOKUP($A280, [6]!ProductsTable[#Data], 14, FALSE)</f>
        <v>2-Krannich</v>
      </c>
      <c r="AE280" t="e">
        <f>COUNTIF('[7]product-export'!$A$2:$A$379, A280)</f>
        <v>#VALUE!</v>
      </c>
    </row>
    <row r="281" spans="1:31" x14ac:dyDescent="0.25">
      <c r="A281" s="76" t="s">
        <v>486</v>
      </c>
      <c r="B281" s="38" t="str">
        <f>VLOOKUP($A281, [6]!ProductsTable[#Data], 2, FALSE)</f>
        <v>Batteries</v>
      </c>
      <c r="C281" s="8" t="s">
        <v>149</v>
      </c>
      <c r="D281" s="8" t="s">
        <v>162</v>
      </c>
      <c r="E281" s="38" t="str">
        <f>VLOOKUP($A281, [6]!ProductsTable[#Data], 3, FALSE)</f>
        <v>BAE</v>
      </c>
      <c r="F281" s="38" t="str">
        <f>VLOOKUP($A281, [6]!ProductsTable[#Data], 4, FALSE)</f>
        <v>Secura 1050Ah 2V Gel</v>
      </c>
      <c r="G281" s="38" t="str">
        <f>VLOOKUP($A281, [6]!ProductsTable[#Data], 5, FALSE)</f>
        <v xml:space="preserve">7PVV 1050 </v>
      </c>
      <c r="I281" s="41" t="e">
        <f>VLOOKUP($A281, [6]!ProductsTable[#Data], 7, FALSE)</f>
        <v>#REF!</v>
      </c>
      <c r="J281" s="39" t="e">
        <f>VLOOKUP($A281, [6]!ProductsTable[#Data], 8, FALSE)</f>
        <v>#REF!</v>
      </c>
      <c r="K281">
        <f>VLOOKUP($A281, [6]!ProductsTable[#Data], 9, FALSE)</f>
        <v>0</v>
      </c>
      <c r="L281" s="38">
        <f>VLOOKUP($A281, [6]!ProductsTable[#Data], 10, FALSE)</f>
        <v>61.9</v>
      </c>
      <c r="M281" s="38">
        <f>VLOOKUP($A281, [6]!ProductsTable[#Data], 11, FALSE)</f>
        <v>71</v>
      </c>
      <c r="N281" s="38">
        <f>VLOOKUP($A281, [6]!ProductsTable[#Data], 12, FALSE)</f>
        <v>19.3</v>
      </c>
      <c r="O281" s="38">
        <f>VLOOKUP($A281, [6]!ProductsTable[#Data], 13, FALSE)</f>
        <v>21.5</v>
      </c>
      <c r="R281" s="38" t="str">
        <f>VLOOKUP($A281, [6]!ProductsTable[#Data], 14, FALSE)</f>
        <v>2-Krannich</v>
      </c>
      <c r="AE281" t="e">
        <f>COUNTIF('[7]product-export'!$A$2:$A$379, A281)</f>
        <v>#VALUE!</v>
      </c>
    </row>
    <row r="282" spans="1:31" x14ac:dyDescent="0.25">
      <c r="A282" s="76" t="s">
        <v>491</v>
      </c>
      <c r="B282" s="38" t="str">
        <f>VLOOKUP($A282, [6]!ProductsTable[#Data], 2, FALSE)</f>
        <v>Batteries</v>
      </c>
      <c r="C282" s="8" t="s">
        <v>149</v>
      </c>
      <c r="D282" s="8" t="s">
        <v>162</v>
      </c>
      <c r="E282" s="38" t="str">
        <f>VLOOKUP($A282, [6]!ProductsTable[#Data], 3, FALSE)</f>
        <v>BAE</v>
      </c>
      <c r="F282" s="38" t="str">
        <f>VLOOKUP($A282, [6]!ProductsTable[#Data], 4, FALSE)</f>
        <v>Secura 1200Ah 2V Gel</v>
      </c>
      <c r="G282" s="38" t="str">
        <f>VLOOKUP($A282, [6]!ProductsTable[#Data], 5, FALSE)</f>
        <v xml:space="preserve">8PVV 1200 </v>
      </c>
      <c r="I282" s="41" t="e">
        <f>VLOOKUP($A282, [6]!ProductsTable[#Data], 7, FALSE)</f>
        <v>#REF!</v>
      </c>
      <c r="J282" s="39" t="e">
        <f>VLOOKUP($A282, [6]!ProductsTable[#Data], 8, FALSE)</f>
        <v>#REF!</v>
      </c>
      <c r="K282">
        <f>VLOOKUP($A282, [6]!ProductsTable[#Data], 9, FALSE)</f>
        <v>0</v>
      </c>
      <c r="L282" s="38">
        <f>VLOOKUP($A282, [6]!ProductsTable[#Data], 10, FALSE)</f>
        <v>68.8</v>
      </c>
      <c r="M282" s="38">
        <f>VLOOKUP($A282, [6]!ProductsTable[#Data], 11, FALSE)</f>
        <v>71</v>
      </c>
      <c r="N282" s="38">
        <f>VLOOKUP($A282, [6]!ProductsTable[#Data], 12, FALSE)</f>
        <v>19.3</v>
      </c>
      <c r="O282" s="38">
        <f>VLOOKUP($A282, [6]!ProductsTable[#Data], 13, FALSE)</f>
        <v>21.5</v>
      </c>
      <c r="R282" s="38" t="str">
        <f>VLOOKUP($A282, [6]!ProductsTable[#Data], 14, FALSE)</f>
        <v>2-Krannich</v>
      </c>
      <c r="AE282" t="e">
        <f>COUNTIF('[7]product-export'!$A$2:$A$379, A282)</f>
        <v>#VALUE!</v>
      </c>
    </row>
    <row r="283" spans="1:31" x14ac:dyDescent="0.25">
      <c r="A283" s="76" t="s">
        <v>492</v>
      </c>
      <c r="B283" s="38" t="str">
        <f>VLOOKUP($A283, [6]!ProductsTable[#Data], 2, FALSE)</f>
        <v>Batteries</v>
      </c>
      <c r="C283" s="8" t="s">
        <v>149</v>
      </c>
      <c r="D283" s="8" t="s">
        <v>162</v>
      </c>
      <c r="E283" s="38" t="str">
        <f>VLOOKUP($A283, [6]!ProductsTable[#Data], 3, FALSE)</f>
        <v>BAE</v>
      </c>
      <c r="F283" s="38" t="str">
        <f>VLOOKUP($A283, [6]!ProductsTable[#Data], 4, FALSE)</f>
        <v>Secura 1350Ah 2V Gel</v>
      </c>
      <c r="G283" s="38" t="str">
        <f>VLOOKUP($A283, [6]!ProductsTable[#Data], 5, FALSE)</f>
        <v xml:space="preserve">9PVV 1350 </v>
      </c>
      <c r="I283" s="41" t="e">
        <f>VLOOKUP($A283, [6]!ProductsTable[#Data], 7, FALSE)</f>
        <v>#REF!</v>
      </c>
      <c r="J283" s="39" t="e">
        <f>VLOOKUP($A283, [6]!ProductsTable[#Data], 8, FALSE)</f>
        <v>#REF!</v>
      </c>
      <c r="K283">
        <f>VLOOKUP($A283, [6]!ProductsTable[#Data], 9, FALSE)</f>
        <v>0</v>
      </c>
      <c r="L283" s="38">
        <f>VLOOKUP($A283, [6]!ProductsTable[#Data], 10, FALSE)</f>
        <v>77</v>
      </c>
      <c r="M283" s="38">
        <f>VLOOKUP($A283, [6]!ProductsTable[#Data], 11, FALSE)</f>
        <v>71</v>
      </c>
      <c r="N283" s="38">
        <f>VLOOKUP($A283, [6]!ProductsTable[#Data], 12, FALSE)</f>
        <v>23.5</v>
      </c>
      <c r="O283" s="38">
        <f>VLOOKUP($A283, [6]!ProductsTable[#Data], 13, FALSE)</f>
        <v>21.5</v>
      </c>
      <c r="R283" s="38" t="str">
        <f>VLOOKUP($A283, [6]!ProductsTable[#Data], 14, FALSE)</f>
        <v>2-Krannich</v>
      </c>
      <c r="AE283" t="e">
        <f>COUNTIF('[7]product-export'!$A$2:$A$379, A283)</f>
        <v>#VALUE!</v>
      </c>
    </row>
    <row r="284" spans="1:31" x14ac:dyDescent="0.25">
      <c r="A284" s="76" t="s">
        <v>493</v>
      </c>
      <c r="B284" s="38" t="str">
        <f>VLOOKUP($A284, [6]!ProductsTable[#Data], 2, FALSE)</f>
        <v>Batteries</v>
      </c>
      <c r="C284" s="8" t="s">
        <v>149</v>
      </c>
      <c r="D284" s="8" t="s">
        <v>162</v>
      </c>
      <c r="E284" s="38" t="str">
        <f>VLOOKUP($A284, [6]!ProductsTable[#Data], 3, FALSE)</f>
        <v>BAE</v>
      </c>
      <c r="F284" s="38" t="str">
        <f>VLOOKUP($A284, [6]!ProductsTable[#Data], 4, FALSE)</f>
        <v>Secura 1500Ah 2V Gel</v>
      </c>
      <c r="G284" s="38" t="str">
        <f>VLOOKUP($A284, [6]!ProductsTable[#Data], 5, FALSE)</f>
        <v xml:space="preserve">10PVV 1500 </v>
      </c>
      <c r="I284" s="41" t="e">
        <f>VLOOKUP($A284, [6]!ProductsTable[#Data], 7, FALSE)</f>
        <v>#REF!</v>
      </c>
      <c r="J284" s="39" t="e">
        <f>VLOOKUP($A284, [6]!ProductsTable[#Data], 8, FALSE)</f>
        <v>#REF!</v>
      </c>
      <c r="K284">
        <f>VLOOKUP($A284, [6]!ProductsTable[#Data], 9, FALSE)</f>
        <v>0</v>
      </c>
      <c r="L284" s="38">
        <f>VLOOKUP($A284, [6]!ProductsTable[#Data], 10, FALSE)</f>
        <v>83.9</v>
      </c>
      <c r="M284" s="38">
        <f>VLOOKUP($A284, [6]!ProductsTable[#Data], 11, FALSE)</f>
        <v>71</v>
      </c>
      <c r="N284" s="38">
        <f>VLOOKUP($A284, [6]!ProductsTable[#Data], 12, FALSE)</f>
        <v>23.5</v>
      </c>
      <c r="O284" s="38">
        <f>VLOOKUP($A284, [6]!ProductsTable[#Data], 13, FALSE)</f>
        <v>21.5</v>
      </c>
      <c r="R284" s="38" t="str">
        <f>VLOOKUP($A284, [6]!ProductsTable[#Data], 14, FALSE)</f>
        <v>2-Krannich</v>
      </c>
      <c r="AE284" t="e">
        <f>COUNTIF('[7]product-export'!$A$2:$A$379, A284)</f>
        <v>#VALUE!</v>
      </c>
    </row>
    <row r="285" spans="1:31" x14ac:dyDescent="0.25">
      <c r="A285" s="76" t="s">
        <v>494</v>
      </c>
      <c r="B285" s="38" t="str">
        <f>VLOOKUP($A285, [6]!ProductsTable[#Data], 2, FALSE)</f>
        <v>Batteries</v>
      </c>
      <c r="C285" s="8" t="s">
        <v>149</v>
      </c>
      <c r="D285" s="8" t="s">
        <v>162</v>
      </c>
      <c r="E285" s="38" t="str">
        <f>VLOOKUP($A285, [6]!ProductsTable[#Data], 3, FALSE)</f>
        <v>BAE</v>
      </c>
      <c r="F285" s="38" t="str">
        <f>VLOOKUP($A285, [6]!ProductsTable[#Data], 4, FALSE)</f>
        <v>Secura 1800Ah 2V Gel</v>
      </c>
      <c r="G285" s="38" t="str">
        <f>VLOOKUP($A285, [6]!ProductsTable[#Data], 5, FALSE)</f>
        <v xml:space="preserve">12PVV 1800 </v>
      </c>
      <c r="I285" s="41" t="e">
        <f>VLOOKUP($A285, [6]!ProductsTable[#Data], 7, FALSE)</f>
        <v>#REF!</v>
      </c>
      <c r="J285" s="39" t="e">
        <f>VLOOKUP($A285, [6]!ProductsTable[#Data], 8, FALSE)</f>
        <v>#REF!</v>
      </c>
      <c r="K285">
        <f>VLOOKUP($A285, [6]!ProductsTable[#Data], 9, FALSE)</f>
        <v>0</v>
      </c>
      <c r="L285" s="38">
        <f>VLOOKUP($A285, [6]!ProductsTable[#Data], 10, FALSE)</f>
        <v>99.2</v>
      </c>
      <c r="M285" s="38">
        <f>VLOOKUP($A285, [6]!ProductsTable[#Data], 11, FALSE)</f>
        <v>71</v>
      </c>
      <c r="N285" s="38">
        <f>VLOOKUP($A285, [6]!ProductsTable[#Data], 12, FALSE)</f>
        <v>27.7</v>
      </c>
      <c r="O285" s="38">
        <f>VLOOKUP($A285, [6]!ProductsTable[#Data], 13, FALSE)</f>
        <v>21.5</v>
      </c>
      <c r="R285" s="38" t="str">
        <f>VLOOKUP($A285, [6]!ProductsTable[#Data], 14, FALSE)</f>
        <v>2-Krannich</v>
      </c>
      <c r="AE285" t="e">
        <f>COUNTIF('[7]product-export'!$A$2:$A$379, A285)</f>
        <v>#VALUE!</v>
      </c>
    </row>
    <row r="286" spans="1:31" x14ac:dyDescent="0.25">
      <c r="A286" s="76" t="s">
        <v>495</v>
      </c>
      <c r="B286" s="38" t="str">
        <f>VLOOKUP($A286, [6]!ProductsTable[#Data], 2, FALSE)</f>
        <v>Batteries</v>
      </c>
      <c r="C286" s="8" t="s">
        <v>149</v>
      </c>
      <c r="D286" s="8" t="s">
        <v>162</v>
      </c>
      <c r="E286" s="38" t="str">
        <f>VLOOKUP($A286, [6]!ProductsTable[#Data], 3, FALSE)</f>
        <v>BAE</v>
      </c>
      <c r="F286" s="38" t="str">
        <f>VLOOKUP($A286, [6]!ProductsTable[#Data], 4, FALSE)</f>
        <v>Secura 2090Ah 2V Gel</v>
      </c>
      <c r="G286" s="38" t="str">
        <f>VLOOKUP($A286, [6]!ProductsTable[#Data], 5, FALSE)</f>
        <v xml:space="preserve">11PVV 2090 </v>
      </c>
      <c r="I286" s="41" t="e">
        <f>VLOOKUP($A286, [6]!ProductsTable[#Data], 7, FALSE)</f>
        <v>#REF!</v>
      </c>
      <c r="J286" s="39" t="e">
        <f>VLOOKUP($A286, [6]!ProductsTable[#Data], 8, FALSE)</f>
        <v>#REF!</v>
      </c>
      <c r="K286">
        <f>VLOOKUP($A286, [6]!ProductsTable[#Data], 9, FALSE)</f>
        <v>0</v>
      </c>
      <c r="L286" s="38">
        <f>VLOOKUP($A286, [6]!ProductsTable[#Data], 10, FALSE)</f>
        <v>108.2</v>
      </c>
      <c r="M286" s="38">
        <f>VLOOKUP($A286, [6]!ProductsTable[#Data], 11, FALSE)</f>
        <v>85.5</v>
      </c>
      <c r="N286" s="38">
        <f>VLOOKUP($A286, [6]!ProductsTable[#Data], 12, FALSE)</f>
        <v>27.7</v>
      </c>
      <c r="O286" s="38">
        <f>VLOOKUP($A286, [6]!ProductsTable[#Data], 13, FALSE)</f>
        <v>21.5</v>
      </c>
      <c r="R286" s="38" t="str">
        <f>VLOOKUP($A286, [6]!ProductsTable[#Data], 14, FALSE)</f>
        <v>2-Krannich</v>
      </c>
      <c r="AE286" t="e">
        <f>COUNTIF('[7]product-export'!$A$2:$A$379, A286)</f>
        <v>#VALUE!</v>
      </c>
    </row>
    <row r="287" spans="1:31" x14ac:dyDescent="0.25">
      <c r="A287" s="76" t="s">
        <v>496</v>
      </c>
      <c r="B287" s="38" t="str">
        <f>VLOOKUP($A287, [6]!ProductsTable[#Data], 2, FALSE)</f>
        <v>Batteries</v>
      </c>
      <c r="C287" s="8" t="s">
        <v>149</v>
      </c>
      <c r="D287" s="8" t="s">
        <v>162</v>
      </c>
      <c r="E287" s="38" t="str">
        <f>VLOOKUP($A287, [6]!ProductsTable[#Data], 3, FALSE)</f>
        <v>BAE</v>
      </c>
      <c r="F287" s="38" t="str">
        <f>VLOOKUP($A287, [6]!ProductsTable[#Data], 4, FALSE)</f>
        <v>Secura 2280Ah 2V Gel</v>
      </c>
      <c r="G287" s="38" t="str">
        <f>VLOOKUP($A287, [6]!ProductsTable[#Data], 5, FALSE)</f>
        <v xml:space="preserve">14PVV 2280 </v>
      </c>
      <c r="I287" s="41" t="e">
        <f>VLOOKUP($A287, [6]!ProductsTable[#Data], 7, FALSE)</f>
        <v>#REF!</v>
      </c>
      <c r="J287" s="39" t="e">
        <f>VLOOKUP($A287, [6]!ProductsTable[#Data], 8, FALSE)</f>
        <v>#REF!</v>
      </c>
      <c r="K287">
        <f>VLOOKUP($A287, [6]!ProductsTable[#Data], 9, FALSE)</f>
        <v>0</v>
      </c>
      <c r="L287" s="38">
        <f>VLOOKUP($A287, [6]!ProductsTable[#Data], 10, FALSE)</f>
        <v>116.5</v>
      </c>
      <c r="M287" s="38">
        <f>VLOOKUP($A287, [6]!ProductsTable[#Data], 11, FALSE)</f>
        <v>85.5</v>
      </c>
      <c r="N287" s="38">
        <f>VLOOKUP($A287, [6]!ProductsTable[#Data], 12, FALSE)</f>
        <v>27.7</v>
      </c>
      <c r="O287" s="38">
        <f>VLOOKUP($A287, [6]!ProductsTable[#Data], 13, FALSE)</f>
        <v>21.5</v>
      </c>
      <c r="R287" s="38" t="str">
        <f>VLOOKUP($A287, [6]!ProductsTable[#Data], 14, FALSE)</f>
        <v>2-Krannich</v>
      </c>
      <c r="AE287" t="e">
        <f>COUNTIF('[7]product-export'!$A$2:$A$379, A287)</f>
        <v>#VALUE!</v>
      </c>
    </row>
    <row r="288" spans="1:31" x14ac:dyDescent="0.25">
      <c r="A288" s="76" t="s">
        <v>497</v>
      </c>
      <c r="B288" s="38" t="str">
        <f>VLOOKUP($A288, [6]!ProductsTable[#Data], 2, FALSE)</f>
        <v>Batteries</v>
      </c>
      <c r="C288" s="8" t="s">
        <v>149</v>
      </c>
      <c r="D288" s="8" t="s">
        <v>162</v>
      </c>
      <c r="E288" s="38" t="str">
        <f>VLOOKUP($A288, [6]!ProductsTable[#Data], 3, FALSE)</f>
        <v>BAE</v>
      </c>
      <c r="F288" s="38" t="str">
        <f>VLOOKUP($A288, [6]!ProductsTable[#Data], 4, FALSE)</f>
        <v>Secura 2660Ah 2V Gel</v>
      </c>
      <c r="G288" s="38" t="str">
        <f>VLOOKUP($A288, [6]!ProductsTable[#Data], 5, FALSE)</f>
        <v xml:space="preserve">14PVV 2660 </v>
      </c>
      <c r="I288" s="41" t="e">
        <f>VLOOKUP($A288, [6]!ProductsTable[#Data], 7, FALSE)</f>
        <v>#REF!</v>
      </c>
      <c r="J288" s="39" t="e">
        <f>VLOOKUP($A288, [6]!ProductsTable[#Data], 8, FALSE)</f>
        <v>#REF!</v>
      </c>
      <c r="K288">
        <f>VLOOKUP($A288, [6]!ProductsTable[#Data], 9, FALSE)</f>
        <v>0</v>
      </c>
      <c r="L288" s="38">
        <f>VLOOKUP($A288, [6]!ProductsTable[#Data], 10, FALSE)</f>
        <v>141.19999999999999</v>
      </c>
      <c r="M288" s="38">
        <f>VLOOKUP($A288, [6]!ProductsTable[#Data], 11, FALSE)</f>
        <v>81.5</v>
      </c>
      <c r="N288" s="38">
        <f>VLOOKUP($A288, [6]!ProductsTable[#Data], 12, FALSE)</f>
        <v>40</v>
      </c>
      <c r="O288" s="38">
        <f>VLOOKUP($A288, [6]!ProductsTable[#Data], 13, FALSE)</f>
        <v>21.5</v>
      </c>
      <c r="R288" s="38" t="str">
        <f>VLOOKUP($A288, [6]!ProductsTable[#Data], 14, FALSE)</f>
        <v>2-Krannich</v>
      </c>
      <c r="AE288" t="e">
        <f>COUNTIF('[7]product-export'!$A$2:$A$379, A288)</f>
        <v>#VALUE!</v>
      </c>
    </row>
    <row r="289" spans="1:31" x14ac:dyDescent="0.25">
      <c r="A289" s="76" t="s">
        <v>408</v>
      </c>
      <c r="B289" s="38" t="str">
        <f>VLOOKUP($A289, [6]!ProductsTable[#Data], 2, FALSE)</f>
        <v>Inverter-Chargers</v>
      </c>
      <c r="C289" s="8" t="s">
        <v>217</v>
      </c>
      <c r="D289" s="8" t="s">
        <v>171</v>
      </c>
      <c r="E289" s="38" t="str">
        <f>VLOOKUP($A289, [6]!ProductsTable[#Data], 3, FALSE)</f>
        <v>Victron</v>
      </c>
      <c r="F289" s="38" t="str">
        <f>VLOOKUP($A289, [6]!ProductsTable[#Data], 4, FALSE)</f>
        <v>EasySolarII 48/3000/35-32 GX</v>
      </c>
      <c r="G289" s="38" t="str">
        <f>VLOOKUP($A289, [6]!ProductsTable[#Data], 5, FALSE)</f>
        <v>PMP482307010</v>
      </c>
      <c r="I289" s="41" t="e">
        <f>VLOOKUP($A289, [6]!ProductsTable[#Data], 7, FALSE)</f>
        <v>#REF!</v>
      </c>
      <c r="J289" s="39" t="e">
        <f>VLOOKUP($A289, [6]!ProductsTable[#Data], 8, FALSE)</f>
        <v>#REF!</v>
      </c>
      <c r="K289">
        <f>VLOOKUP($A289, [6]!ProductsTable[#Data], 9, FALSE)</f>
        <v>0</v>
      </c>
      <c r="L289" s="38">
        <f>VLOOKUP($A289, [6]!ProductsTable[#Data], 10, FALSE)</f>
        <v>26</v>
      </c>
      <c r="M289" s="38">
        <f>VLOOKUP($A289, [6]!ProductsTable[#Data], 11, FALSE)</f>
        <v>27</v>
      </c>
      <c r="N289" s="38">
        <f>VLOOKUP($A289, [6]!ProductsTable[#Data], 12, FALSE)</f>
        <v>27</v>
      </c>
      <c r="O289" s="38">
        <f>VLOOKUP($A289, [6]!ProductsTable[#Data], 13, FALSE)</f>
        <v>50</v>
      </c>
      <c r="R289" s="38" t="str">
        <f>VLOOKUP($A289, [6]!ProductsTable[#Data], 14, FALSE)</f>
        <v>1-Victron</v>
      </c>
      <c r="AE289" t="e">
        <f>COUNTIF('[7]product-export'!$A$2:$A$379, A289)</f>
        <v>#VALUE!</v>
      </c>
    </row>
    <row r="290" spans="1:31" x14ac:dyDescent="0.25">
      <c r="A290" s="76" t="s">
        <v>504</v>
      </c>
      <c r="B290" s="38" t="str">
        <f>VLOOKUP($A290, [6]!ProductsTable[#Data], 2, FALSE)</f>
        <v>Inverter-Chargers</v>
      </c>
      <c r="C290" s="8" t="s">
        <v>217</v>
      </c>
      <c r="D290" s="8" t="s">
        <v>171</v>
      </c>
      <c r="E290" s="38" t="str">
        <f>VLOOKUP($A290, [6]!ProductsTable[#Data], 3, FALSE)</f>
        <v>Victron</v>
      </c>
      <c r="F290" s="38" t="str">
        <f>VLOOKUP($A290, [6]!ProductsTable[#Data], 4, FALSE)</f>
        <v>MultiPlus 24/1600/40-16</v>
      </c>
      <c r="G290" s="38" t="str">
        <f>VLOOKUP($A290, [6]!ProductsTable[#Data], 5, FALSE)</f>
        <v>PMP242160000</v>
      </c>
      <c r="I290" s="41" t="e">
        <f>VLOOKUP($A290, [6]!ProductsTable[#Data], 7, FALSE)</f>
        <v>#REF!</v>
      </c>
      <c r="J290" s="39" t="e">
        <f>VLOOKUP($A290, [6]!ProductsTable[#Data], 8, FALSE)</f>
        <v>#REF!</v>
      </c>
      <c r="K290">
        <f>VLOOKUP($A290, [6]!ProductsTable[#Data], 9, FALSE)</f>
        <v>0</v>
      </c>
      <c r="L290" s="38">
        <f>VLOOKUP($A290, [6]!ProductsTable[#Data], 10, FALSE)</f>
        <v>10.199999999999999</v>
      </c>
      <c r="M290" s="38">
        <f>VLOOKUP($A290, [6]!ProductsTable[#Data], 11, FALSE)</f>
        <v>46.5</v>
      </c>
      <c r="N290" s="38">
        <f>VLOOKUP($A290, [6]!ProductsTable[#Data], 12, FALSE)</f>
        <v>27</v>
      </c>
      <c r="O290" s="38">
        <f>VLOOKUP($A290, [6]!ProductsTable[#Data], 13, FALSE)</f>
        <v>12</v>
      </c>
      <c r="R290" s="38" t="str">
        <f>VLOOKUP($A290, [6]!ProductsTable[#Data], 14, FALSE)</f>
        <v>1-Victron</v>
      </c>
      <c r="AE290" t="e">
        <f>COUNTIF('[7]product-export'!$A$2:$A$379, A290)</f>
        <v>#VALUE!</v>
      </c>
    </row>
    <row r="291" spans="1:31" x14ac:dyDescent="0.25">
      <c r="A291" s="76" t="s">
        <v>505</v>
      </c>
      <c r="B291" s="38" t="str">
        <f>VLOOKUP($A291, [6]!ProductsTable[#Data], 2, FALSE)</f>
        <v>Inverter-Chargers</v>
      </c>
      <c r="C291" s="8" t="s">
        <v>217</v>
      </c>
      <c r="D291" s="8" t="s">
        <v>171</v>
      </c>
      <c r="E291" s="38" t="str">
        <f>VLOOKUP($A291, [6]!ProductsTable[#Data], 3, FALSE)</f>
        <v>Victron</v>
      </c>
      <c r="F291" s="38" t="str">
        <f>VLOOKUP($A291, [6]!ProductsTable[#Data], 4, FALSE)</f>
        <v>MultiPlus 48/1600/20-16</v>
      </c>
      <c r="G291" s="38" t="str">
        <f>VLOOKUP($A291, [6]!ProductsTable[#Data], 5, FALSE)</f>
        <v>PMP482160000</v>
      </c>
      <c r="I291" s="41" t="e">
        <f>VLOOKUP($A291, [6]!ProductsTable[#Data], 7, FALSE)</f>
        <v>#REF!</v>
      </c>
      <c r="J291" s="39" t="e">
        <f>VLOOKUP($A291, [6]!ProductsTable[#Data], 8, FALSE)</f>
        <v>#REF!</v>
      </c>
      <c r="K291">
        <f>VLOOKUP($A291, [6]!ProductsTable[#Data], 9, FALSE)</f>
        <v>0</v>
      </c>
      <c r="L291" s="38">
        <f>VLOOKUP($A291, [6]!ProductsTable[#Data], 10, FALSE)</f>
        <v>10.199999999999999</v>
      </c>
      <c r="M291" s="38">
        <f>VLOOKUP($A291, [6]!ProductsTable[#Data], 11, FALSE)</f>
        <v>46.5</v>
      </c>
      <c r="N291" s="38">
        <f>VLOOKUP($A291, [6]!ProductsTable[#Data], 12, FALSE)</f>
        <v>27</v>
      </c>
      <c r="O291" s="38">
        <f>VLOOKUP($A291, [6]!ProductsTable[#Data], 13, FALSE)</f>
        <v>12</v>
      </c>
      <c r="R291" s="38" t="str">
        <f>VLOOKUP($A291, [6]!ProductsTable[#Data], 14, FALSE)</f>
        <v>1-Victron</v>
      </c>
      <c r="AE291" t="e">
        <f>COUNTIF('[7]product-export'!$A$2:$A$379, A291)</f>
        <v>#VALUE!</v>
      </c>
    </row>
    <row r="292" spans="1:31" x14ac:dyDescent="0.25">
      <c r="A292" s="76" t="s">
        <v>507</v>
      </c>
      <c r="B292" s="38" t="str">
        <f>VLOOKUP($A292, [6]!ProductsTable[#Data], 2, FALSE)</f>
        <v>Inverter-Chargers</v>
      </c>
      <c r="C292" s="8" t="s">
        <v>217</v>
      </c>
      <c r="D292" s="8" t="s">
        <v>171</v>
      </c>
      <c r="E292" s="38" t="str">
        <f>VLOOKUP($A292, [6]!ProductsTable[#Data], 3, FALSE)</f>
        <v>Victron</v>
      </c>
      <c r="F292" s="38" t="str">
        <f>VLOOKUP($A292, [6]!ProductsTable[#Data], 4, FALSE)</f>
        <v xml:space="preserve">MultiPlus 48/2000/25-35 230V </v>
      </c>
      <c r="G292" s="38" t="str">
        <f>VLOOKUP($A292, [6]!ProductsTable[#Data], 5, FALSE)</f>
        <v>PMP482200000</v>
      </c>
      <c r="I292" s="41" t="e">
        <f>VLOOKUP($A292, [6]!ProductsTable[#Data], 7, FALSE)</f>
        <v>#REF!</v>
      </c>
      <c r="J292" s="39" t="e">
        <f>VLOOKUP($A292, [6]!ProductsTable[#Data], 8, FALSE)</f>
        <v>#REF!</v>
      </c>
      <c r="K292">
        <f>VLOOKUP($A292, [6]!ProductsTable[#Data], 9, FALSE)</f>
        <v>0</v>
      </c>
      <c r="L292" s="38">
        <f>VLOOKUP($A292, [6]!ProductsTable[#Data], 10, FALSE)</f>
        <v>15.5</v>
      </c>
      <c r="M292" s="38">
        <f>VLOOKUP($A292, [6]!ProductsTable[#Data], 11, FALSE)</f>
        <v>29.5</v>
      </c>
      <c r="N292" s="38">
        <f>VLOOKUP($A292, [6]!ProductsTable[#Data], 12, FALSE)</f>
        <v>44.5</v>
      </c>
      <c r="O292" s="38">
        <f>VLOOKUP($A292, [6]!ProductsTable[#Data], 13, FALSE)</f>
        <v>33</v>
      </c>
      <c r="R292" s="38" t="str">
        <f>VLOOKUP($A292, [6]!ProductsTable[#Data], 14, FALSE)</f>
        <v>1-Victron</v>
      </c>
      <c r="AE292" t="e">
        <f>COUNTIF('[7]product-export'!$A$2:$A$379, A292)</f>
        <v>#VALUE!</v>
      </c>
    </row>
    <row r="293" spans="1:31" x14ac:dyDescent="0.25">
      <c r="A293" s="76" t="s">
        <v>506</v>
      </c>
      <c r="B293" s="38" t="str">
        <f>VLOOKUP($A293, [6]!ProductsTable[#Data], 2, FALSE)</f>
        <v>Inverter-Chargers</v>
      </c>
      <c r="C293" s="8" t="s">
        <v>217</v>
      </c>
      <c r="D293" s="8" t="s">
        <v>171</v>
      </c>
      <c r="E293" s="38" t="str">
        <f>VLOOKUP($A293, [6]!ProductsTable[#Data], 3, FALSE)</f>
        <v>Victron</v>
      </c>
      <c r="F293" s="38" t="str">
        <f>VLOOKUP($A293, [6]!ProductsTable[#Data], 4, FALSE)</f>
        <v xml:space="preserve">MultiPlus-II 24/3000/70-32 230V </v>
      </c>
      <c r="G293" s="38" t="str">
        <f>VLOOKUP($A293, [6]!ProductsTable[#Data], 5, FALSE)</f>
        <v>PMP242305010</v>
      </c>
      <c r="I293" s="41" t="e">
        <f>VLOOKUP($A293, [6]!ProductsTable[#Data], 7, FALSE)</f>
        <v>#REF!</v>
      </c>
      <c r="J293" s="39" t="e">
        <f>VLOOKUP($A293, [6]!ProductsTable[#Data], 8, FALSE)</f>
        <v>#REF!</v>
      </c>
      <c r="K293">
        <f>VLOOKUP($A293, [6]!ProductsTable[#Data], 9, FALSE)</f>
        <v>0</v>
      </c>
      <c r="L293" s="38">
        <f>VLOOKUP($A293, [6]!ProductsTable[#Data], 10, FALSE)</f>
        <v>21</v>
      </c>
      <c r="M293" s="38">
        <f>VLOOKUP($A293, [6]!ProductsTable[#Data], 11, FALSE)</f>
        <v>29.5</v>
      </c>
      <c r="N293" s="38">
        <f>VLOOKUP($A293, [6]!ProductsTable[#Data], 12, FALSE)</f>
        <v>44.5</v>
      </c>
      <c r="O293" s="38">
        <f>VLOOKUP($A293, [6]!ProductsTable[#Data], 13, FALSE)</f>
        <v>33</v>
      </c>
      <c r="R293" s="38" t="str">
        <f>VLOOKUP($A293, [6]!ProductsTable[#Data], 14, FALSE)</f>
        <v>1-Victron</v>
      </c>
      <c r="AE293" t="e">
        <f>COUNTIF('[7]product-export'!$A$2:$A$379, A293)</f>
        <v>#VALUE!</v>
      </c>
    </row>
    <row r="294" spans="1:31" x14ac:dyDescent="0.25">
      <c r="A294" s="76" t="s">
        <v>511</v>
      </c>
      <c r="B294" s="38" t="str">
        <f>VLOOKUP($A294, [6]!ProductsTable[#Data], 2, FALSE)</f>
        <v>Batteries</v>
      </c>
      <c r="C294" s="8" t="s">
        <v>149</v>
      </c>
      <c r="D294" s="8" t="s">
        <v>161</v>
      </c>
      <c r="E294" s="38" t="str">
        <f>VLOOKUP($A294, [6]!ProductsTable[#Data], 3, FALSE)</f>
        <v>Powerplus</v>
      </c>
      <c r="F294" s="38" t="str">
        <f>VLOOKUP($A294, [6]!ProductsTable[#Data], 4, FALSE)</f>
        <v>Battery Powerplus LiFe 3.3KWh Lithium Module</v>
      </c>
      <c r="G294" s="38" t="str">
        <f>VLOOKUP($A294, [6]!ProductsTable[#Data], 5, FALSE)</f>
        <v>LiFe4833P</v>
      </c>
      <c r="I294" s="41" t="e">
        <f>VLOOKUP($A294, [6]!ProductsTable[#Data], 7, FALSE)</f>
        <v>#REF!</v>
      </c>
      <c r="J294" s="39" t="e">
        <f>VLOOKUP($A294, [6]!ProductsTable[#Data], 8, FALSE)</f>
        <v>#REF!</v>
      </c>
      <c r="K294">
        <f>VLOOKUP($A294, [6]!ProductsTable[#Data], 9, FALSE)</f>
        <v>0</v>
      </c>
      <c r="L294" s="38">
        <f>VLOOKUP($A294, [6]!ProductsTable[#Data], 10, FALSE)</f>
        <v>41</v>
      </c>
      <c r="M294" s="38">
        <f>VLOOKUP($A294, [6]!ProductsTable[#Data], 11, FALSE)</f>
        <v>63.5</v>
      </c>
      <c r="N294" s="38">
        <f>VLOOKUP($A294, [6]!ProductsTable[#Data], 12, FALSE)</f>
        <v>43.4</v>
      </c>
      <c r="O294" s="38">
        <f>VLOOKUP($A294, [6]!ProductsTable[#Data], 13, FALSE)</f>
        <v>8.8000000000000007</v>
      </c>
      <c r="R294" s="38" t="str">
        <f>VLOOKUP($A294, [6]!ProductsTable[#Data], 14, FALSE)</f>
        <v>6-Various</v>
      </c>
      <c r="AE294" t="e">
        <f>COUNTIF('[7]product-export'!$A$2:$A$379, A294)</f>
        <v>#VALUE!</v>
      </c>
    </row>
    <row r="295" spans="1:31" x14ac:dyDescent="0.25">
      <c r="A295" s="76" t="s">
        <v>522</v>
      </c>
      <c r="B295" s="38" t="str">
        <f>VLOOKUP($A295, [6]!ProductsTable[#Data], 2, FALSE)</f>
        <v>Control</v>
      </c>
      <c r="C295" s="8" t="s">
        <v>153</v>
      </c>
      <c r="D295" s="8" t="s">
        <v>177</v>
      </c>
      <c r="E295" s="38" t="str">
        <f>VLOOKUP($A295, [6]!ProductsTable[#Data], 3, FALSE)</f>
        <v>Victron</v>
      </c>
      <c r="F295" s="38" t="str">
        <f>VLOOKUP($A295, [6]!ProductsTable[#Data], 4, FALSE)</f>
        <v>Octo GX</v>
      </c>
      <c r="G295" s="38" t="str">
        <f>VLOOKUP($A295, [6]!ProductsTable[#Data], 5, FALSE)</f>
        <v>BPP910200100</v>
      </c>
      <c r="I295" s="41" t="e">
        <f>VLOOKUP($A295, [6]!ProductsTable[#Data], 7, FALSE)</f>
        <v>#REF!</v>
      </c>
      <c r="J295" s="39" t="e">
        <f>VLOOKUP($A295, [6]!ProductsTable[#Data], 8, FALSE)</f>
        <v>#REF!</v>
      </c>
      <c r="K295">
        <f>VLOOKUP($A295, [6]!ProductsTable[#Data], 9, FALSE)</f>
        <v>0</v>
      </c>
      <c r="L295" s="38">
        <f>VLOOKUP($A295, [6]!ProductsTable[#Data], 10, FALSE)</f>
        <v>0.5</v>
      </c>
      <c r="M295" s="38">
        <f>VLOOKUP($A295, [6]!ProductsTable[#Data], 11, FALSE)</f>
        <v>6.1</v>
      </c>
      <c r="N295" s="38">
        <f>VLOOKUP($A295, [6]!ProductsTable[#Data], 12, FALSE)</f>
        <v>10.8</v>
      </c>
      <c r="O295" s="38">
        <f>VLOOKUP($A295, [6]!ProductsTable[#Data], 13, FALSE)</f>
        <v>9.5</v>
      </c>
      <c r="R295" s="38" t="str">
        <f>VLOOKUP($A295, [6]!ProductsTable[#Data], 14, FALSE)</f>
        <v>1-Victron</v>
      </c>
      <c r="AE295" t="e">
        <f>COUNTIF('[7]product-export'!$A$2:$A$379, A295)</f>
        <v>#VALUE!</v>
      </c>
    </row>
    <row r="296" spans="1:31" x14ac:dyDescent="0.25">
      <c r="A296" s="76" t="s">
        <v>88</v>
      </c>
      <c r="B296" s="38" t="str">
        <f>VLOOKUP($A296, [6]!ProductsTable[#Data], 2, FALSE)</f>
        <v>Control</v>
      </c>
      <c r="C296" s="8" t="s">
        <v>153</v>
      </c>
      <c r="D296" s="8" t="s">
        <v>177</v>
      </c>
      <c r="E296" s="38" t="str">
        <f>VLOOKUP($A296, [6]!ProductsTable[#Data], 3, FALSE)</f>
        <v>Victron</v>
      </c>
      <c r="F296" s="38" t="str">
        <f>VLOOKUP($A296, [6]!ProductsTable[#Data], 4, FALSE)</f>
        <v>Cerbo GX</v>
      </c>
      <c r="G296" s="38" t="str">
        <f>VLOOKUP($A296, [6]!ProductsTable[#Data], 5, FALSE)</f>
        <v>BPP900450100</v>
      </c>
      <c r="I296" s="41" t="e">
        <f>VLOOKUP($A296, [6]!ProductsTable[#Data], 7, FALSE)</f>
        <v>#REF!</v>
      </c>
      <c r="J296" s="39" t="e">
        <f>VLOOKUP($A296, [6]!ProductsTable[#Data], 8, FALSE)</f>
        <v>#REF!</v>
      </c>
      <c r="K296">
        <f>VLOOKUP($A296, [6]!ProductsTable[#Data], 9, FALSE)</f>
        <v>0</v>
      </c>
      <c r="L296" s="38">
        <f>VLOOKUP($A296, [6]!ProductsTable[#Data], 10, FALSE)</f>
        <v>0.5</v>
      </c>
      <c r="M296" s="38">
        <f>VLOOKUP($A296, [6]!ProductsTable[#Data], 11, FALSE)</f>
        <v>7.8</v>
      </c>
      <c r="N296" s="38">
        <f>VLOOKUP($A296, [6]!ProductsTable[#Data], 12, FALSE)</f>
        <v>15.4</v>
      </c>
      <c r="O296" s="38">
        <f>VLOOKUP($A296, [6]!ProductsTable[#Data], 13, FALSE)</f>
        <v>4.8</v>
      </c>
      <c r="R296" s="38" t="str">
        <f>VLOOKUP($A296, [6]!ProductsTable[#Data], 14, FALSE)</f>
        <v>1-Victron</v>
      </c>
      <c r="AE296" t="e">
        <f>COUNTIF('[7]product-export'!$A$2:$A$379, A296)</f>
        <v>#VALUE!</v>
      </c>
    </row>
    <row r="297" spans="1:31" x14ac:dyDescent="0.25">
      <c r="A297" s="76" t="s">
        <v>90</v>
      </c>
      <c r="B297" s="38" t="str">
        <f>VLOOKUP($A297, [6]!ProductsTable[#Data], 2, FALSE)</f>
        <v>Control</v>
      </c>
      <c r="C297" s="8" t="s">
        <v>153</v>
      </c>
      <c r="D297" s="8" t="s">
        <v>179</v>
      </c>
      <c r="E297" s="38" t="str">
        <f>VLOOKUP($A297, [6]!ProductsTable[#Data], 3, FALSE)</f>
        <v>Victron</v>
      </c>
      <c r="F297" s="38" t="str">
        <f>VLOOKUP($A297, [6]!ProductsTable[#Data], 4, FALSE)</f>
        <v>GX Touch 50</v>
      </c>
      <c r="G297" s="38" t="str">
        <f>VLOOKUP($A297, [6]!ProductsTable[#Data], 5, FALSE)</f>
        <v>BPP900455050</v>
      </c>
      <c r="I297" s="41" t="e">
        <f>VLOOKUP($A297, [6]!ProductsTable[#Data], 7, FALSE)</f>
        <v>#REF!</v>
      </c>
      <c r="J297" s="39" t="e">
        <f>VLOOKUP($A297, [6]!ProductsTable[#Data], 8, FALSE)</f>
        <v>#REF!</v>
      </c>
      <c r="K297">
        <f>VLOOKUP($A297, [6]!ProductsTable[#Data], 9, FALSE)</f>
        <v>0</v>
      </c>
      <c r="L297" s="38">
        <f>VLOOKUP($A297, [6]!ProductsTable[#Data], 10, FALSE)</f>
        <v>0.8</v>
      </c>
      <c r="M297" s="38">
        <f>VLOOKUP($A297, [6]!ProductsTable[#Data], 11, FALSE)</f>
        <v>15</v>
      </c>
      <c r="N297" s="38">
        <f>VLOOKUP($A297, [6]!ProductsTable[#Data], 12, FALSE)</f>
        <v>8</v>
      </c>
      <c r="O297" s="38">
        <f>VLOOKUP($A297, [6]!ProductsTable[#Data], 13, FALSE)</f>
        <v>4</v>
      </c>
      <c r="R297" s="38" t="str">
        <f>VLOOKUP($A297, [6]!ProductsTable[#Data], 14, FALSE)</f>
        <v>1-Victron</v>
      </c>
      <c r="AE297" t="e">
        <f>COUNTIF('[7]product-export'!$A$2:$A$379, A297)</f>
        <v>#VALUE!</v>
      </c>
    </row>
    <row r="298" spans="1:31" x14ac:dyDescent="0.25">
      <c r="A298" s="76" t="s">
        <v>523</v>
      </c>
      <c r="B298" s="38" t="str">
        <f>VLOOKUP($A298, [6]!ProductsTable[#Data], 2, FALSE)</f>
        <v>Control</v>
      </c>
      <c r="C298" s="8" t="s">
        <v>153</v>
      </c>
      <c r="D298" s="8" t="s">
        <v>232</v>
      </c>
      <c r="E298" s="38" t="str">
        <f>VLOOKUP($A298, [6]!ProductsTable[#Data], 3, FALSE)</f>
        <v>Victron</v>
      </c>
      <c r="F298" s="38" t="str">
        <f>VLOOKUP($A298, [6]!ProductsTable[#Data], 4, FALSE)</f>
        <v>CCGX WiFi module simple</v>
      </c>
      <c r="G298" s="38" t="str">
        <f>VLOOKUP($A298, [6]!ProductsTable[#Data], 5, FALSE)</f>
        <v>BPP900100200</v>
      </c>
      <c r="I298" s="41" t="e">
        <f>VLOOKUP($A298, [6]!ProductsTable[#Data], 7, FALSE)</f>
        <v>#REF!</v>
      </c>
      <c r="J298" s="39" t="e">
        <f>VLOOKUP($A298, [6]!ProductsTable[#Data], 8, FALSE)</f>
        <v>#REF!</v>
      </c>
      <c r="K298">
        <f>VLOOKUP($A298, [6]!ProductsTable[#Data], 9, FALSE)</f>
        <v>0</v>
      </c>
      <c r="L298" s="38">
        <f>VLOOKUP($A298, [6]!ProductsTable[#Data], 10, FALSE)</f>
        <v>0.2</v>
      </c>
      <c r="M298" s="38">
        <f>VLOOKUP($A298, [6]!ProductsTable[#Data], 11, FALSE)</f>
        <v>15</v>
      </c>
      <c r="N298" s="38">
        <f>VLOOKUP($A298, [6]!ProductsTable[#Data], 12, FALSE)</f>
        <v>8</v>
      </c>
      <c r="O298" s="38">
        <f>VLOOKUP($A298, [6]!ProductsTable[#Data], 13, FALSE)</f>
        <v>4</v>
      </c>
      <c r="R298" s="38" t="str">
        <f>VLOOKUP($A298, [6]!ProductsTable[#Data], 14, FALSE)</f>
        <v>1-Victron</v>
      </c>
      <c r="AE298" t="e">
        <f>COUNTIF('[7]product-export'!$A$2:$A$379, A298)</f>
        <v>#VALUE!</v>
      </c>
    </row>
    <row r="299" spans="1:31" x14ac:dyDescent="0.25">
      <c r="A299" s="76" t="s">
        <v>524</v>
      </c>
      <c r="B299" s="38" t="str">
        <f>VLOOKUP($A299, [6]!ProductsTable[#Data], 2, FALSE)</f>
        <v>Control</v>
      </c>
      <c r="C299" s="8" t="s">
        <v>153</v>
      </c>
      <c r="D299" s="8" t="s">
        <v>232</v>
      </c>
      <c r="E299" s="38" t="str">
        <f>VLOOKUP($A299, [6]!ProductsTable[#Data], 3, FALSE)</f>
        <v>Victron</v>
      </c>
      <c r="F299" s="38" t="str">
        <f>VLOOKUP($A299, [6]!ProductsTable[#Data], 4, FALSE)</f>
        <v>CCGX WiFi module long range</v>
      </c>
      <c r="G299" s="38" t="str">
        <f>VLOOKUP($A299, [6]!ProductsTable[#Data], 5, FALSE)</f>
        <v>BPP900200300</v>
      </c>
      <c r="I299" s="41" t="e">
        <f>VLOOKUP($A299, [6]!ProductsTable[#Data], 7, FALSE)</f>
        <v>#REF!</v>
      </c>
      <c r="J299" s="39" t="e">
        <f>VLOOKUP($A299, [6]!ProductsTable[#Data], 8, FALSE)</f>
        <v>#REF!</v>
      </c>
      <c r="K299">
        <f>VLOOKUP($A299, [6]!ProductsTable[#Data], 9, FALSE)</f>
        <v>0</v>
      </c>
      <c r="L299" s="38">
        <f>VLOOKUP($A299, [6]!ProductsTable[#Data], 10, FALSE)</f>
        <v>0.2</v>
      </c>
      <c r="M299" s="38">
        <f>VLOOKUP($A299, [6]!ProductsTable[#Data], 11, FALSE)</f>
        <v>15</v>
      </c>
      <c r="N299" s="38">
        <f>VLOOKUP($A299, [6]!ProductsTable[#Data], 12, FALSE)</f>
        <v>8</v>
      </c>
      <c r="O299" s="38">
        <f>VLOOKUP($A299, [6]!ProductsTable[#Data], 13, FALSE)</f>
        <v>4</v>
      </c>
      <c r="R299" s="38" t="str">
        <f>VLOOKUP($A299, [6]!ProductsTable[#Data], 14, FALSE)</f>
        <v>1-Victron</v>
      </c>
      <c r="AE299" t="e">
        <f>COUNTIF('[7]product-export'!$A$2:$A$379, A299)</f>
        <v>#VALUE!</v>
      </c>
    </row>
    <row r="300" spans="1:31" x14ac:dyDescent="0.25">
      <c r="A300" s="88" t="s">
        <v>74</v>
      </c>
      <c r="B300" s="38" t="str">
        <f>VLOOKUP($A300, [6]!ProductsTable[#Data], 2, FALSE)</f>
        <v>Cables</v>
      </c>
      <c r="C300" s="8" t="s">
        <v>156</v>
      </c>
      <c r="D300" s="8" t="s">
        <v>215</v>
      </c>
      <c r="E300" s="38" t="str">
        <f>VLOOKUP($A300, [6]!ProductsTable[#Data], 3, FALSE)</f>
        <v>Victron</v>
      </c>
      <c r="F300" s="38" t="str">
        <f>VLOOKUP($A300, [6]!ProductsTable[#Data], 4, FALSE)</f>
        <v>VE.Direct Cable 1.8m (one side Right Angle conn)</v>
      </c>
      <c r="G300" s="38" t="str">
        <f>VLOOKUP($A300, [6]!ProductsTable[#Data], 5, FALSE)</f>
        <v>ASS030531218</v>
      </c>
      <c r="I300" s="41" t="e">
        <f>VLOOKUP($A300, [6]!ProductsTable[#Data], 7, FALSE)</f>
        <v>#REF!</v>
      </c>
      <c r="J300" s="39" t="e">
        <f>VLOOKUP($A300, [6]!ProductsTable[#Data], 8, FALSE)</f>
        <v>#REF!</v>
      </c>
      <c r="K300">
        <f>VLOOKUP($A300, [6]!ProductsTable[#Data], 9, FALSE)</f>
        <v>0</v>
      </c>
      <c r="L300" s="38">
        <f>VLOOKUP($A300, [6]!ProductsTable[#Data], 10, FALSE)</f>
        <v>0</v>
      </c>
      <c r="M300" s="38">
        <f>VLOOKUP($A300, [6]!ProductsTable[#Data], 11, FALSE)</f>
        <v>0</v>
      </c>
      <c r="N300" s="38">
        <f>VLOOKUP($A300, [6]!ProductsTable[#Data], 12, FALSE)</f>
        <v>0</v>
      </c>
      <c r="O300" s="38">
        <f>VLOOKUP($A300, [6]!ProductsTable[#Data], 13, FALSE)</f>
        <v>0</v>
      </c>
      <c r="R300" s="38" t="str">
        <f>VLOOKUP($A300, [6]!ProductsTable[#Data], 14, FALSE)</f>
        <v>1-Victron</v>
      </c>
      <c r="AE300" t="e">
        <f>COUNTIF('[7]product-export'!$A$2:$A$379, A300)</f>
        <v>#VALUE!</v>
      </c>
    </row>
    <row r="301" spans="1:31" x14ac:dyDescent="0.25">
      <c r="A301" s="88" t="s">
        <v>75</v>
      </c>
      <c r="B301" s="38" t="str">
        <f>VLOOKUP($A301, [6]!ProductsTable[#Data], 2, FALSE)</f>
        <v>Cables</v>
      </c>
      <c r="C301" s="8" t="s">
        <v>156</v>
      </c>
      <c r="D301" s="8" t="s">
        <v>215</v>
      </c>
      <c r="E301" s="38" t="str">
        <f>VLOOKUP($A301, [6]!ProductsTable[#Data], 3, FALSE)</f>
        <v>Victron</v>
      </c>
      <c r="F301" s="38" t="str">
        <f>VLOOKUP($A301, [6]!ProductsTable[#Data], 4, FALSE)</f>
        <v>VE.Direct Cable 3m (one side Right Angle conn)</v>
      </c>
      <c r="G301" s="38" t="str">
        <f>VLOOKUP($A301, [6]!ProductsTable[#Data], 5, FALSE)</f>
        <v>ASS030531230</v>
      </c>
      <c r="I301" s="41" t="e">
        <f>VLOOKUP($A301, [6]!ProductsTable[#Data], 7, FALSE)</f>
        <v>#REF!</v>
      </c>
      <c r="J301" s="39" t="e">
        <f>VLOOKUP($A301, [6]!ProductsTable[#Data], 8, FALSE)</f>
        <v>#REF!</v>
      </c>
      <c r="K301">
        <f>VLOOKUP($A301, [6]!ProductsTable[#Data], 9, FALSE)</f>
        <v>0</v>
      </c>
      <c r="L301" s="38">
        <f>VLOOKUP($A301, [6]!ProductsTable[#Data], 10, FALSE)</f>
        <v>0</v>
      </c>
      <c r="M301" s="38">
        <f>VLOOKUP($A301, [6]!ProductsTable[#Data], 11, FALSE)</f>
        <v>0</v>
      </c>
      <c r="N301" s="38">
        <f>VLOOKUP($A301, [6]!ProductsTable[#Data], 12, FALSE)</f>
        <v>0</v>
      </c>
      <c r="O301" s="38">
        <f>VLOOKUP($A301, [6]!ProductsTable[#Data], 13, FALSE)</f>
        <v>0</v>
      </c>
      <c r="R301" s="38" t="str">
        <f>VLOOKUP($A301, [6]!ProductsTable[#Data], 14, FALSE)</f>
        <v>1-Victron</v>
      </c>
      <c r="AE301" t="e">
        <f>COUNTIF('[7]product-export'!$A$2:$A$379, A301)</f>
        <v>#VALUE!</v>
      </c>
    </row>
    <row r="302" spans="1:31" x14ac:dyDescent="0.25">
      <c r="A302" s="88" t="s">
        <v>97</v>
      </c>
      <c r="B302" s="38" t="str">
        <f>VLOOKUP($A302, [6]!ProductsTable[#Data], 2, FALSE)</f>
        <v>Cables</v>
      </c>
      <c r="C302" s="8" t="s">
        <v>156</v>
      </c>
      <c r="D302" s="8" t="s">
        <v>215</v>
      </c>
      <c r="E302" s="38" t="str">
        <f>VLOOKUP($A302, [6]!ProductsTable[#Data], 3, FALSE)</f>
        <v>Victron</v>
      </c>
      <c r="F302" s="38" t="str">
        <f>VLOOKUP($A302, [6]!ProductsTable[#Data], 4, FALSE)</f>
        <v>VE.Can to CAN-bus BMS type A Cable 1.8m</v>
      </c>
      <c r="G302" s="38" t="str">
        <f>VLOOKUP($A302, [6]!ProductsTable[#Data], 5, FALSE)</f>
        <v>ASS030710018</v>
      </c>
      <c r="I302" s="41" t="e">
        <f>VLOOKUP($A302, [6]!ProductsTable[#Data], 7, FALSE)</f>
        <v>#REF!</v>
      </c>
      <c r="J302" s="39" t="e">
        <f>VLOOKUP($A302, [6]!ProductsTable[#Data], 8, FALSE)</f>
        <v>#REF!</v>
      </c>
      <c r="K302">
        <f>VLOOKUP($A302, [6]!ProductsTable[#Data], 9, FALSE)</f>
        <v>0</v>
      </c>
      <c r="L302" s="38">
        <f>VLOOKUP($A302, [6]!ProductsTable[#Data], 10, FALSE)</f>
        <v>0</v>
      </c>
      <c r="M302" s="38">
        <f>VLOOKUP($A302, [6]!ProductsTable[#Data], 11, FALSE)</f>
        <v>0</v>
      </c>
      <c r="N302" s="38">
        <f>VLOOKUP($A302, [6]!ProductsTable[#Data], 12, FALSE)</f>
        <v>0</v>
      </c>
      <c r="O302" s="38">
        <f>VLOOKUP($A302, [6]!ProductsTable[#Data], 13, FALSE)</f>
        <v>0</v>
      </c>
      <c r="R302" s="38" t="str">
        <f>VLOOKUP($A302, [6]!ProductsTable[#Data], 14, FALSE)</f>
        <v>1-Victron</v>
      </c>
      <c r="AE302" t="e">
        <f>COUNTIF('[7]product-export'!$A$2:$A$379, A302)</f>
        <v>#VALUE!</v>
      </c>
    </row>
    <row r="303" spans="1:31" x14ac:dyDescent="0.25">
      <c r="A303" s="88" t="s">
        <v>97</v>
      </c>
      <c r="B303" s="38" t="str">
        <f>VLOOKUP($A303, [6]!ProductsTable[#Data], 2, FALSE)</f>
        <v>Cables</v>
      </c>
      <c r="C303" s="8" t="s">
        <v>156</v>
      </c>
      <c r="D303" s="8" t="s">
        <v>215</v>
      </c>
      <c r="E303" s="38" t="str">
        <f>VLOOKUP($A303, [6]!ProductsTable[#Data], 3, FALSE)</f>
        <v>Victron</v>
      </c>
      <c r="F303" s="38" t="str">
        <f>VLOOKUP($A303, [6]!ProductsTable[#Data], 4, FALSE)</f>
        <v>VE.Can to CAN-bus BMS type A Cable 1.8m</v>
      </c>
      <c r="G303" s="38" t="str">
        <f>VLOOKUP($A303, [6]!ProductsTable[#Data], 5, FALSE)</f>
        <v>ASS030710018</v>
      </c>
      <c r="I303" s="41" t="e">
        <f>VLOOKUP($A303, [6]!ProductsTable[#Data], 7, FALSE)</f>
        <v>#REF!</v>
      </c>
      <c r="J303" s="39" t="e">
        <f>VLOOKUP($A303, [6]!ProductsTable[#Data], 8, FALSE)</f>
        <v>#REF!</v>
      </c>
      <c r="K303">
        <f>VLOOKUP($A303, [6]!ProductsTable[#Data], 9, FALSE)</f>
        <v>0</v>
      </c>
      <c r="L303" s="38">
        <f>VLOOKUP($A303, [6]!ProductsTable[#Data], 10, FALSE)</f>
        <v>0</v>
      </c>
      <c r="M303" s="38">
        <f>VLOOKUP($A303, [6]!ProductsTable[#Data], 11, FALSE)</f>
        <v>0</v>
      </c>
      <c r="N303" s="38">
        <f>VLOOKUP($A303, [6]!ProductsTable[#Data], 12, FALSE)</f>
        <v>0</v>
      </c>
      <c r="O303" s="38">
        <f>VLOOKUP($A303, [6]!ProductsTable[#Data], 13, FALSE)</f>
        <v>0</v>
      </c>
      <c r="R303" s="38" t="str">
        <f>VLOOKUP($A303, [6]!ProductsTable[#Data], 14, FALSE)</f>
        <v>1-Victron</v>
      </c>
      <c r="AE303" t="e">
        <f>COUNTIF('[7]product-export'!$A$2:$A$379, A303)</f>
        <v>#VALUE!</v>
      </c>
    </row>
    <row r="304" spans="1:31" x14ac:dyDescent="0.25">
      <c r="A304" s="76" t="s">
        <v>525</v>
      </c>
      <c r="B304" s="38" t="str">
        <f>VLOOKUP($A304, [6]!ProductsTable[#Data], 2, FALSE)</f>
        <v>Solar Controllers</v>
      </c>
      <c r="C304" s="8" t="s">
        <v>217</v>
      </c>
      <c r="D304" s="8" t="s">
        <v>167</v>
      </c>
      <c r="E304" s="38" t="str">
        <f>VLOOKUP($A304, [6]!ProductsTable[#Data], 3, FALSE)</f>
        <v>Victron</v>
      </c>
      <c r="F304" s="38" t="str">
        <f>VLOOKUP($A304, [6]!ProductsTable[#Data], 4, FALSE)</f>
        <v>SmartSolar MPPT 150/70-Tr VE.Can</v>
      </c>
      <c r="G304" s="38" t="str">
        <f>VLOOKUP($A304, [6]!ProductsTable[#Data], 5, FALSE)</f>
        <v>SCC115070410</v>
      </c>
      <c r="I304" s="41" t="e">
        <f>VLOOKUP($A304, [6]!ProductsTable[#Data], 7, FALSE)</f>
        <v>#REF!</v>
      </c>
      <c r="J304" s="39" t="e">
        <f>VLOOKUP($A304, [6]!ProductsTable[#Data], 8, FALSE)</f>
        <v>#REF!</v>
      </c>
      <c r="K304">
        <f>VLOOKUP($A304, [6]!ProductsTable[#Data], 9, FALSE)</f>
        <v>0</v>
      </c>
      <c r="L304" s="38">
        <f>VLOOKUP($A304, [6]!ProductsTable[#Data], 10, FALSE)</f>
        <v>4.2</v>
      </c>
      <c r="M304" s="38">
        <f>VLOOKUP($A304, [6]!ProductsTable[#Data], 11, FALSE)</f>
        <v>20</v>
      </c>
      <c r="N304" s="38">
        <f>VLOOKUP($A304, [6]!ProductsTable[#Data], 12, FALSE)</f>
        <v>25</v>
      </c>
      <c r="O304" s="38">
        <f>VLOOKUP($A304, [6]!ProductsTable[#Data], 13, FALSE)</f>
        <v>9.5</v>
      </c>
      <c r="R304" s="38" t="str">
        <f>VLOOKUP($A304, [6]!ProductsTable[#Data], 14, FALSE)</f>
        <v>1-Victron</v>
      </c>
      <c r="AE304" t="e">
        <f>COUNTIF('[7]product-export'!$A$2:$A$379, A304)</f>
        <v>#VALUE!</v>
      </c>
    </row>
    <row r="305" spans="1:31" x14ac:dyDescent="0.25">
      <c r="A305" s="76" t="s">
        <v>526</v>
      </c>
      <c r="B305" s="38" t="str">
        <f>VLOOKUP($A305, [6]!ProductsTable[#Data], 2, FALSE)</f>
        <v>Solar Controllers</v>
      </c>
      <c r="C305" s="8" t="s">
        <v>217</v>
      </c>
      <c r="D305" s="8" t="s">
        <v>167</v>
      </c>
      <c r="E305" s="38" t="str">
        <f>VLOOKUP($A305, [6]!ProductsTable[#Data], 3, FALSE)</f>
        <v>Victron</v>
      </c>
      <c r="F305" s="38" t="str">
        <f>VLOOKUP($A305, [6]!ProductsTable[#Data], 4, FALSE)</f>
        <v>Smart Solar MPPT 150/100-Tr VE.Can</v>
      </c>
      <c r="G305" s="38" t="str">
        <f>VLOOKUP($A305, [6]!ProductsTable[#Data], 5, FALSE)</f>
        <v>SCC115110411</v>
      </c>
      <c r="I305" s="41" t="e">
        <f>VLOOKUP($A305, [6]!ProductsTable[#Data], 7, FALSE)</f>
        <v>#REF!</v>
      </c>
      <c r="J305" s="39" t="e">
        <f>VLOOKUP($A305, [6]!ProductsTable[#Data], 8, FALSE)</f>
        <v>#REF!</v>
      </c>
      <c r="K305">
        <f>VLOOKUP($A305, [6]!ProductsTable[#Data], 9, FALSE)</f>
        <v>0</v>
      </c>
      <c r="L305" s="38">
        <f>VLOOKUP($A305, [6]!ProductsTable[#Data], 10, FALSE)</f>
        <v>4.5</v>
      </c>
      <c r="M305" s="38">
        <f>VLOOKUP($A305, [6]!ProductsTable[#Data], 11, FALSE)</f>
        <v>21.6</v>
      </c>
      <c r="N305" s="38">
        <f>VLOOKUP($A305, [6]!ProductsTable[#Data], 12, FALSE)</f>
        <v>29.5</v>
      </c>
      <c r="O305" s="38">
        <f>VLOOKUP($A305, [6]!ProductsTable[#Data], 13, FALSE)</f>
        <v>10.3</v>
      </c>
      <c r="R305" s="38" t="str">
        <f>VLOOKUP($A305, [6]!ProductsTable[#Data], 14, FALSE)</f>
        <v>1-Victron</v>
      </c>
      <c r="AE305" t="e">
        <f>COUNTIF('[7]product-export'!$A$2:$A$379, A305)</f>
        <v>#VALUE!</v>
      </c>
    </row>
    <row r="306" spans="1:31" x14ac:dyDescent="0.25">
      <c r="A306" s="76" t="s">
        <v>527</v>
      </c>
      <c r="B306" s="38" t="str">
        <f>VLOOKUP($A306, [6]!ProductsTable[#Data], 2, FALSE)</f>
        <v>Solar Controllers</v>
      </c>
      <c r="C306" s="8" t="s">
        <v>217</v>
      </c>
      <c r="D306" s="8" t="s">
        <v>167</v>
      </c>
      <c r="E306" s="38" t="str">
        <f>VLOOKUP($A306, [6]!ProductsTable[#Data], 3, FALSE)</f>
        <v>Victron</v>
      </c>
      <c r="F306" s="38" t="str">
        <f>VLOOKUP($A306, [6]!ProductsTable[#Data], 4, FALSE)</f>
        <v>Smart Solar MPPT 250/70-Tr VE.Can</v>
      </c>
      <c r="G306" s="38" t="str">
        <f>VLOOKUP($A306, [6]!ProductsTable[#Data], 5, FALSE)</f>
        <v>SCC125070421</v>
      </c>
      <c r="I306" s="41" t="e">
        <f>VLOOKUP($A306, [6]!ProductsTable[#Data], 7, FALSE)</f>
        <v>#REF!</v>
      </c>
      <c r="J306" s="39" t="e">
        <f>VLOOKUP($A306, [6]!ProductsTable[#Data], 8, FALSE)</f>
        <v>#REF!</v>
      </c>
      <c r="K306">
        <f>VLOOKUP($A306, [6]!ProductsTable[#Data], 9, FALSE)</f>
        <v>0</v>
      </c>
      <c r="L306" s="38">
        <f>VLOOKUP($A306, [6]!ProductsTable[#Data], 10, FALSE)</f>
        <v>4.2</v>
      </c>
      <c r="M306" s="38">
        <f>VLOOKUP($A306, [6]!ProductsTable[#Data], 11, FALSE)</f>
        <v>15</v>
      </c>
      <c r="N306" s="38">
        <f>VLOOKUP($A306, [6]!ProductsTable[#Data], 12, FALSE)</f>
        <v>27</v>
      </c>
      <c r="O306" s="38">
        <f>VLOOKUP($A306, [6]!ProductsTable[#Data], 13, FALSE)</f>
        <v>25</v>
      </c>
      <c r="R306" s="38" t="str">
        <f>VLOOKUP($A306, [6]!ProductsTable[#Data], 14, FALSE)</f>
        <v>1-Victron</v>
      </c>
      <c r="AE306" t="e">
        <f>COUNTIF('[7]product-export'!$A$2:$A$379, A306)</f>
        <v>#VALUE!</v>
      </c>
    </row>
    <row r="307" spans="1:31" x14ac:dyDescent="0.25">
      <c r="A307" s="76" t="s">
        <v>370</v>
      </c>
      <c r="B307" s="38" t="str">
        <f>VLOOKUP($A307, [6]!ProductsTable[#Data], 2, FALSE)</f>
        <v>Solar Controllers</v>
      </c>
      <c r="C307" s="8" t="s">
        <v>217</v>
      </c>
      <c r="D307" s="8" t="s">
        <v>167</v>
      </c>
      <c r="E307" s="38" t="str">
        <f>VLOOKUP($A307, [6]!ProductsTable[#Data], 3, FALSE)</f>
        <v>Victron</v>
      </c>
      <c r="F307" s="38" t="str">
        <f>VLOOKUP($A307, [6]!ProductsTable[#Data], 4, FALSE)</f>
        <v>Smart Solar MPPT 250/100-Tr VE.Can</v>
      </c>
      <c r="G307" s="38" t="str">
        <f>VLOOKUP($A307, [6]!ProductsTable[#Data], 5, FALSE)</f>
        <v>SCC125110411</v>
      </c>
      <c r="I307" s="41" t="e">
        <f>VLOOKUP($A307, [6]!ProductsTable[#Data], 7, FALSE)</f>
        <v>#REF!</v>
      </c>
      <c r="J307" s="39" t="e">
        <f>VLOOKUP($A307, [6]!ProductsTable[#Data], 8, FALSE)</f>
        <v>#REF!</v>
      </c>
      <c r="K307">
        <f>VLOOKUP($A307, [6]!ProductsTable[#Data], 9, FALSE)</f>
        <v>0</v>
      </c>
      <c r="L307" s="38">
        <f>VLOOKUP($A307, [6]!ProductsTable[#Data], 10, FALSE)</f>
        <v>5.5</v>
      </c>
      <c r="M307" s="38">
        <f>VLOOKUP($A307, [6]!ProductsTable[#Data], 11, FALSE)</f>
        <v>33</v>
      </c>
      <c r="N307" s="38">
        <f>VLOOKUP($A307, [6]!ProductsTable[#Data], 12, FALSE)</f>
        <v>29</v>
      </c>
      <c r="O307" s="38">
        <f>VLOOKUP($A307, [6]!ProductsTable[#Data], 13, FALSE)</f>
        <v>16</v>
      </c>
      <c r="R307" s="38" t="str">
        <f>VLOOKUP($A307, [6]!ProductsTable[#Data], 14, FALSE)</f>
        <v>1-Victron</v>
      </c>
      <c r="AE307" t="e">
        <f>COUNTIF('[7]product-export'!$A$2:$A$379, A307)</f>
        <v>#VALUE!</v>
      </c>
    </row>
    <row r="308" spans="1:31" x14ac:dyDescent="0.25">
      <c r="A308" s="76" t="s">
        <v>550</v>
      </c>
      <c r="B308" s="38" t="str">
        <f>VLOOKUP($A308, [6]!ProductsTable[#Data], 2, FALSE)</f>
        <v>Electrical</v>
      </c>
      <c r="C308" s="8" t="s">
        <v>217</v>
      </c>
      <c r="D308" s="8" t="s">
        <v>172</v>
      </c>
      <c r="E308" s="38" t="str">
        <f>VLOOKUP($A308, [6]!ProductsTable[#Data], 3, FALSE)</f>
        <v>Noark</v>
      </c>
      <c r="F308" s="38" t="str">
        <f>VLOOKUP($A308, [6]!ProductsTable[#Data], 4, FALSE)</f>
        <v>MCB 63A 360V DC 4 Pole</v>
      </c>
      <c r="G308" s="38">
        <f>VLOOKUP($A308, [6]!ProductsTable[#Data], 5, FALSE)</f>
        <v>84482</v>
      </c>
      <c r="I308" s="41" t="e">
        <f>VLOOKUP($A308, [6]!ProductsTable[#Data], 7, FALSE)</f>
        <v>#REF!</v>
      </c>
      <c r="J308" s="39" t="e">
        <f>VLOOKUP($A308, [6]!ProductsTable[#Data], 8, FALSE)</f>
        <v>#REF!</v>
      </c>
      <c r="K308">
        <f>VLOOKUP($A308, [6]!ProductsTable[#Data], 9, FALSE)</f>
        <v>0</v>
      </c>
      <c r="L308" s="38">
        <f>VLOOKUP($A308, [6]!ProductsTable[#Data], 10, FALSE)</f>
        <v>0.51</v>
      </c>
      <c r="M308" s="38">
        <f>VLOOKUP($A308, [6]!ProductsTable[#Data], 11, FALSE)</f>
        <v>9</v>
      </c>
      <c r="N308" s="38">
        <f>VLOOKUP($A308, [6]!ProductsTable[#Data], 12, FALSE)</f>
        <v>7.5</v>
      </c>
      <c r="O308" s="38">
        <f>VLOOKUP($A308, [6]!ProductsTable[#Data], 13, FALSE)</f>
        <v>7.5</v>
      </c>
      <c r="R308" s="38" t="str">
        <f>VLOOKUP($A308, [6]!ProductsTable[#Data], 14, FALSE)</f>
        <v>3-Tradezone</v>
      </c>
      <c r="AE308" t="e">
        <f>COUNTIF('[7]product-export'!$A$2:$A$379, A308)</f>
        <v>#VALUE!</v>
      </c>
    </row>
    <row r="309" spans="1:31" x14ac:dyDescent="0.25">
      <c r="A309" s="88" t="s">
        <v>93</v>
      </c>
      <c r="B309" s="38" t="str">
        <f>VLOOKUP($A309, [6]!ProductsTable[#Data], 2, FALSE)</f>
        <v>Sensor</v>
      </c>
      <c r="C309" s="8" t="s">
        <v>153</v>
      </c>
      <c r="D309" s="8" t="s">
        <v>181</v>
      </c>
      <c r="E309" s="38" t="str">
        <f>VLOOKUP($A309, [6]!ProductsTable[#Data], 3, FALSE)</f>
        <v>Victron</v>
      </c>
      <c r="F309" s="38" t="str">
        <f>VLOOKUP($A309, [6]!ProductsTable[#Data], 4, FALSE)</f>
        <v>Energy meter EM24 - 3 phase - max 65A/phase</v>
      </c>
      <c r="G309" s="38" t="str">
        <f>VLOOKUP($A309, [6]!ProductsTable[#Data], 5, FALSE)</f>
        <v>REL200100000</v>
      </c>
      <c r="I309" s="41" t="e">
        <f>VLOOKUP($A309, [6]!ProductsTable[#Data], 7, FALSE)</f>
        <v>#REF!</v>
      </c>
      <c r="J309" s="39" t="e">
        <f>VLOOKUP($A309, [6]!ProductsTable[#Data], 8, FALSE)</f>
        <v>#REF!</v>
      </c>
      <c r="K309">
        <f>VLOOKUP($A309, [6]!ProductsTable[#Data], 9, FALSE)</f>
        <v>0</v>
      </c>
      <c r="L309" s="38">
        <f>VLOOKUP($A309, [6]!ProductsTable[#Data], 10, FALSE)</f>
        <v>0</v>
      </c>
      <c r="M309" s="38">
        <f>VLOOKUP($A309, [6]!ProductsTable[#Data], 11, FALSE)</f>
        <v>0</v>
      </c>
      <c r="N309" s="38">
        <f>VLOOKUP($A309, [6]!ProductsTable[#Data], 12, FALSE)</f>
        <v>0</v>
      </c>
      <c r="O309" s="38">
        <f>VLOOKUP($A309, [6]!ProductsTable[#Data], 13, FALSE)</f>
        <v>0</v>
      </c>
      <c r="R309" s="38" t="str">
        <f>VLOOKUP($A309, [6]!ProductsTable[#Data], 14, FALSE)</f>
        <v>1-Victron</v>
      </c>
      <c r="AE309" t="e">
        <f>COUNTIF('[7]product-export'!$A$2:$A$379, A309)</f>
        <v>#VALUE!</v>
      </c>
    </row>
    <row r="310" spans="1:31" x14ac:dyDescent="0.25">
      <c r="A310" s="76" t="s">
        <v>539</v>
      </c>
      <c r="B310" s="38" t="str">
        <f>VLOOKUP($A310, [6]!ProductsTable[#Data], 2, FALSE)</f>
        <v>Inverters</v>
      </c>
      <c r="C310" s="8" t="s">
        <v>217</v>
      </c>
      <c r="D310" s="8" t="s">
        <v>234</v>
      </c>
      <c r="E310" s="38" t="str">
        <f>VLOOKUP($A310, [6]!ProductsTable[#Data], 3, FALSE)</f>
        <v>Sungrow</v>
      </c>
      <c r="F310" s="38" t="str">
        <f>VLOOKUP($A310, [6]!ProductsTable[#Data], 4, FALSE)</f>
        <v>5kW Single Phase Hybrid</v>
      </c>
      <c r="G310" s="38" t="str">
        <f>VLOOKUP($A310, [6]!ProductsTable[#Data], 5, FALSE)</f>
        <v>SGSH5K-20</v>
      </c>
      <c r="I310" s="41" t="e">
        <f>VLOOKUP($A310, [6]!ProductsTable[#Data], 7, FALSE)</f>
        <v>#REF!</v>
      </c>
      <c r="J310" s="39" t="e">
        <f>VLOOKUP($A310, [6]!ProductsTable[#Data], 8, FALSE)</f>
        <v>#REF!</v>
      </c>
      <c r="K310">
        <f>VLOOKUP($A310, [6]!ProductsTable[#Data], 9, FALSE)</f>
        <v>0</v>
      </c>
      <c r="L310" s="38">
        <f>VLOOKUP($A310, [6]!ProductsTable[#Data], 10, FALSE)</f>
        <v>22</v>
      </c>
      <c r="M310" s="38">
        <f>VLOOKUP($A310, [6]!ProductsTable[#Data], 11, FALSE)</f>
        <v>45.7</v>
      </c>
      <c r="N310" s="38">
        <f>VLOOKUP($A310, [6]!ProductsTable[#Data], 12, FALSE)</f>
        <v>51.5</v>
      </c>
      <c r="O310" s="38">
        <f>VLOOKUP($A310, [6]!ProductsTable[#Data], 13, FALSE)</f>
        <v>17</v>
      </c>
      <c r="R310" s="38" t="str">
        <f>VLOOKUP($A310, [6]!ProductsTable[#Data], 14, FALSE)</f>
        <v>10-SupplyPartners</v>
      </c>
      <c r="AE310" t="e">
        <f>COUNTIF('[7]product-export'!$A$2:$A$379, A310)</f>
        <v>#VALUE!</v>
      </c>
    </row>
    <row r="311" spans="1:31" x14ac:dyDescent="0.25">
      <c r="A311" s="76" t="s">
        <v>540</v>
      </c>
      <c r="B311" s="38" t="str">
        <f>VLOOKUP($A311, [6]!ProductsTable[#Data], 2, FALSE)</f>
        <v>Inverters</v>
      </c>
      <c r="C311" s="8" t="s">
        <v>217</v>
      </c>
      <c r="D311" s="8" t="s">
        <v>168</v>
      </c>
      <c r="E311" s="38" t="str">
        <f>VLOOKUP($A311, [6]!ProductsTable[#Data], 3, FALSE)</f>
        <v>Sungrow</v>
      </c>
      <c r="F311" s="38" t="str">
        <f>VLOOKUP($A311, [6]!ProductsTable[#Data], 4, FALSE)</f>
        <v>5kW Three Phase Solar</v>
      </c>
      <c r="G311" s="38" t="str">
        <f>VLOOKUP($A311, [6]!ProductsTable[#Data], 5, FALSE)</f>
        <v>SG5KTL-MT</v>
      </c>
      <c r="I311" s="41" t="e">
        <f>VLOOKUP($A311, [6]!ProductsTable[#Data], 7, FALSE)</f>
        <v>#REF!</v>
      </c>
      <c r="J311" s="39" t="e">
        <f>VLOOKUP($A311, [6]!ProductsTable[#Data], 8, FALSE)</f>
        <v>#REF!</v>
      </c>
      <c r="K311">
        <f>VLOOKUP($A311, [6]!ProductsTable[#Data], 9, FALSE)</f>
        <v>0</v>
      </c>
      <c r="L311" s="38">
        <f>VLOOKUP($A311, [6]!ProductsTable[#Data], 10, FALSE)</f>
        <v>20</v>
      </c>
      <c r="M311" s="38">
        <f>VLOOKUP($A311, [6]!ProductsTable[#Data], 11, FALSE)</f>
        <v>37</v>
      </c>
      <c r="N311" s="38">
        <f>VLOOKUP($A311, [6]!ProductsTable[#Data], 12, FALSE)</f>
        <v>48.5</v>
      </c>
      <c r="O311" s="38">
        <f>VLOOKUP($A311, [6]!ProductsTable[#Data], 13, FALSE)</f>
        <v>16</v>
      </c>
      <c r="R311" s="38" t="str">
        <f>VLOOKUP($A311, [6]!ProductsTable[#Data], 14, FALSE)</f>
        <v>10-SupplyPartners</v>
      </c>
      <c r="AE311" t="e">
        <f>COUNTIF('[7]product-export'!$A$2:$A$379, A311)</f>
        <v>#VALUE!</v>
      </c>
    </row>
    <row r="312" spans="1:31" x14ac:dyDescent="0.25">
      <c r="A312" s="76" t="s">
        <v>508</v>
      </c>
      <c r="B312" s="38" t="str">
        <f>VLOOKUP($A312, [6]!ProductsTable[#Data], 2, FALSE)</f>
        <v>Inverter-Chargers</v>
      </c>
      <c r="C312" s="8" t="s">
        <v>217</v>
      </c>
      <c r="D312" s="8" t="s">
        <v>171</v>
      </c>
      <c r="E312" s="38" t="str">
        <f>VLOOKUP($A312, [6]!ProductsTable[#Data], 3, FALSE)</f>
        <v>Victron</v>
      </c>
      <c r="F312" s="38" t="str">
        <f>VLOOKUP($A312, [6]!ProductsTable[#Data], 4, FALSE)</f>
        <v xml:space="preserve">Quattro-II 24/5000/120-50 230V </v>
      </c>
      <c r="G312" s="38" t="str">
        <f>VLOOKUP($A312, [6]!ProductsTable[#Data], 5, FALSE)</f>
        <v>QUA242505010</v>
      </c>
      <c r="I312" s="41" t="e">
        <f>VLOOKUP($A312, [6]!ProductsTable[#Data], 7, FALSE)</f>
        <v>#REF!</v>
      </c>
      <c r="J312" s="39" t="e">
        <f>VLOOKUP($A312, [6]!ProductsTable[#Data], 8, FALSE)</f>
        <v>#REF!</v>
      </c>
      <c r="K312">
        <f>VLOOKUP($A312, [6]!ProductsTable[#Data], 9, FALSE)</f>
        <v>0</v>
      </c>
      <c r="L312" s="38">
        <f>VLOOKUP($A312, [6]!ProductsTable[#Data], 10, FALSE)</f>
        <v>33</v>
      </c>
      <c r="M312" s="38">
        <f>VLOOKUP($A312, [6]!ProductsTable[#Data], 11, FALSE)</f>
        <v>32.799999999999997</v>
      </c>
      <c r="N312" s="38">
        <f>VLOOKUP($A312, [6]!ProductsTable[#Data], 12, FALSE)</f>
        <v>56</v>
      </c>
      <c r="O312" s="38">
        <f>VLOOKUP($A312, [6]!ProductsTable[#Data], 13, FALSE)</f>
        <v>15</v>
      </c>
      <c r="R312" s="38" t="str">
        <f>VLOOKUP($A312, [6]!ProductsTable[#Data], 14, FALSE)</f>
        <v>1-Victron</v>
      </c>
      <c r="AE312" t="e">
        <f>COUNTIF('[7]product-export'!$A$2:$A$379, A312)</f>
        <v>#VALUE!</v>
      </c>
    </row>
    <row r="313" spans="1:31" x14ac:dyDescent="0.25">
      <c r="A313" s="76" t="s">
        <v>509</v>
      </c>
      <c r="B313" s="38" t="str">
        <f>VLOOKUP($A313, [6]!ProductsTable[#Data], 2, FALSE)</f>
        <v>Inverter-Chargers</v>
      </c>
      <c r="C313" s="8" t="s">
        <v>217</v>
      </c>
      <c r="D313" s="8" t="s">
        <v>171</v>
      </c>
      <c r="E313" s="38" t="str">
        <f>VLOOKUP($A313, [6]!ProductsTable[#Data], 3, FALSE)</f>
        <v>Victron</v>
      </c>
      <c r="F313" s="38" t="str">
        <f>VLOOKUP($A313, [6]!ProductsTable[#Data], 4, FALSE)</f>
        <v xml:space="preserve">Quattro-II 48/5000/70-50 230V </v>
      </c>
      <c r="G313" s="38" t="str">
        <f>VLOOKUP($A313, [6]!ProductsTable[#Data], 5, FALSE)</f>
        <v>QUA482504010</v>
      </c>
      <c r="I313" s="41" t="e">
        <f>VLOOKUP($A313, [6]!ProductsTable[#Data], 7, FALSE)</f>
        <v>#REF!</v>
      </c>
      <c r="J313" s="39" t="e">
        <f>VLOOKUP($A313, [6]!ProductsTable[#Data], 8, FALSE)</f>
        <v>#REF!</v>
      </c>
      <c r="K313">
        <f>VLOOKUP($A313, [6]!ProductsTable[#Data], 9, FALSE)</f>
        <v>0</v>
      </c>
      <c r="L313" s="38">
        <f>VLOOKUP($A313, [6]!ProductsTable[#Data], 10, FALSE)</f>
        <v>35</v>
      </c>
      <c r="M313" s="38">
        <f>VLOOKUP($A313, [6]!ProductsTable[#Data], 11, FALSE)</f>
        <v>32.799999999999997</v>
      </c>
      <c r="N313" s="38">
        <f>VLOOKUP($A313, [6]!ProductsTable[#Data], 12, FALSE)</f>
        <v>56</v>
      </c>
      <c r="O313" s="38">
        <f>VLOOKUP($A313, [6]!ProductsTable[#Data], 13, FALSE)</f>
        <v>15</v>
      </c>
      <c r="R313" s="38" t="str">
        <f>VLOOKUP($A313, [6]!ProductsTable[#Data], 14, FALSE)</f>
        <v>1-Victron</v>
      </c>
      <c r="AE313" t="e">
        <f>COUNTIF('[7]product-export'!$A$2:$A$379, A313)</f>
        <v>#VALUE!</v>
      </c>
    </row>
    <row r="314" spans="1:31" x14ac:dyDescent="0.25">
      <c r="A314" s="76" t="s">
        <v>512</v>
      </c>
      <c r="B314" s="38" t="str">
        <f>VLOOKUP($A314, [6]!ProductsTable[#Data], 2, FALSE)</f>
        <v>Electrical</v>
      </c>
      <c r="C314" s="8" t="s">
        <v>154</v>
      </c>
      <c r="D314" s="8" t="s">
        <v>178</v>
      </c>
      <c r="E314" s="38" t="str">
        <f>VLOOKUP($A314, [6]!ProductsTable[#Data], 3, FALSE)</f>
        <v>Midnight Solar</v>
      </c>
      <c r="F314" s="38" t="str">
        <f>VLOOKUP($A314, [6]!ProductsTable[#Data], 4, FALSE)</f>
        <v>Ground Fault Relay 63A/150V</v>
      </c>
      <c r="G314" s="38" t="str">
        <f>VLOOKUP($A314, [6]!ProductsTable[#Data], 5, FALSE)</f>
        <v>MNDC-GFP63</v>
      </c>
      <c r="I314" s="41" t="e">
        <f>VLOOKUP($A314, [6]!ProductsTable[#Data], 7, FALSE)</f>
        <v>#REF!</v>
      </c>
      <c r="J314" s="39" t="e">
        <f>VLOOKUP($A314, [6]!ProductsTable[#Data], 8, FALSE)</f>
        <v>#REF!</v>
      </c>
      <c r="K314">
        <f>VLOOKUP($A314, [6]!ProductsTable[#Data], 9, FALSE)</f>
        <v>0</v>
      </c>
      <c r="L314" s="38">
        <f>VLOOKUP($A314, [6]!ProductsTable[#Data], 10, FALSE)</f>
        <v>0.5</v>
      </c>
      <c r="M314" s="38">
        <f>VLOOKUP($A314, [6]!ProductsTable[#Data], 11, FALSE)</f>
        <v>13</v>
      </c>
      <c r="N314" s="38">
        <f>VLOOKUP($A314, [6]!ProductsTable[#Data], 12, FALSE)</f>
        <v>8</v>
      </c>
      <c r="O314" s="38">
        <f>VLOOKUP($A314, [6]!ProductsTable[#Data], 13, FALSE)</f>
        <v>5</v>
      </c>
      <c r="R314" s="38" t="str">
        <f>VLOOKUP($A314, [6]!ProductsTable[#Data], 14, FALSE)</f>
        <v>6-Various</v>
      </c>
      <c r="AE314" t="e">
        <f>COUNTIF('[7]product-export'!$A$2:$A$379, A314)</f>
        <v>#VALUE!</v>
      </c>
    </row>
    <row r="315" spans="1:31" x14ac:dyDescent="0.25">
      <c r="A315" s="76" t="s">
        <v>513</v>
      </c>
      <c r="B315" s="38" t="str">
        <f>VLOOKUP($A315, [6]!ProductsTable[#Data], 2, FALSE)</f>
        <v>Electrical</v>
      </c>
      <c r="C315" s="8" t="s">
        <v>154</v>
      </c>
      <c r="D315" s="8" t="s">
        <v>178</v>
      </c>
      <c r="E315" s="38" t="str">
        <f>VLOOKUP($A315, [6]!ProductsTable[#Data], 3, FALSE)</f>
        <v>Midnight Solar</v>
      </c>
      <c r="F315" s="38" t="str">
        <f>VLOOKUP($A315, [6]!ProductsTable[#Data], 4, FALSE)</f>
        <v>Ground Fault Relay 80A/150V</v>
      </c>
      <c r="G315" s="38" t="str">
        <f>VLOOKUP($A315, [6]!ProductsTable[#Data], 5, FALSE)</f>
        <v>MNDC-GFP80</v>
      </c>
      <c r="I315" s="41" t="e">
        <f>VLOOKUP($A315, [6]!ProductsTable[#Data], 7, FALSE)</f>
        <v>#REF!</v>
      </c>
      <c r="J315" s="39" t="e">
        <f>VLOOKUP($A315, [6]!ProductsTable[#Data], 8, FALSE)</f>
        <v>#REF!</v>
      </c>
      <c r="K315">
        <f>VLOOKUP($A315, [6]!ProductsTable[#Data], 9, FALSE)</f>
        <v>0</v>
      </c>
      <c r="L315" s="38">
        <f>VLOOKUP($A315, [6]!ProductsTable[#Data], 10, FALSE)</f>
        <v>0.5</v>
      </c>
      <c r="M315" s="38">
        <f>VLOOKUP($A315, [6]!ProductsTable[#Data], 11, FALSE)</f>
        <v>13</v>
      </c>
      <c r="N315" s="38">
        <f>VLOOKUP($A315, [6]!ProductsTable[#Data], 12, FALSE)</f>
        <v>8</v>
      </c>
      <c r="O315" s="38">
        <f>VLOOKUP($A315, [6]!ProductsTable[#Data], 13, FALSE)</f>
        <v>9</v>
      </c>
      <c r="R315" s="38" t="str">
        <f>VLOOKUP($A315, [6]!ProductsTable[#Data], 14, FALSE)</f>
        <v>6-Various</v>
      </c>
      <c r="AE315" t="e">
        <f>COUNTIF('[7]product-export'!$A$2:$A$379, A315)</f>
        <v>#VALUE!</v>
      </c>
    </row>
    <row r="316" spans="1:31" x14ac:dyDescent="0.25">
      <c r="A316" s="88" t="s">
        <v>92</v>
      </c>
      <c r="B316" s="38" t="str">
        <f>VLOOKUP($A316, [6]!ProductsTable[#Data], 2, FALSE)</f>
        <v>Control</v>
      </c>
      <c r="C316" s="8" t="s">
        <v>153</v>
      </c>
      <c r="D316" s="8" t="s">
        <v>177</v>
      </c>
      <c r="E316" s="38" t="str">
        <f>VLOOKUP($A316, [6]!ProductsTable[#Data], 3, FALSE)</f>
        <v>Victron</v>
      </c>
      <c r="F316" s="38" t="str">
        <f>VLOOKUP($A316, [6]!ProductsTable[#Data], 4, FALSE)</f>
        <v xml:space="preserve">Ekrano GX </v>
      </c>
      <c r="G316" s="38" t="str">
        <f>VLOOKUP($A316, [6]!ProductsTable[#Data], 5, FALSE)</f>
        <v>BPP900480100</v>
      </c>
      <c r="I316" s="41" t="e">
        <f>VLOOKUP($A316, [6]!ProductsTable[#Data], 7, FALSE)</f>
        <v>#REF!</v>
      </c>
      <c r="J316" s="39" t="e">
        <f>VLOOKUP($A316, [6]!ProductsTable[#Data], 8, FALSE)</f>
        <v>#REF!</v>
      </c>
      <c r="K316">
        <f>VLOOKUP($A316, [6]!ProductsTable[#Data], 9, FALSE)</f>
        <v>0</v>
      </c>
      <c r="L316" s="38">
        <f>VLOOKUP($A316, [6]!ProductsTable[#Data], 10, FALSE)</f>
        <v>0</v>
      </c>
      <c r="M316" s="38">
        <f>VLOOKUP($A316, [6]!ProductsTable[#Data], 11, FALSE)</f>
        <v>0</v>
      </c>
      <c r="N316" s="38">
        <f>VLOOKUP($A316, [6]!ProductsTable[#Data], 12, FALSE)</f>
        <v>0</v>
      </c>
      <c r="O316" s="38">
        <f>VLOOKUP($A316, [6]!ProductsTable[#Data], 13, FALSE)</f>
        <v>0</v>
      </c>
      <c r="R316" s="38" t="str">
        <f>VLOOKUP($A316, [6]!ProductsTable[#Data], 14, FALSE)</f>
        <v>1-Victron</v>
      </c>
      <c r="AE316" t="e">
        <f>COUNTIF('[7]product-export'!$A$2:$A$379, A316)</f>
        <v>#VALUE!</v>
      </c>
    </row>
    <row r="317" spans="1:31" x14ac:dyDescent="0.25">
      <c r="A317" s="88" t="s">
        <v>77</v>
      </c>
      <c r="B317" s="38" t="str">
        <f>VLOOKUP($A317, [6]!ProductsTable[#Data], 2, FALSE)</f>
        <v>EV Charging</v>
      </c>
      <c r="C317" s="8" t="s">
        <v>217</v>
      </c>
      <c r="D317" s="8" t="s">
        <v>174</v>
      </c>
      <c r="E317" s="38" t="str">
        <f>VLOOKUP($A317, [6]!ProductsTable[#Data], 3, FALSE)</f>
        <v>Victron</v>
      </c>
      <c r="F317" s="38" t="str">
        <f>VLOOKUP($A317, [6]!ProductsTable[#Data], 4, FALSE)</f>
        <v>EV Charging Station NS</v>
      </c>
      <c r="G317" s="38" t="str">
        <f>VLOOKUP($A317, [6]!ProductsTable[#Data], 5, FALSE)</f>
        <v>EVC200300200</v>
      </c>
      <c r="I317" s="41" t="e">
        <f>VLOOKUP($A317, [6]!ProductsTable[#Data], 7, FALSE)</f>
        <v>#REF!</v>
      </c>
      <c r="J317" s="39" t="e">
        <f>VLOOKUP($A317, [6]!ProductsTable[#Data], 8, FALSE)</f>
        <v>#REF!</v>
      </c>
      <c r="K317">
        <f>VLOOKUP($A317, [6]!ProductsTable[#Data], 9, FALSE)</f>
        <v>0</v>
      </c>
      <c r="L317" s="38">
        <f>VLOOKUP($A317, [6]!ProductsTable[#Data], 10, FALSE)</f>
        <v>0</v>
      </c>
      <c r="M317" s="38">
        <f>VLOOKUP($A317, [6]!ProductsTable[#Data], 11, FALSE)</f>
        <v>0</v>
      </c>
      <c r="N317" s="38">
        <f>VLOOKUP($A317, [6]!ProductsTable[#Data], 12, FALSE)</f>
        <v>0</v>
      </c>
      <c r="O317" s="38">
        <f>VLOOKUP($A317, [6]!ProductsTable[#Data], 13, FALSE)</f>
        <v>0</v>
      </c>
      <c r="R317" s="38" t="str">
        <f>VLOOKUP($A317, [6]!ProductsTable[#Data], 14, FALSE)</f>
        <v>1-Victron</v>
      </c>
      <c r="AE317" t="e">
        <f>COUNTIF('[7]product-export'!$A$2:$A$379, A317)</f>
        <v>#VALUE!</v>
      </c>
    </row>
    <row r="318" spans="1:31" x14ac:dyDescent="0.25">
      <c r="A318" s="88" t="s">
        <v>91</v>
      </c>
      <c r="B318" s="38" t="str">
        <f>VLOOKUP($A318, [6]!ProductsTable[#Data], 2, FALSE)</f>
        <v>Control</v>
      </c>
      <c r="C318" s="8" t="s">
        <v>153</v>
      </c>
      <c r="D318" s="8" t="s">
        <v>179</v>
      </c>
      <c r="E318" s="38" t="str">
        <f>VLOOKUP($A318, [6]!ProductsTable[#Data], 3, FALSE)</f>
        <v>Victron</v>
      </c>
      <c r="F318" s="38" t="str">
        <f>VLOOKUP($A318, [6]!ProductsTable[#Data], 4, FALSE)</f>
        <v>GX Touch 70</v>
      </c>
      <c r="G318" s="38" t="str">
        <f>VLOOKUP($A318, [6]!ProductsTable[#Data], 5, FALSE)</f>
        <v>BPP900455070</v>
      </c>
      <c r="I318" s="41" t="e">
        <f>VLOOKUP($A318, [6]!ProductsTable[#Data], 7, FALSE)</f>
        <v>#REF!</v>
      </c>
      <c r="J318" s="39" t="e">
        <f>VLOOKUP($A318, [6]!ProductsTable[#Data], 8, FALSE)</f>
        <v>#REF!</v>
      </c>
      <c r="K318">
        <f>VLOOKUP($A318, [6]!ProductsTable[#Data], 9, FALSE)</f>
        <v>0</v>
      </c>
      <c r="L318" s="38">
        <f>VLOOKUP($A318, [6]!ProductsTable[#Data], 10, FALSE)</f>
        <v>0.8</v>
      </c>
      <c r="M318" s="38">
        <f>VLOOKUP($A318, [6]!ProductsTable[#Data], 11, FALSE)</f>
        <v>15</v>
      </c>
      <c r="N318" s="38">
        <f>VLOOKUP($A318, [6]!ProductsTable[#Data], 12, FALSE)</f>
        <v>8</v>
      </c>
      <c r="O318" s="38">
        <f>VLOOKUP($A318, [6]!ProductsTable[#Data], 13, FALSE)</f>
        <v>4</v>
      </c>
      <c r="R318" s="38" t="str">
        <f>VLOOKUP($A318, [6]!ProductsTable[#Data], 14, FALSE)</f>
        <v>1-Victron</v>
      </c>
      <c r="AE318" t="e">
        <f>COUNTIF('[7]product-export'!$A$2:$A$379, A318)</f>
        <v>#VALUE!</v>
      </c>
    </row>
    <row r="319" spans="1:31" x14ac:dyDescent="0.25">
      <c r="A319" s="88" t="s">
        <v>102</v>
      </c>
      <c r="B319" s="38" t="str">
        <f>VLOOKUP($A319, [6]!ProductsTable[#Data], 2, FALSE)</f>
        <v>Electrical</v>
      </c>
      <c r="C319" s="8" t="s">
        <v>154</v>
      </c>
      <c r="D319" s="8" t="s">
        <v>186</v>
      </c>
      <c r="E319" s="38" t="str">
        <f>VLOOKUP($A319, [6]!ProductsTable[#Data], 3, FALSE)</f>
        <v xml:space="preserve">Voltex </v>
      </c>
      <c r="F319" s="38" t="str">
        <f>VLOOKUP($A319, [6]!ProductsTable[#Data], 4, FALSE)</f>
        <v>32A gen inlet, 3pin</v>
      </c>
      <c r="G319" s="38" t="str">
        <f>VLOOKUP($A319, [6]!ProductsTable[#Data], 5, FALSE)</f>
        <v>C66AI332</v>
      </c>
      <c r="I319" s="41" t="e">
        <f>VLOOKUP($A319, [6]!ProductsTable[#Data], 7, FALSE)</f>
        <v>#REF!</v>
      </c>
      <c r="J319" s="39" t="e">
        <f>VLOOKUP($A319, [6]!ProductsTable[#Data], 8, FALSE)</f>
        <v>#REF!</v>
      </c>
      <c r="K319">
        <f>VLOOKUP($A319, [6]!ProductsTable[#Data], 9, FALSE)</f>
        <v>0</v>
      </c>
      <c r="L319" s="38">
        <f>VLOOKUP($A319, [6]!ProductsTable[#Data], 10, FALSE)</f>
        <v>1</v>
      </c>
      <c r="M319" s="38">
        <f>VLOOKUP($A319, [6]!ProductsTable[#Data], 11, FALSE)</f>
        <v>0</v>
      </c>
      <c r="N319" s="38">
        <f>VLOOKUP($A319, [6]!ProductsTable[#Data], 12, FALSE)</f>
        <v>0</v>
      </c>
      <c r="O319" s="38">
        <f>VLOOKUP($A319, [6]!ProductsTable[#Data], 13, FALSE)</f>
        <v>0</v>
      </c>
      <c r="R319" s="38" t="str">
        <f>VLOOKUP($A319, [6]!ProductsTable[#Data], 14, FALSE)</f>
        <v>6-Various</v>
      </c>
      <c r="AE319" t="e">
        <f>COUNTIF('[7]product-export'!$A$2:$A$379, A319)</f>
        <v>#VALUE!</v>
      </c>
    </row>
    <row r="320" spans="1:31" x14ac:dyDescent="0.25">
      <c r="A320" s="88" t="s">
        <v>103</v>
      </c>
      <c r="B320" s="38" t="str">
        <f>VLOOKUP($A320, [6]!ProductsTable[#Data], 2, FALSE)</f>
        <v>Electrical</v>
      </c>
      <c r="C320" s="8" t="s">
        <v>154</v>
      </c>
      <c r="D320" s="8" t="s">
        <v>186</v>
      </c>
      <c r="E320" s="38" t="str">
        <f>VLOOKUP($A320, [6]!ProductsTable[#Data], 3, FALSE)</f>
        <v>Voltex</v>
      </c>
      <c r="F320" s="38" t="str">
        <f>VLOOKUP($A320, [6]!ProductsTable[#Data], 4, FALSE)</f>
        <v>10A outlet</v>
      </c>
      <c r="G320" s="38" t="str">
        <f>VLOOKUP($A320, [6]!ProductsTable[#Data], 5, FALSE)</f>
        <v>C66SO310</v>
      </c>
      <c r="I320" s="41" t="e">
        <f>VLOOKUP($A320, [6]!ProductsTable[#Data], 7, FALSE)</f>
        <v>#REF!</v>
      </c>
      <c r="J320" s="39" t="e">
        <f>VLOOKUP($A320, [6]!ProductsTable[#Data], 8, FALSE)</f>
        <v>#REF!</v>
      </c>
      <c r="K320">
        <f>VLOOKUP($A320, [6]!ProductsTable[#Data], 9, FALSE)</f>
        <v>0</v>
      </c>
      <c r="L320" s="38">
        <f>VLOOKUP($A320, [6]!ProductsTable[#Data], 10, FALSE)</f>
        <v>0.5</v>
      </c>
      <c r="M320" s="38">
        <f>VLOOKUP($A320, [6]!ProductsTable[#Data], 11, FALSE)</f>
        <v>10</v>
      </c>
      <c r="N320" s="38">
        <f>VLOOKUP($A320, [6]!ProductsTable[#Data], 12, FALSE)</f>
        <v>10</v>
      </c>
      <c r="O320" s="38">
        <f>VLOOKUP($A320, [6]!ProductsTable[#Data], 13, FALSE)</f>
        <v>8.5</v>
      </c>
      <c r="R320" s="38" t="str">
        <f>VLOOKUP($A320, [6]!ProductsTable[#Data], 14, FALSE)</f>
        <v>6-Various</v>
      </c>
      <c r="AE320" t="e">
        <f>COUNTIF('[7]product-export'!$A$2:$A$379, A320)</f>
        <v>#VALUE!</v>
      </c>
    </row>
    <row r="321" spans="1:31" x14ac:dyDescent="0.25">
      <c r="A321" s="88" t="s">
        <v>104</v>
      </c>
      <c r="B321" s="38" t="str">
        <f>VLOOKUP($A321, [6]!ProductsTable[#Data], 2, FALSE)</f>
        <v>Electrical</v>
      </c>
      <c r="C321" s="8" t="s">
        <v>154</v>
      </c>
      <c r="D321" s="8" t="s">
        <v>186</v>
      </c>
      <c r="E321" s="38" t="str">
        <f>VLOOKUP($A321, [6]!ProductsTable[#Data], 3, FALSE)</f>
        <v>Voltex</v>
      </c>
      <c r="F321" s="38" t="str">
        <f>VLOOKUP($A321, [6]!ProductsTable[#Data], 4, FALSE)</f>
        <v>15A outlet</v>
      </c>
      <c r="G321" s="38" t="str">
        <f>VLOOKUP($A321, [6]!ProductsTable[#Data], 5, FALSE)</f>
        <v>C66SO315</v>
      </c>
      <c r="I321" s="41" t="e">
        <f>VLOOKUP($A321, [6]!ProductsTable[#Data], 7, FALSE)</f>
        <v>#REF!</v>
      </c>
      <c r="J321" s="39" t="e">
        <f>VLOOKUP($A321, [6]!ProductsTable[#Data], 8, FALSE)</f>
        <v>#REF!</v>
      </c>
      <c r="K321">
        <f>VLOOKUP($A321, [6]!ProductsTable[#Data], 9, FALSE)</f>
        <v>0</v>
      </c>
      <c r="L321" s="38">
        <f>VLOOKUP($A321, [6]!ProductsTable[#Data], 10, FALSE)</f>
        <v>0.5</v>
      </c>
      <c r="M321" s="38">
        <f>VLOOKUP($A321, [6]!ProductsTable[#Data], 11, FALSE)</f>
        <v>10</v>
      </c>
      <c r="N321" s="38">
        <f>VLOOKUP($A321, [6]!ProductsTable[#Data], 12, FALSE)</f>
        <v>10</v>
      </c>
      <c r="O321" s="38">
        <f>VLOOKUP($A321, [6]!ProductsTable[#Data], 13, FALSE)</f>
        <v>8.5</v>
      </c>
      <c r="R321" s="38" t="str">
        <f>VLOOKUP($A321, [6]!ProductsTable[#Data], 14, FALSE)</f>
        <v>6-Various</v>
      </c>
      <c r="AE321" t="e">
        <f>COUNTIF('[7]product-export'!$A$2:$A$379, A321)</f>
        <v>#VALUE!</v>
      </c>
    </row>
    <row r="322" spans="1:31" x14ac:dyDescent="0.25">
      <c r="A322" s="88" t="s">
        <v>105</v>
      </c>
      <c r="B322" s="38" t="str">
        <f>VLOOKUP($A322, [6]!ProductsTable[#Data], 2, FALSE)</f>
        <v>Electrical</v>
      </c>
      <c r="C322" s="8" t="s">
        <v>154</v>
      </c>
      <c r="D322" s="8" t="s">
        <v>186</v>
      </c>
      <c r="E322" s="38" t="str">
        <f>VLOOKUP($A322, [6]!ProductsTable[#Data], 3, FALSE)</f>
        <v>Voltex</v>
      </c>
      <c r="F322" s="38" t="str">
        <f>VLOOKUP($A322, [6]!ProductsTable[#Data], 4, FALSE)</f>
        <v>15A outlet</v>
      </c>
      <c r="G322" s="38" t="str">
        <f>VLOOKUP($A322, [6]!ProductsTable[#Data], 5, FALSE)</f>
        <v>C66SO332</v>
      </c>
      <c r="I322" s="41" t="e">
        <f>VLOOKUP($A322, [6]!ProductsTable[#Data], 7, FALSE)</f>
        <v>#REF!</v>
      </c>
      <c r="J322" s="39" t="e">
        <f>VLOOKUP($A322, [6]!ProductsTable[#Data], 8, FALSE)</f>
        <v>#REF!</v>
      </c>
      <c r="K322">
        <f>VLOOKUP($A322, [6]!ProductsTable[#Data], 9, FALSE)</f>
        <v>0</v>
      </c>
      <c r="L322" s="38">
        <f>VLOOKUP($A322, [6]!ProductsTable[#Data], 10, FALSE)</f>
        <v>0.5</v>
      </c>
      <c r="M322" s="38">
        <f>VLOOKUP($A322, [6]!ProductsTable[#Data], 11, FALSE)</f>
        <v>10</v>
      </c>
      <c r="N322" s="38">
        <f>VLOOKUP($A322, [6]!ProductsTable[#Data], 12, FALSE)</f>
        <v>10</v>
      </c>
      <c r="O322" s="38">
        <f>VLOOKUP($A322, [6]!ProductsTable[#Data], 13, FALSE)</f>
        <v>8.5</v>
      </c>
      <c r="R322" s="38" t="str">
        <f>VLOOKUP($A322, [6]!ProductsTable[#Data], 14, FALSE)</f>
        <v>6-Various</v>
      </c>
      <c r="AE322" t="e">
        <f>COUNTIF('[7]product-export'!$A$2:$A$379, A322)</f>
        <v>#VALUE!</v>
      </c>
    </row>
    <row r="323" spans="1:31" x14ac:dyDescent="0.25">
      <c r="A323" s="88" t="s">
        <v>106</v>
      </c>
      <c r="B323" s="38" t="str">
        <f>VLOOKUP($A323, [6]!ProductsTable[#Data], 2, FALSE)</f>
        <v>Electrical</v>
      </c>
      <c r="C323" s="8" t="s">
        <v>154</v>
      </c>
      <c r="D323" s="8" t="s">
        <v>186</v>
      </c>
      <c r="E323" s="38" t="str">
        <f>VLOOKUP($A323, [6]!ProductsTable[#Data], 3, FALSE)</f>
        <v>NHP</v>
      </c>
      <c r="F323" s="38" t="str">
        <f>VLOOKUP($A323, [6]!ProductsTable[#Data], 4, FALSE)</f>
        <v>10A isolator 2 pole AC</v>
      </c>
      <c r="G323" s="38" t="str">
        <f>VLOOKUP($A323, [6]!ProductsTable[#Data], 5, FALSE)</f>
        <v>ISOSW110PG</v>
      </c>
      <c r="I323" s="41" t="e">
        <f>VLOOKUP($A323, [6]!ProductsTable[#Data], 7, FALSE)</f>
        <v>#REF!</v>
      </c>
      <c r="J323" s="39" t="e">
        <f>VLOOKUP($A323, [6]!ProductsTable[#Data], 8, FALSE)</f>
        <v>#REF!</v>
      </c>
      <c r="K323">
        <f>VLOOKUP($A323, [6]!ProductsTable[#Data], 9, FALSE)</f>
        <v>0</v>
      </c>
      <c r="L323" s="38">
        <f>VLOOKUP($A323, [6]!ProductsTable[#Data], 10, FALSE)</f>
        <v>0.5</v>
      </c>
      <c r="M323" s="38">
        <f>VLOOKUP($A323, [6]!ProductsTable[#Data], 11, FALSE)</f>
        <v>10</v>
      </c>
      <c r="N323" s="38">
        <f>VLOOKUP($A323, [6]!ProductsTable[#Data], 12, FALSE)</f>
        <v>10</v>
      </c>
      <c r="O323" s="38">
        <f>VLOOKUP($A323, [6]!ProductsTable[#Data], 13, FALSE)</f>
        <v>8.5</v>
      </c>
      <c r="R323" s="38" t="str">
        <f>VLOOKUP($A323, [6]!ProductsTable[#Data], 14, FALSE)</f>
        <v>3-Tradezone</v>
      </c>
      <c r="AE323" t="e">
        <f>COUNTIF('[7]product-export'!$A$2:$A$379, A323)</f>
        <v>#VALUE!</v>
      </c>
    </row>
    <row r="324" spans="1:31" x14ac:dyDescent="0.25">
      <c r="A324" s="76" t="s">
        <v>567</v>
      </c>
      <c r="B324" s="38" t="str">
        <f>VLOOKUP($A324, [6]!ProductsTable[#Data], 2, FALSE)</f>
        <v>Inverter-Chargers</v>
      </c>
      <c r="C324" s="8" t="s">
        <v>217</v>
      </c>
      <c r="D324" s="8" t="s">
        <v>171</v>
      </c>
      <c r="E324" s="38" t="str">
        <f>VLOOKUP($A324, [6]!ProductsTable[#Data], 3, FALSE)</f>
        <v>Victron</v>
      </c>
      <c r="F324" s="38" t="str">
        <f>VLOOKUP($A324, [6]!ProductsTable[#Data], 4, FALSE)</f>
        <v>Multiplus-II GX 48/5000/70-50</v>
      </c>
      <c r="G324" s="38" t="str">
        <f>VLOOKUP($A324, [6]!ProductsTable[#Data], 5, FALSE)</f>
        <v>PMP482506000</v>
      </c>
      <c r="I324" s="41" t="e">
        <f>VLOOKUP($A324, [6]!ProductsTable[#Data], 7, FALSE)</f>
        <v>#REF!</v>
      </c>
      <c r="J324" s="39" t="e">
        <f>VLOOKUP($A324, [6]!ProductsTable[#Data], 8, FALSE)</f>
        <v>#REF!</v>
      </c>
      <c r="K324">
        <f>VLOOKUP($A324, [6]!ProductsTable[#Data], 9, FALSE)</f>
        <v>0</v>
      </c>
      <c r="L324" s="38">
        <f>VLOOKUP($A324, [6]!ProductsTable[#Data], 10, FALSE)</f>
        <v>26</v>
      </c>
      <c r="M324" s="38">
        <f>VLOOKUP($A324, [6]!ProductsTable[#Data], 11, FALSE)</f>
        <v>50.6</v>
      </c>
      <c r="N324" s="38">
        <f>VLOOKUP($A324, [6]!ProductsTable[#Data], 12, FALSE)</f>
        <v>27.5</v>
      </c>
      <c r="O324" s="38">
        <f>VLOOKUP($A324, [6]!ProductsTable[#Data], 13, FALSE)</f>
        <v>14.7</v>
      </c>
      <c r="R324" s="38" t="str">
        <f>VLOOKUP($A324, [6]!ProductsTable[#Data], 14, FALSE)</f>
        <v>1-Victron</v>
      </c>
      <c r="AE324" t="e">
        <f>COUNTIF('[7]product-export'!$A$2:$A$379, A324)</f>
        <v>#VALUE!</v>
      </c>
    </row>
    <row r="325" spans="1:31" x14ac:dyDescent="0.25">
      <c r="A325" s="88" t="s">
        <v>107</v>
      </c>
      <c r="B325" s="38" t="str">
        <f>VLOOKUP($A325, [6]!ProductsTable[#Data], 2, FALSE)</f>
        <v>Electrical</v>
      </c>
      <c r="C325" s="8" t="s">
        <v>154</v>
      </c>
      <c r="D325" s="8" t="s">
        <v>186</v>
      </c>
      <c r="E325" s="38" t="str">
        <f>VLOOKUP($A325, [6]!ProductsTable[#Data], 3, FALSE)</f>
        <v>NHP</v>
      </c>
      <c r="F325" s="38" t="str">
        <f>VLOOKUP($A325, [6]!ProductsTable[#Data], 4, FALSE)</f>
        <v>Isolator 40A 2 Pole IP65</v>
      </c>
      <c r="G325" s="38" t="str">
        <f>VLOOKUP($A325, [6]!ProductsTable[#Data], 5, FALSE)</f>
        <v>NL140L</v>
      </c>
      <c r="H325" s="75"/>
      <c r="I325" s="41" t="e">
        <f>VLOOKUP($A325, [6]!ProductsTable[#Data], 7, FALSE)</f>
        <v>#REF!</v>
      </c>
      <c r="J325" s="39" t="e">
        <f>VLOOKUP($A325, [6]!ProductsTable[#Data], 8, FALSE)</f>
        <v>#REF!</v>
      </c>
      <c r="K325">
        <f>VLOOKUP($A325, [6]!ProductsTable[#Data], 9, FALSE)</f>
        <v>0</v>
      </c>
      <c r="L325" s="38">
        <f>VLOOKUP($A325, [6]!ProductsTable[#Data], 10, FALSE)</f>
        <v>0</v>
      </c>
      <c r="M325" s="38">
        <f>VLOOKUP($A325, [6]!ProductsTable[#Data], 11, FALSE)</f>
        <v>0</v>
      </c>
      <c r="N325" s="38">
        <f>VLOOKUP($A325, [6]!ProductsTable[#Data], 12, FALSE)</f>
        <v>0</v>
      </c>
      <c r="O325" s="38">
        <f>VLOOKUP($A325, [6]!ProductsTable[#Data], 13, FALSE)</f>
        <v>0</v>
      </c>
      <c r="P325" s="75"/>
      <c r="Q325" s="75"/>
      <c r="R325" s="38" t="str">
        <f>VLOOKUP($A325, [6]!ProductsTable[#Data], 14, FALSE)</f>
        <v>3-Tradezone</v>
      </c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t="e">
        <f>COUNTIF('[7]product-export'!$A$2:$A$379, A325)</f>
        <v>#VALUE!</v>
      </c>
    </row>
    <row r="326" spans="1:31" x14ac:dyDescent="0.25">
      <c r="A326" s="76" t="s">
        <v>559</v>
      </c>
      <c r="B326" s="38" t="str">
        <f>VLOOKUP($A326, [6]!ProductsTable[#Data], 2, FALSE)</f>
        <v>Solar Controllers</v>
      </c>
      <c r="C326" s="8" t="s">
        <v>217</v>
      </c>
      <c r="D326" s="8" t="s">
        <v>167</v>
      </c>
      <c r="E326" s="38" t="str">
        <f>VLOOKUP($A326, [6]!ProductsTable[#Data], 3, FALSE)</f>
        <v>Victron</v>
      </c>
      <c r="F326" s="38" t="str">
        <f>VLOOKUP($A326, [6]!ProductsTable[#Data], 4, FALSE)</f>
        <v>SmarSolar MPPT 250/85 VE.Can Tr</v>
      </c>
      <c r="G326" s="38" t="str">
        <f>VLOOKUP($A326, [6]!ProductsTable[#Data], 5, FALSE)</f>
        <v>SCC125085411</v>
      </c>
      <c r="I326" s="41" t="e">
        <f>VLOOKUP($A326, [6]!ProductsTable[#Data], 7, FALSE)</f>
        <v>#REF!</v>
      </c>
      <c r="J326" s="39" t="e">
        <f>VLOOKUP($A326, [6]!ProductsTable[#Data], 8, FALSE)</f>
        <v>#REF!</v>
      </c>
      <c r="K326">
        <f>VLOOKUP($A326, [6]!ProductsTable[#Data], 9, FALSE)</f>
        <v>0</v>
      </c>
      <c r="L326" s="38">
        <f>VLOOKUP($A326, [6]!ProductsTable[#Data], 10, FALSE)</f>
        <v>5.5</v>
      </c>
      <c r="M326" s="38">
        <f>VLOOKUP($A326, [6]!ProductsTable[#Data], 11, FALSE)</f>
        <v>33</v>
      </c>
      <c r="N326" s="38">
        <f>VLOOKUP($A326, [6]!ProductsTable[#Data], 12, FALSE)</f>
        <v>16</v>
      </c>
      <c r="O326" s="38">
        <f>VLOOKUP($A326, [6]!ProductsTable[#Data], 13, FALSE)</f>
        <v>29</v>
      </c>
      <c r="R326" s="38" t="str">
        <f>VLOOKUP($A326, [6]!ProductsTable[#Data], 14, FALSE)</f>
        <v>1-Victron</v>
      </c>
      <c r="AE326" t="e">
        <f>COUNTIF('[7]product-export'!$A$2:$A$379, A326)</f>
        <v>#VALUE!</v>
      </c>
    </row>
    <row r="327" spans="1:31" x14ac:dyDescent="0.25">
      <c r="A327" s="76" t="s">
        <v>529</v>
      </c>
      <c r="B327" s="38" t="str">
        <f>VLOOKUP($A327, [6]!ProductsTable[#Data], 2, FALSE)</f>
        <v>Solar Controllers</v>
      </c>
      <c r="C327" s="8" t="s">
        <v>217</v>
      </c>
      <c r="D327" s="8" t="s">
        <v>167</v>
      </c>
      <c r="E327" s="38" t="str">
        <f>VLOOKUP($A327, [6]!ProductsTable[#Data], 3, FALSE)</f>
        <v>Victron</v>
      </c>
      <c r="F327" s="38" t="str">
        <f>VLOOKUP($A327, [6]!ProductsTable[#Data], 4, FALSE)</f>
        <v>SmarSolar MPPT 250/70 VE.Can MC4</v>
      </c>
      <c r="G327" s="38" t="str">
        <f>VLOOKUP($A327, [6]!ProductsTable[#Data], 5, FALSE)</f>
        <v>SCC125070421</v>
      </c>
      <c r="I327" s="41" t="e">
        <f>VLOOKUP($A327, [6]!ProductsTable[#Data], 7, FALSE)</f>
        <v>#REF!</v>
      </c>
      <c r="J327" s="39" t="e">
        <f>VLOOKUP($A327, [6]!ProductsTable[#Data], 8, FALSE)</f>
        <v>#REF!</v>
      </c>
      <c r="K327">
        <f>VLOOKUP($A327, [6]!ProductsTable[#Data], 9, FALSE)</f>
        <v>0</v>
      </c>
      <c r="L327" s="38">
        <f>VLOOKUP($A327, [6]!ProductsTable[#Data], 10, FALSE)</f>
        <v>5.5</v>
      </c>
      <c r="M327" s="38">
        <f>VLOOKUP($A327, [6]!ProductsTable[#Data], 11, FALSE)</f>
        <v>33</v>
      </c>
      <c r="N327" s="38">
        <f>VLOOKUP($A327, [6]!ProductsTable[#Data], 12, FALSE)</f>
        <v>16</v>
      </c>
      <c r="O327" s="38">
        <f>VLOOKUP($A327, [6]!ProductsTable[#Data], 13, FALSE)</f>
        <v>29</v>
      </c>
      <c r="R327" s="38" t="str">
        <f>VLOOKUP($A327, [6]!ProductsTable[#Data], 14, FALSE)</f>
        <v>1-Victron</v>
      </c>
      <c r="AE327" t="e">
        <f>COUNTIF('[7]product-export'!$A$2:$A$379, A327)</f>
        <v>#VALUE!</v>
      </c>
    </row>
    <row r="328" spans="1:31" x14ac:dyDescent="0.25">
      <c r="A328" s="76" t="s">
        <v>560</v>
      </c>
      <c r="B328" s="38" t="str">
        <f>VLOOKUP($A328, [6]!ProductsTable[#Data], 2, FALSE)</f>
        <v>Solar Controllers</v>
      </c>
      <c r="C328" s="8" t="s">
        <v>217</v>
      </c>
      <c r="D328" s="8" t="s">
        <v>167</v>
      </c>
      <c r="E328" s="38" t="str">
        <f>VLOOKUP($A328, [6]!ProductsTable[#Data], 3, FALSE)</f>
        <v>Victron</v>
      </c>
      <c r="F328" s="38" t="str">
        <f>VLOOKUP($A328, [6]!ProductsTable[#Data], 4, FALSE)</f>
        <v>SmarSolar MPPT 250/85 VE.Can MC4</v>
      </c>
      <c r="G328" s="38" t="str">
        <f>VLOOKUP($A328, [6]!ProductsTable[#Data], 5, FALSE)</f>
        <v>SCC125085511</v>
      </c>
      <c r="I328" s="41" t="e">
        <f>VLOOKUP($A328, [6]!ProductsTable[#Data], 7, FALSE)</f>
        <v>#REF!</v>
      </c>
      <c r="J328" s="39" t="e">
        <f>VLOOKUP($A328, [6]!ProductsTable[#Data], 8, FALSE)</f>
        <v>#REF!</v>
      </c>
      <c r="K328">
        <f>VLOOKUP($A328, [6]!ProductsTable[#Data], 9, FALSE)</f>
        <v>0</v>
      </c>
      <c r="L328" s="38">
        <f>VLOOKUP($A328, [6]!ProductsTable[#Data], 10, FALSE)</f>
        <v>5.5</v>
      </c>
      <c r="M328" s="38">
        <f>VLOOKUP($A328, [6]!ProductsTable[#Data], 11, FALSE)</f>
        <v>33</v>
      </c>
      <c r="N328" s="38">
        <f>VLOOKUP($A328, [6]!ProductsTable[#Data], 12, FALSE)</f>
        <v>16</v>
      </c>
      <c r="O328" s="38">
        <f>VLOOKUP($A328, [6]!ProductsTable[#Data], 13, FALSE)</f>
        <v>29</v>
      </c>
      <c r="R328" s="38" t="str">
        <f>VLOOKUP($A328, [6]!ProductsTable[#Data], 14, FALSE)</f>
        <v>1-Victron</v>
      </c>
      <c r="AE328" t="e">
        <f>COUNTIF('[7]product-export'!$A$2:$A$379, A328)</f>
        <v>#VALUE!</v>
      </c>
    </row>
    <row r="329" spans="1:31" x14ac:dyDescent="0.25">
      <c r="A329" s="88" t="s">
        <v>108</v>
      </c>
      <c r="B329" s="38" t="str">
        <f>VLOOKUP($A329, [6]!ProductsTable[#Data], 2, FALSE)</f>
        <v>Electrical</v>
      </c>
      <c r="C329" s="8" t="s">
        <v>154</v>
      </c>
      <c r="D329" s="8" t="s">
        <v>186</v>
      </c>
      <c r="E329" s="38" t="str">
        <f>VLOOKUP($A329, [6]!ProductsTable[#Data], 3, FALSE)</f>
        <v>NHP</v>
      </c>
      <c r="F329" s="38" t="str">
        <f>VLOOKUP($A329, [6]!ProductsTable[#Data], 4, FALSE)</f>
        <v>Relay 16A 240v AC coil</v>
      </c>
      <c r="G329" s="38" t="str">
        <f>VLOOKUP($A329, [6]!ProductsTable[#Data], 5, FALSE)</f>
        <v>46610054240VAC</v>
      </c>
      <c r="I329" s="41" t="e">
        <f>VLOOKUP($A329, [6]!ProductsTable[#Data], 7, FALSE)</f>
        <v>#REF!</v>
      </c>
      <c r="J329" s="39" t="e">
        <f>VLOOKUP($A329, [6]!ProductsTable[#Data], 8, FALSE)</f>
        <v>#REF!</v>
      </c>
      <c r="K329">
        <f>VLOOKUP($A329, [6]!ProductsTable[#Data], 9, FALSE)</f>
        <v>0</v>
      </c>
      <c r="L329" s="38">
        <f>VLOOKUP($A329, [6]!ProductsTable[#Data], 10, FALSE)</f>
        <v>0.02</v>
      </c>
      <c r="M329" s="38">
        <f>VLOOKUP($A329, [6]!ProductsTable[#Data], 11, FALSE)</f>
        <v>1.24</v>
      </c>
      <c r="N329" s="38">
        <f>VLOOKUP($A329, [6]!ProductsTable[#Data], 12, FALSE)</f>
        <v>2.9</v>
      </c>
      <c r="O329" s="38">
        <f>VLOOKUP($A329, [6]!ProductsTable[#Data], 13, FALSE)</f>
        <v>3.28</v>
      </c>
      <c r="R329" s="38" t="str">
        <f>VLOOKUP($A329, [6]!ProductsTable[#Data], 14, FALSE)</f>
        <v>3-Tradezone</v>
      </c>
      <c r="AE329" t="e">
        <f>COUNTIF('[7]product-export'!$A$2:$A$379, A329)</f>
        <v>#VALUE!</v>
      </c>
    </row>
    <row r="330" spans="1:31" x14ac:dyDescent="0.25">
      <c r="A330" s="76" t="s">
        <v>369</v>
      </c>
      <c r="B330" s="38" t="str">
        <f>VLOOKUP($A330, [6]!ProductsTable[#Data], 2, FALSE)</f>
        <v>Solar Controllers</v>
      </c>
      <c r="C330" s="8" t="s">
        <v>217</v>
      </c>
      <c r="D330" s="8" t="s">
        <v>167</v>
      </c>
      <c r="E330" s="38" t="str">
        <f>VLOOKUP($A330, [6]!ProductsTable[#Data], 3, FALSE)</f>
        <v>Victron</v>
      </c>
      <c r="F330" s="38" t="str">
        <f>VLOOKUP($A330, [6]!ProductsTable[#Data], 4, FALSE)</f>
        <v>Smart Solar MPPT 250/100-MC4 VE.Can</v>
      </c>
      <c r="G330" s="38" t="str">
        <f>VLOOKUP($A330, [6]!ProductsTable[#Data], 5, FALSE)</f>
        <v>SCC125110412</v>
      </c>
      <c r="I330" s="41" t="e">
        <f>VLOOKUP($A330, [6]!ProductsTable[#Data], 7, FALSE)</f>
        <v>#REF!</v>
      </c>
      <c r="J330" s="39" t="e">
        <f>VLOOKUP($A330, [6]!ProductsTable[#Data], 8, FALSE)</f>
        <v>#REF!</v>
      </c>
      <c r="K330">
        <f>VLOOKUP($A330, [6]!ProductsTable[#Data], 9, FALSE)</f>
        <v>0</v>
      </c>
      <c r="L330" s="38">
        <f>VLOOKUP($A330, [6]!ProductsTable[#Data], 10, FALSE)</f>
        <v>4.5</v>
      </c>
      <c r="M330" s="38">
        <f>VLOOKUP($A330, [6]!ProductsTable[#Data], 11, FALSE)</f>
        <v>29.5</v>
      </c>
      <c r="N330" s="38">
        <f>VLOOKUP($A330, [6]!ProductsTable[#Data], 12, FALSE)</f>
        <v>2.16</v>
      </c>
      <c r="O330" s="38">
        <f>VLOOKUP($A330, [6]!ProductsTable[#Data], 13, FALSE)</f>
        <v>11</v>
      </c>
      <c r="R330" s="38" t="str">
        <f>VLOOKUP($A330, [6]!ProductsTable[#Data], 14, FALSE)</f>
        <v>1-Victron</v>
      </c>
      <c r="AE330" t="e">
        <f>COUNTIF('[7]product-export'!$A$2:$A$379, A330)</f>
        <v>#VALUE!</v>
      </c>
    </row>
    <row r="331" spans="1:31" x14ac:dyDescent="0.25">
      <c r="A331" s="88" t="s">
        <v>109</v>
      </c>
      <c r="B331" s="38" t="str">
        <f>VLOOKUP($A331, [6]!ProductsTable[#Data], 2, FALSE)</f>
        <v>Electrical</v>
      </c>
      <c r="C331" s="8" t="s">
        <v>154</v>
      </c>
      <c r="D331" s="8" t="s">
        <v>178</v>
      </c>
      <c r="E331" s="38" t="str">
        <f>VLOOKUP($A331, [6]!ProductsTable[#Data], 3, FALSE)</f>
        <v>NHP</v>
      </c>
      <c r="F331" s="38" t="str">
        <f>VLOOKUP($A331, [6]!ProductsTable[#Data], 4, FALSE)</f>
        <v>Relay 16A 12v DC coil</v>
      </c>
      <c r="G331" s="38" t="str">
        <f>VLOOKUP($A331, [6]!ProductsTable[#Data], 5, FALSE)</f>
        <v>4661007412VDC</v>
      </c>
      <c r="I331" s="41" t="e">
        <f>VLOOKUP($A331, [6]!ProductsTable[#Data], 7, FALSE)</f>
        <v>#REF!</v>
      </c>
      <c r="J331" s="39" t="e">
        <f>VLOOKUP($A331, [6]!ProductsTable[#Data], 8, FALSE)</f>
        <v>#REF!</v>
      </c>
      <c r="K331">
        <f>VLOOKUP($A331, [6]!ProductsTable[#Data], 9, FALSE)</f>
        <v>0</v>
      </c>
      <c r="L331" s="38">
        <f>VLOOKUP($A331, [6]!ProductsTable[#Data], 10, FALSE)</f>
        <v>0</v>
      </c>
      <c r="M331" s="38">
        <f>VLOOKUP($A331, [6]!ProductsTable[#Data], 11, FALSE)</f>
        <v>0</v>
      </c>
      <c r="N331" s="38">
        <f>VLOOKUP($A331, [6]!ProductsTable[#Data], 12, FALSE)</f>
        <v>0</v>
      </c>
      <c r="O331" s="38">
        <f>VLOOKUP($A331, [6]!ProductsTable[#Data], 13, FALSE)</f>
        <v>0</v>
      </c>
      <c r="R331" s="38" t="str">
        <f>VLOOKUP($A331, [6]!ProductsTable[#Data], 14, FALSE)</f>
        <v>3-Tradezone</v>
      </c>
      <c r="AE331" t="e">
        <f>COUNTIF('[7]product-export'!$A$2:$A$379, A331)</f>
        <v>#VALUE!</v>
      </c>
    </row>
    <row r="332" spans="1:31" x14ac:dyDescent="0.25">
      <c r="A332" s="88" t="s">
        <v>82</v>
      </c>
      <c r="B332" s="38" t="str">
        <f>VLOOKUP($A332, [6]!ProductsTable[#Data], 2, FALSE)</f>
        <v>Solar Controllers</v>
      </c>
      <c r="C332" s="8" t="s">
        <v>152</v>
      </c>
      <c r="D332" s="8" t="s">
        <v>167</v>
      </c>
      <c r="E332" s="38" t="str">
        <f>VLOOKUP($A332, [6]!ProductsTable[#Data], 3, FALSE)</f>
        <v>Victron</v>
      </c>
      <c r="F332" s="38" t="str">
        <f>VLOOKUP($A332, [6]!ProductsTable[#Data], 4, FALSE)</f>
        <v>SmartSolar MPPT 150/45</v>
      </c>
      <c r="G332" s="38" t="str">
        <f>VLOOKUP($A332, [6]!ProductsTable[#Data], 5, FALSE)</f>
        <v>SCC115045222</v>
      </c>
      <c r="I332" s="41" t="e">
        <f>VLOOKUP($A332, [6]!ProductsTable[#Data], 7, FALSE)</f>
        <v>#REF!</v>
      </c>
      <c r="J332" s="39" t="e">
        <f>VLOOKUP($A332, [6]!ProductsTable[#Data], 8, FALSE)</f>
        <v>#REF!</v>
      </c>
      <c r="K332">
        <f>VLOOKUP($A332, [6]!ProductsTable[#Data], 9, FALSE)</f>
        <v>0</v>
      </c>
      <c r="L332" s="38">
        <f>VLOOKUP($A332, [6]!ProductsTable[#Data], 10, FALSE)</f>
        <v>3</v>
      </c>
      <c r="M332" s="38">
        <f>VLOOKUP($A332, [6]!ProductsTable[#Data], 11, FALSE)</f>
        <v>25</v>
      </c>
      <c r="N332" s="38">
        <f>VLOOKUP($A332, [6]!ProductsTable[#Data], 12, FALSE)</f>
        <v>20</v>
      </c>
      <c r="O332" s="38">
        <f>VLOOKUP($A332, [6]!ProductsTable[#Data], 13, FALSE)</f>
        <v>9.5</v>
      </c>
      <c r="R332" s="38" t="str">
        <f>VLOOKUP($A332, [6]!ProductsTable[#Data], 14, FALSE)</f>
        <v>1-Victron</v>
      </c>
      <c r="AE332" t="e">
        <f>COUNTIF('[7]product-export'!$A$2:$A$379, A332)</f>
        <v>#VALUE!</v>
      </c>
    </row>
    <row r="333" spans="1:31" x14ac:dyDescent="0.25">
      <c r="A333" s="88" t="s">
        <v>110</v>
      </c>
      <c r="B333" s="38" t="str">
        <f>VLOOKUP($A333, [6]!ProductsTable[#Data], 2, FALSE)</f>
        <v>Electrical</v>
      </c>
      <c r="C333" s="8" t="s">
        <v>154</v>
      </c>
      <c r="D333" s="8" t="s">
        <v>178</v>
      </c>
      <c r="E333" s="38" t="str">
        <f>VLOOKUP($A333, [6]!ProductsTable[#Data], 3, FALSE)</f>
        <v>NHP</v>
      </c>
      <c r="F333" s="38" t="str">
        <f>VLOOKUP($A333, [6]!ProductsTable[#Data], 4, FALSE)</f>
        <v>Finder Relay Base 16A</v>
      </c>
      <c r="G333" s="38">
        <f>VLOOKUP($A333, [6]!ProductsTable[#Data], 5, FALSE)</f>
        <v>9701</v>
      </c>
      <c r="I333" s="41" t="e">
        <f>VLOOKUP($A333, [6]!ProductsTable[#Data], 7, FALSE)</f>
        <v>#REF!</v>
      </c>
      <c r="J333" s="39" t="e">
        <f>VLOOKUP($A333, [6]!ProductsTable[#Data], 8, FALSE)</f>
        <v>#REF!</v>
      </c>
      <c r="K333">
        <f>VLOOKUP($A333, [6]!ProductsTable[#Data], 9, FALSE)</f>
        <v>0</v>
      </c>
      <c r="L333" s="38">
        <f>VLOOKUP($A333, [6]!ProductsTable[#Data], 10, FALSE)</f>
        <v>0.01</v>
      </c>
      <c r="M333" s="38">
        <f>VLOOKUP($A333, [6]!ProductsTable[#Data], 11, FALSE)</f>
        <v>1.58</v>
      </c>
      <c r="N333" s="38">
        <f>VLOOKUP($A333, [6]!ProductsTable[#Data], 12, FALSE)</f>
        <v>8.2899999999999991</v>
      </c>
      <c r="O333" s="38">
        <f>VLOOKUP($A333, [6]!ProductsTable[#Data], 13, FALSE)</f>
        <v>6.49</v>
      </c>
      <c r="R333" s="38" t="str">
        <f>VLOOKUP($A333, [6]!ProductsTable[#Data], 14, FALSE)</f>
        <v>3-Tradezone</v>
      </c>
      <c r="AE333" t="e">
        <f>COUNTIF('[7]product-export'!$A$2:$A$379, A333)</f>
        <v>#VALUE!</v>
      </c>
    </row>
    <row r="334" spans="1:31" x14ac:dyDescent="0.25">
      <c r="A334" s="88" t="s">
        <v>111</v>
      </c>
      <c r="B334" s="38" t="str">
        <f>VLOOKUP($A334, [6]!ProductsTable[#Data], 2, FALSE)</f>
        <v>Electrical</v>
      </c>
      <c r="C334" s="8" t="s">
        <v>154</v>
      </c>
      <c r="D334" s="8" t="s">
        <v>192</v>
      </c>
      <c r="E334" s="38" t="str">
        <f>VLOOKUP($A334, [6]!ProductsTable[#Data], 3, FALSE)</f>
        <v>Netec</v>
      </c>
      <c r="F334" s="38" t="str">
        <f>VLOOKUP($A334, [6]!ProductsTable[#Data], 4, FALSE)</f>
        <v>Earth link 100A 5 Pole</v>
      </c>
      <c r="G334" s="38" t="str">
        <f>VLOOKUP($A334, [6]!ProductsTable[#Data], 5, FALSE)</f>
        <v>AN100S-5-BAR</v>
      </c>
      <c r="I334" s="41" t="e">
        <f>VLOOKUP($A334, [6]!ProductsTable[#Data], 7, FALSE)</f>
        <v>#REF!</v>
      </c>
      <c r="J334" s="39" t="e">
        <f>VLOOKUP($A334, [6]!ProductsTable[#Data], 8, FALSE)</f>
        <v>#REF!</v>
      </c>
      <c r="K334">
        <f>VLOOKUP($A334, [6]!ProductsTable[#Data], 9, FALSE)</f>
        <v>0</v>
      </c>
      <c r="L334" s="38">
        <f>VLOOKUP($A334, [6]!ProductsTable[#Data], 10, FALSE)</f>
        <v>0</v>
      </c>
      <c r="M334" s="38">
        <f>VLOOKUP($A334, [6]!ProductsTable[#Data], 11, FALSE)</f>
        <v>0</v>
      </c>
      <c r="N334" s="38">
        <f>VLOOKUP($A334, [6]!ProductsTable[#Data], 12, FALSE)</f>
        <v>0</v>
      </c>
      <c r="O334" s="38">
        <f>VLOOKUP($A334, [6]!ProductsTable[#Data], 13, FALSE)</f>
        <v>0</v>
      </c>
      <c r="R334" s="38" t="str">
        <f>VLOOKUP($A334, [6]!ProductsTable[#Data], 14, FALSE)</f>
        <v>6-Various</v>
      </c>
      <c r="AE334" t="e">
        <f>COUNTIF('[7]product-export'!$A$2:$A$379, A334)</f>
        <v>#VALUE!</v>
      </c>
    </row>
    <row r="335" spans="1:31" x14ac:dyDescent="0.25">
      <c r="A335" s="88" t="s">
        <v>112</v>
      </c>
      <c r="B335" s="38" t="str">
        <f>VLOOKUP($A335, [6]!ProductsTable[#Data], 2, FALSE)</f>
        <v>Electrical</v>
      </c>
      <c r="C335" s="8" t="s">
        <v>154</v>
      </c>
      <c r="D335" s="8" t="s">
        <v>186</v>
      </c>
      <c r="E335" s="38" t="str">
        <f>VLOOKUP($A335, [6]!ProductsTable[#Data], 3, FALSE)</f>
        <v>NHP</v>
      </c>
      <c r="F335" s="38" t="str">
        <f>VLOOKUP($A335, [6]!ProductsTable[#Data], 4, FALSE)</f>
        <v>MCB 16A 2 Pole 6KA</v>
      </c>
      <c r="G335" s="38" t="str">
        <f>VLOOKUP($A335, [6]!ProductsTable[#Data], 5, FALSE)</f>
        <v>MOD6216</v>
      </c>
      <c r="I335" s="41" t="e">
        <f>VLOOKUP($A335, [6]!ProductsTable[#Data], 7, FALSE)</f>
        <v>#REF!</v>
      </c>
      <c r="J335" s="39" t="e">
        <f>VLOOKUP($A335, [6]!ProductsTable[#Data], 8, FALSE)</f>
        <v>#REF!</v>
      </c>
      <c r="K335">
        <f>VLOOKUP($A335, [6]!ProductsTable[#Data], 9, FALSE)</f>
        <v>0</v>
      </c>
      <c r="L335" s="38">
        <f>VLOOKUP($A335, [6]!ProductsTable[#Data], 10, FALSE)</f>
        <v>0.24</v>
      </c>
      <c r="M335" s="38">
        <f>VLOOKUP($A335, [6]!ProductsTable[#Data], 11, FALSE)</f>
        <v>8.6</v>
      </c>
      <c r="N335" s="38">
        <f>VLOOKUP($A335, [6]!ProductsTable[#Data], 12, FALSE)</f>
        <v>3.6</v>
      </c>
      <c r="O335" s="38">
        <f>VLOOKUP($A335, [6]!ProductsTable[#Data], 13, FALSE)</f>
        <v>7.6</v>
      </c>
      <c r="R335" s="38" t="str">
        <f>VLOOKUP($A335, [6]!ProductsTable[#Data], 14, FALSE)</f>
        <v>3-Tradezone</v>
      </c>
      <c r="AE335" t="e">
        <f>COUNTIF('[7]product-export'!$A$2:$A$379, A335)</f>
        <v>#VALUE!</v>
      </c>
    </row>
    <row r="336" spans="1:31" x14ac:dyDescent="0.25">
      <c r="A336" s="76" t="s">
        <v>498</v>
      </c>
      <c r="B336" s="38" t="str">
        <f>VLOOKUP($A336, [6]!ProductsTable[#Data], 2, FALSE)</f>
        <v>Inverter-Chargers</v>
      </c>
      <c r="C336" s="8" t="s">
        <v>217</v>
      </c>
      <c r="D336" s="8" t="s">
        <v>171</v>
      </c>
      <c r="E336" s="38" t="str">
        <f>VLOOKUP($A336, [6]!ProductsTable[#Data], 3, FALSE)</f>
        <v>Selectronic</v>
      </c>
      <c r="F336" s="38" t="str">
        <f>VLOOKUP($A336, [6]!ProductsTable[#Data], 4, FALSE)</f>
        <v>SP Pro 24V/3.0KW Series II</v>
      </c>
      <c r="G336" s="38" t="str">
        <f>VLOOKUP($A336, [6]!ProductsTable[#Data], 5, FALSE)</f>
        <v>EC.Vaulta-5KWh</v>
      </c>
      <c r="I336" s="41" t="e">
        <f>VLOOKUP($A336, [6]!ProductsTable[#Data], 7, FALSE)</f>
        <v>#REF!</v>
      </c>
      <c r="J336" s="39" t="e">
        <f>VLOOKUP($A336, [6]!ProductsTable[#Data], 8, FALSE)</f>
        <v>#REF!</v>
      </c>
      <c r="K336">
        <f>VLOOKUP($A336, [6]!ProductsTable[#Data], 9, FALSE)</f>
        <v>0</v>
      </c>
      <c r="L336" s="38">
        <f>VLOOKUP($A336, [6]!ProductsTable[#Data], 10, FALSE)</f>
        <v>47</v>
      </c>
      <c r="M336" s="38">
        <f>VLOOKUP($A336, [6]!ProductsTable[#Data], 11, FALSE)</f>
        <v>13.5</v>
      </c>
      <c r="N336" s="38">
        <f>VLOOKUP($A336, [6]!ProductsTable[#Data], 12, FALSE)</f>
        <v>35</v>
      </c>
      <c r="O336" s="38">
        <f>VLOOKUP($A336, [6]!ProductsTable[#Data], 13, FALSE)</f>
        <v>44</v>
      </c>
      <c r="R336" s="38" t="str">
        <f>VLOOKUP($A336, [6]!ProductsTable[#Data], 14, FALSE)</f>
        <v>2-Krannich</v>
      </c>
      <c r="AE336" t="e">
        <f>COUNTIF('[7]product-export'!$A$2:$A$379, A336)</f>
        <v>#VALUE!</v>
      </c>
    </row>
    <row r="337" spans="1:31" x14ac:dyDescent="0.25">
      <c r="A337" s="76" t="s">
        <v>499</v>
      </c>
      <c r="B337" s="38" t="str">
        <f>VLOOKUP($A337, [6]!ProductsTable[#Data], 2, FALSE)</f>
        <v>Inverter-Chargers</v>
      </c>
      <c r="C337" s="8" t="s">
        <v>217</v>
      </c>
      <c r="D337" s="8" t="s">
        <v>171</v>
      </c>
      <c r="E337" s="38" t="str">
        <f>VLOOKUP($A337, [6]!ProductsTable[#Data], 3, FALSE)</f>
        <v>Selectronic</v>
      </c>
      <c r="F337" s="38" t="str">
        <f>VLOOKUP($A337, [6]!ProductsTable[#Data], 4, FALSE)</f>
        <v>SP Pro 24V/4.5KW Series II</v>
      </c>
      <c r="G337" s="38" t="str">
        <f>VLOOKUP($A337, [6]!ProductsTable[#Data], 5, FALSE)</f>
        <v>SPMC241-AU</v>
      </c>
      <c r="I337" s="41" t="e">
        <f>VLOOKUP($A337, [6]!ProductsTable[#Data], 7, FALSE)</f>
        <v>#REF!</v>
      </c>
      <c r="J337" s="39" t="e">
        <f>VLOOKUP($A337, [6]!ProductsTable[#Data], 8, FALSE)</f>
        <v>#REF!</v>
      </c>
      <c r="K337">
        <f>VLOOKUP($A337, [6]!ProductsTable[#Data], 9, FALSE)</f>
        <v>0</v>
      </c>
      <c r="L337" s="38">
        <f>VLOOKUP($A337, [6]!ProductsTable[#Data], 10, FALSE)</f>
        <v>39</v>
      </c>
      <c r="M337" s="38">
        <f>VLOOKUP($A337, [6]!ProductsTable[#Data], 11, FALSE)</f>
        <v>69</v>
      </c>
      <c r="N337" s="38">
        <f>VLOOKUP($A337, [6]!ProductsTable[#Data], 12, FALSE)</f>
        <v>37.5</v>
      </c>
      <c r="O337" s="38">
        <f>VLOOKUP($A337, [6]!ProductsTable[#Data], 13, FALSE)</f>
        <v>22</v>
      </c>
      <c r="R337" s="38" t="str">
        <f>VLOOKUP($A337, [6]!ProductsTable[#Data], 14, FALSE)</f>
        <v>2-Krannich</v>
      </c>
      <c r="AE337" t="e">
        <f>COUNTIF('[7]product-export'!$A$2:$A$379, A337)</f>
        <v>#VALUE!</v>
      </c>
    </row>
    <row r="338" spans="1:31" x14ac:dyDescent="0.25">
      <c r="A338" s="76" t="s">
        <v>500</v>
      </c>
      <c r="B338" s="38" t="str">
        <f>VLOOKUP($A338, [6]!ProductsTable[#Data], 2, FALSE)</f>
        <v>Inverter-Chargers</v>
      </c>
      <c r="C338" s="8" t="s">
        <v>217</v>
      </c>
      <c r="D338" s="8" t="s">
        <v>171</v>
      </c>
      <c r="E338" s="38" t="str">
        <f>VLOOKUP($A338, [6]!ProductsTable[#Data], 3, FALSE)</f>
        <v>Selectronic</v>
      </c>
      <c r="F338" s="38" t="str">
        <f>VLOOKUP($A338, [6]!ProductsTable[#Data], 4, FALSE)</f>
        <v>SP Pro 48V/3.5KW Series II</v>
      </c>
      <c r="G338" s="38" t="str">
        <f>VLOOKUP($A338, [6]!ProductsTable[#Data], 5, FALSE)</f>
        <v>SPMC480-AU</v>
      </c>
      <c r="I338" s="41" t="e">
        <f>VLOOKUP($A338, [6]!ProductsTable[#Data], 7, FALSE)</f>
        <v>#REF!</v>
      </c>
      <c r="J338" s="39" t="e">
        <f>VLOOKUP($A338, [6]!ProductsTable[#Data], 8, FALSE)</f>
        <v>#REF!</v>
      </c>
      <c r="K338">
        <f>VLOOKUP($A338, [6]!ProductsTable[#Data], 9, FALSE)</f>
        <v>0</v>
      </c>
      <c r="L338" s="38">
        <f>VLOOKUP($A338, [6]!ProductsTable[#Data], 10, FALSE)</f>
        <v>33</v>
      </c>
      <c r="M338" s="38">
        <f>VLOOKUP($A338, [6]!ProductsTable[#Data], 11, FALSE)</f>
        <v>69</v>
      </c>
      <c r="N338" s="38">
        <f>VLOOKUP($A338, [6]!ProductsTable[#Data], 12, FALSE)</f>
        <v>37.5</v>
      </c>
      <c r="O338" s="38">
        <f>VLOOKUP($A338, [6]!ProductsTable[#Data], 13, FALSE)</f>
        <v>22</v>
      </c>
      <c r="R338" s="38" t="str">
        <f>VLOOKUP($A338, [6]!ProductsTable[#Data], 14, FALSE)</f>
        <v>2-Krannich</v>
      </c>
      <c r="AE338" t="e">
        <f>COUNTIF('[7]product-export'!$A$2:$A$379, A338)</f>
        <v>#VALUE!</v>
      </c>
    </row>
    <row r="339" spans="1:31" x14ac:dyDescent="0.25">
      <c r="A339" s="76" t="s">
        <v>501</v>
      </c>
      <c r="B339" s="38" t="str">
        <f>VLOOKUP($A339, [6]!ProductsTable[#Data], 2, FALSE)</f>
        <v>Inverter-Chargers</v>
      </c>
      <c r="C339" s="8" t="s">
        <v>217</v>
      </c>
      <c r="D339" s="8" t="s">
        <v>171</v>
      </c>
      <c r="E339" s="38" t="str">
        <f>VLOOKUP($A339, [6]!ProductsTable[#Data], 3, FALSE)</f>
        <v>Selectronic</v>
      </c>
      <c r="F339" s="38" t="str">
        <f>VLOOKUP($A339, [6]!ProductsTable[#Data], 4, FALSE)</f>
        <v>SP Pro 120V/7.5KW Series II</v>
      </c>
      <c r="G339" s="38" t="str">
        <f>VLOOKUP($A339, [6]!ProductsTable[#Data], 5, FALSE)</f>
        <v>SPMC1201-AU</v>
      </c>
      <c r="I339" s="41" t="e">
        <f>VLOOKUP($A339, [6]!ProductsTable[#Data], 7, FALSE)</f>
        <v>#REF!</v>
      </c>
      <c r="J339" s="39" t="e">
        <f>VLOOKUP($A339, [6]!ProductsTable[#Data], 8, FALSE)</f>
        <v>#REF!</v>
      </c>
      <c r="K339">
        <f>VLOOKUP($A339, [6]!ProductsTable[#Data], 9, FALSE)</f>
        <v>0</v>
      </c>
      <c r="L339" s="38">
        <f>VLOOKUP($A339, [6]!ProductsTable[#Data], 10, FALSE)</f>
        <v>43</v>
      </c>
      <c r="M339" s="38">
        <f>VLOOKUP($A339, [6]!ProductsTable[#Data], 11, FALSE)</f>
        <v>69</v>
      </c>
      <c r="N339" s="38">
        <f>VLOOKUP($A339, [6]!ProductsTable[#Data], 12, FALSE)</f>
        <v>37.5</v>
      </c>
      <c r="O339" s="38">
        <f>VLOOKUP($A339, [6]!ProductsTable[#Data], 13, FALSE)</f>
        <v>22</v>
      </c>
      <c r="R339" s="38" t="str">
        <f>VLOOKUP($A339, [6]!ProductsTable[#Data], 14, FALSE)</f>
        <v>2-Krannich</v>
      </c>
      <c r="AE339" t="e">
        <f>COUNTIF('[7]product-export'!$A$2:$A$379, A339)</f>
        <v>#VALUE!</v>
      </c>
    </row>
    <row r="340" spans="1:31" x14ac:dyDescent="0.25">
      <c r="A340" s="76" t="s">
        <v>502</v>
      </c>
      <c r="B340" s="38" t="str">
        <f>VLOOKUP($A340, [6]!ProductsTable[#Data], 2, FALSE)</f>
        <v>Inverter-Chargers</v>
      </c>
      <c r="C340" s="8" t="s">
        <v>217</v>
      </c>
      <c r="D340" s="8" t="s">
        <v>171</v>
      </c>
      <c r="E340" s="38" t="str">
        <f>VLOOKUP($A340, [6]!ProductsTable[#Data], 3, FALSE)</f>
        <v>Selectronic</v>
      </c>
      <c r="F340" s="38" t="str">
        <f>VLOOKUP($A340, [6]!ProductsTable[#Data], 4, FALSE)</f>
        <v>SP Pro 120V/15KW Series II</v>
      </c>
      <c r="G340" s="38" t="str">
        <f>VLOOKUP($A340, [6]!ProductsTable[#Data], 5, FALSE)</f>
        <v>SPLC1200-AU</v>
      </c>
      <c r="I340" s="41" t="e">
        <f>VLOOKUP($A340, [6]!ProductsTable[#Data], 7, FALSE)</f>
        <v>#REF!</v>
      </c>
      <c r="J340" s="39" t="e">
        <f>VLOOKUP($A340, [6]!ProductsTable[#Data], 8, FALSE)</f>
        <v>#REF!</v>
      </c>
      <c r="K340">
        <f>VLOOKUP($A340, [6]!ProductsTable[#Data], 9, FALSE)</f>
        <v>0</v>
      </c>
      <c r="L340" s="38">
        <f>VLOOKUP($A340, [6]!ProductsTable[#Data], 10, FALSE)</f>
        <v>113</v>
      </c>
      <c r="M340" s="38">
        <f>VLOOKUP($A340, [6]!ProductsTable[#Data], 11, FALSE)</f>
        <v>87</v>
      </c>
      <c r="N340" s="38">
        <f>VLOOKUP($A340, [6]!ProductsTable[#Data], 12, FALSE)</f>
        <v>54</v>
      </c>
      <c r="O340" s="38">
        <f>VLOOKUP($A340, [6]!ProductsTable[#Data], 13, FALSE)</f>
        <v>29</v>
      </c>
      <c r="R340" s="38" t="str">
        <f>VLOOKUP($A340, [6]!ProductsTable[#Data], 14, FALSE)</f>
        <v>2-Krannich</v>
      </c>
      <c r="AE340" t="e">
        <f>COUNTIF('[7]product-export'!$A$2:$A$379, A340)</f>
        <v>#VALUE!</v>
      </c>
    </row>
    <row r="341" spans="1:31" x14ac:dyDescent="0.25">
      <c r="A341" s="76" t="s">
        <v>503</v>
      </c>
      <c r="B341" s="38" t="str">
        <f>VLOOKUP($A341, [6]!ProductsTable[#Data], 2, FALSE)</f>
        <v>Inverter-Chargers</v>
      </c>
      <c r="C341" s="8" t="s">
        <v>217</v>
      </c>
      <c r="D341" s="8" t="s">
        <v>171</v>
      </c>
      <c r="E341" s="38" t="str">
        <f>VLOOKUP($A341, [6]!ProductsTable[#Data], 3, FALSE)</f>
        <v>Selectronic</v>
      </c>
      <c r="F341" s="38" t="str">
        <f>VLOOKUP($A341, [6]!ProductsTable[#Data], 4, FALSE)</f>
        <v>SP Pro 120V/20KW Series II</v>
      </c>
      <c r="G341" s="38" t="str">
        <f>VLOOKUP($A341, [6]!ProductsTable[#Data], 5, FALSE)</f>
        <v>SPLC1202-AU</v>
      </c>
      <c r="I341" s="41" t="e">
        <f>VLOOKUP($A341, [6]!ProductsTable[#Data], 7, FALSE)</f>
        <v>#REF!</v>
      </c>
      <c r="J341" s="39" t="e">
        <f>VLOOKUP($A341, [6]!ProductsTable[#Data], 8, FALSE)</f>
        <v>#REF!</v>
      </c>
      <c r="K341">
        <f>VLOOKUP($A341, [6]!ProductsTable[#Data], 9, FALSE)</f>
        <v>0</v>
      </c>
      <c r="L341" s="38">
        <f>VLOOKUP($A341, [6]!ProductsTable[#Data], 10, FALSE)</f>
        <v>115</v>
      </c>
      <c r="M341" s="38">
        <f>VLOOKUP($A341, [6]!ProductsTable[#Data], 11, FALSE)</f>
        <v>87</v>
      </c>
      <c r="N341" s="38">
        <f>VLOOKUP($A341, [6]!ProductsTable[#Data], 12, FALSE)</f>
        <v>54</v>
      </c>
      <c r="O341" s="38">
        <f>VLOOKUP($A341, [6]!ProductsTable[#Data], 13, FALSE)</f>
        <v>29</v>
      </c>
      <c r="R341" s="38" t="str">
        <f>VLOOKUP($A341, [6]!ProductsTable[#Data], 14, FALSE)</f>
        <v>2-Krannich</v>
      </c>
      <c r="AE341" t="e">
        <f>COUNTIF('[7]product-export'!$A$2:$A$379, A341)</f>
        <v>#VALUE!</v>
      </c>
    </row>
    <row r="342" spans="1:31" x14ac:dyDescent="0.25">
      <c r="A342" s="88" t="s">
        <v>113</v>
      </c>
      <c r="B342" s="38" t="str">
        <f>VLOOKUP($A342, [6]!ProductsTable[#Data], 2, FALSE)</f>
        <v>Electrical</v>
      </c>
      <c r="C342" s="8" t="s">
        <v>154</v>
      </c>
      <c r="D342" s="8" t="s">
        <v>185</v>
      </c>
      <c r="E342" s="38" t="str">
        <f>VLOOKUP($A342, [6]!ProductsTable[#Data], 3, FALSE)</f>
        <v>Klein</v>
      </c>
      <c r="F342" s="38" t="str">
        <f>VLOOKUP($A342, [6]!ProductsTable[#Data], 4, FALSE)</f>
        <v xml:space="preserve">Digital Multimeter, A-MM325 600V </v>
      </c>
      <c r="G342" s="38" t="str">
        <f>VLOOKUP($A342, [6]!ProductsTable[#Data], 5, FALSE)</f>
        <v>MM325</v>
      </c>
      <c r="I342" s="41" t="e">
        <f>VLOOKUP($A342, [6]!ProductsTable[#Data], 7, FALSE)</f>
        <v>#REF!</v>
      </c>
      <c r="J342" s="39" t="e">
        <f>VLOOKUP($A342, [6]!ProductsTable[#Data], 8, FALSE)</f>
        <v>#REF!</v>
      </c>
      <c r="K342">
        <f>VLOOKUP($A342, [6]!ProductsTable[#Data], 9, FALSE)</f>
        <v>0</v>
      </c>
      <c r="L342" s="38">
        <f>VLOOKUP($A342, [6]!ProductsTable[#Data], 10, FALSE)</f>
        <v>0</v>
      </c>
      <c r="M342" s="38">
        <f>VLOOKUP($A342, [6]!ProductsTable[#Data], 11, FALSE)</f>
        <v>0</v>
      </c>
      <c r="N342" s="38">
        <f>VLOOKUP($A342, [6]!ProductsTable[#Data], 12, FALSE)</f>
        <v>0</v>
      </c>
      <c r="O342" s="38">
        <f>VLOOKUP($A342, [6]!ProductsTable[#Data], 13, FALSE)</f>
        <v>0</v>
      </c>
      <c r="R342" s="38" t="str">
        <f>VLOOKUP($A342, [6]!ProductsTable[#Data], 14, FALSE)</f>
        <v>6-Various</v>
      </c>
      <c r="AE342" t="e">
        <f>COUNTIF('[7]product-export'!$A$2:$A$379, A342)</f>
        <v>#VALUE!</v>
      </c>
    </row>
    <row r="343" spans="1:31" x14ac:dyDescent="0.25">
      <c r="A343" s="88" t="s">
        <v>114</v>
      </c>
      <c r="B343" s="38" t="str">
        <f>VLOOKUP($A343, [6]!ProductsTable[#Data], 2, FALSE)</f>
        <v>Electrical</v>
      </c>
      <c r="C343" s="8" t="s">
        <v>154</v>
      </c>
      <c r="D343" s="8" t="s">
        <v>166</v>
      </c>
      <c r="E343" s="38" t="str">
        <f>VLOOKUP($A343, [6]!ProductsTable[#Data], 3, FALSE)</f>
        <v>DKSH</v>
      </c>
      <c r="F343" s="38" t="str">
        <f>VLOOKUP($A343, [6]!ProductsTable[#Data], 4, FALSE)</f>
        <v>Fuse 38mm PV type 20A</v>
      </c>
      <c r="G343" s="38" t="str">
        <f>VLOOKUP($A343, [6]!ProductsTable[#Data], 5, FALSE)</f>
        <v>30F20PV</v>
      </c>
      <c r="I343" s="41" t="e">
        <f>VLOOKUP($A343, [6]!ProductsTable[#Data], 7, FALSE)</f>
        <v>#REF!</v>
      </c>
      <c r="J343" s="39" t="e">
        <f>VLOOKUP($A343, [6]!ProductsTable[#Data], 8, FALSE)</f>
        <v>#REF!</v>
      </c>
      <c r="K343">
        <f>VLOOKUP($A343, [6]!ProductsTable[#Data], 9, FALSE)</f>
        <v>0</v>
      </c>
      <c r="L343" s="38">
        <f>VLOOKUP($A343, [6]!ProductsTable[#Data], 10, FALSE)</f>
        <v>0</v>
      </c>
      <c r="M343" s="38">
        <f>VLOOKUP($A343, [6]!ProductsTable[#Data], 11, FALSE)</f>
        <v>0</v>
      </c>
      <c r="N343" s="38">
        <f>VLOOKUP($A343, [6]!ProductsTable[#Data], 12, FALSE)</f>
        <v>0</v>
      </c>
      <c r="O343" s="38">
        <f>VLOOKUP($A343, [6]!ProductsTable[#Data], 13, FALSE)</f>
        <v>0</v>
      </c>
      <c r="R343" s="38" t="str">
        <f>VLOOKUP($A343, [6]!ProductsTable[#Data], 14, FALSE)</f>
        <v>3-Tradezone</v>
      </c>
      <c r="AE343" t="e">
        <f>COUNTIF('[7]product-export'!$A$2:$A$379, A343)</f>
        <v>#VALUE!</v>
      </c>
    </row>
    <row r="344" spans="1:31" x14ac:dyDescent="0.25">
      <c r="A344" s="88" t="s">
        <v>115</v>
      </c>
      <c r="B344" s="38" t="str">
        <f>VLOOKUP($A344, [6]!ProductsTable[#Data], 2, FALSE)</f>
        <v>Electrical</v>
      </c>
      <c r="C344" s="8" t="s">
        <v>154</v>
      </c>
      <c r="D344" s="8" t="s">
        <v>192</v>
      </c>
      <c r="E344" s="38" t="str">
        <f>VLOOKUP($A344, [6]!ProductsTable[#Data], 3, FALSE)</f>
        <v>Clipsal</v>
      </c>
      <c r="F344" s="38" t="str">
        <f>VLOOKUP($A344, [6]!ProductsTable[#Data], 4, FALSE)</f>
        <v>25mm Conduit Entry adaptor</v>
      </c>
      <c r="G344" s="38" t="str">
        <f>VLOOKUP($A344, [6]!ProductsTable[#Data], 5, FALSE)</f>
        <v>263/25GY</v>
      </c>
      <c r="I344" s="41" t="e">
        <f>VLOOKUP($A344, [6]!ProductsTable[#Data], 7, FALSE)</f>
        <v>#REF!</v>
      </c>
      <c r="J344" s="39" t="e">
        <f>VLOOKUP($A344, [6]!ProductsTable[#Data], 8, FALSE)</f>
        <v>#REF!</v>
      </c>
      <c r="K344">
        <f>VLOOKUP($A344, [6]!ProductsTable[#Data], 9, FALSE)</f>
        <v>0</v>
      </c>
      <c r="L344" s="38">
        <f>VLOOKUP($A344, [6]!ProductsTable[#Data], 10, FALSE)</f>
        <v>0</v>
      </c>
      <c r="M344" s="38">
        <f>VLOOKUP($A344, [6]!ProductsTable[#Data], 11, FALSE)</f>
        <v>0</v>
      </c>
      <c r="N344" s="38">
        <f>VLOOKUP($A344, [6]!ProductsTable[#Data], 12, FALSE)</f>
        <v>0</v>
      </c>
      <c r="O344" s="38">
        <f>VLOOKUP($A344, [6]!ProductsTable[#Data], 13, FALSE)</f>
        <v>0</v>
      </c>
      <c r="R344" s="38" t="str">
        <f>VLOOKUP($A344, [6]!ProductsTable[#Data], 14, FALSE)</f>
        <v>3-Tradezone</v>
      </c>
      <c r="AE344" t="e">
        <f>COUNTIF('[7]product-export'!$A$2:$A$379, A344)</f>
        <v>#VALUE!</v>
      </c>
    </row>
    <row r="345" spans="1:31" x14ac:dyDescent="0.25">
      <c r="A345" s="88" t="s">
        <v>116</v>
      </c>
      <c r="B345" s="38" t="str">
        <f>VLOOKUP($A345, [6]!ProductsTable[#Data], 2, FALSE)</f>
        <v>Electrical</v>
      </c>
      <c r="C345" s="8" t="s">
        <v>154</v>
      </c>
      <c r="D345" s="8" t="s">
        <v>192</v>
      </c>
      <c r="E345" s="38" t="str">
        <f>VLOOKUP($A345, [6]!ProductsTable[#Data], 3, FALSE)</f>
        <v>Clipsal</v>
      </c>
      <c r="F345" s="38" t="str">
        <f>VLOOKUP($A345, [6]!ProductsTable[#Data], 4, FALSE)</f>
        <v xml:space="preserve">25mm Conduit Entry lockring </v>
      </c>
      <c r="G345" s="38" t="str">
        <f>VLOOKUP($A345, [6]!ProductsTable[#Data], 5, FALSE)</f>
        <v>260/25GY</v>
      </c>
      <c r="I345" s="41" t="e">
        <f>VLOOKUP($A345, [6]!ProductsTable[#Data], 7, FALSE)</f>
        <v>#REF!</v>
      </c>
      <c r="J345" s="39" t="e">
        <f>VLOOKUP($A345, [6]!ProductsTable[#Data], 8, FALSE)</f>
        <v>#REF!</v>
      </c>
      <c r="K345">
        <f>VLOOKUP($A345, [6]!ProductsTable[#Data], 9, FALSE)</f>
        <v>0</v>
      </c>
      <c r="L345" s="38">
        <f>VLOOKUP($A345, [6]!ProductsTable[#Data], 10, FALSE)</f>
        <v>0</v>
      </c>
      <c r="M345" s="38">
        <f>VLOOKUP($A345, [6]!ProductsTable[#Data], 11, FALSE)</f>
        <v>0</v>
      </c>
      <c r="N345" s="38">
        <f>VLOOKUP($A345, [6]!ProductsTable[#Data], 12, FALSE)</f>
        <v>0</v>
      </c>
      <c r="O345" s="38">
        <f>VLOOKUP($A345, [6]!ProductsTable[#Data], 13, FALSE)</f>
        <v>0</v>
      </c>
      <c r="R345" s="38" t="str">
        <f>VLOOKUP($A345, [6]!ProductsTable[#Data], 14, FALSE)</f>
        <v>3-Tradezone</v>
      </c>
      <c r="AE345" t="e">
        <f>COUNTIF('[7]product-export'!$A$2:$A$379, A345)</f>
        <v>#VALUE!</v>
      </c>
    </row>
    <row r="346" spans="1:31" x14ac:dyDescent="0.25">
      <c r="A346" s="88" t="s">
        <v>117</v>
      </c>
      <c r="B346" s="38" t="str">
        <f>VLOOKUP($A346, [6]!ProductsTable[#Data], 2, FALSE)</f>
        <v>Electrical</v>
      </c>
      <c r="C346" s="8" t="s">
        <v>154</v>
      </c>
      <c r="D346" s="8" t="s">
        <v>192</v>
      </c>
      <c r="E346" s="38" t="str">
        <f>VLOOKUP($A346, [6]!ProductsTable[#Data], 3, FALSE)</f>
        <v>Clipsal</v>
      </c>
      <c r="F346" s="38" t="str">
        <f>VLOOKUP($A346, [6]!ProductsTable[#Data], 4, FALSE)</f>
        <v>Conduit saddles 25mm Galv</v>
      </c>
      <c r="G346" s="38" t="str">
        <f>VLOOKUP($A346, [6]!ProductsTable[#Data], 5, FALSE)</f>
        <v>180HD25</v>
      </c>
      <c r="I346" s="41" t="e">
        <f>VLOOKUP($A346, [6]!ProductsTable[#Data], 7, FALSE)</f>
        <v>#REF!</v>
      </c>
      <c r="J346" s="39" t="e">
        <f>VLOOKUP($A346, [6]!ProductsTable[#Data], 8, FALSE)</f>
        <v>#REF!</v>
      </c>
      <c r="K346">
        <f>VLOOKUP($A346, [6]!ProductsTable[#Data], 9, FALSE)</f>
        <v>0</v>
      </c>
      <c r="L346" s="38">
        <f>VLOOKUP($A346, [6]!ProductsTable[#Data], 10, FALSE)</f>
        <v>0</v>
      </c>
      <c r="M346" s="38">
        <f>VLOOKUP($A346, [6]!ProductsTable[#Data], 11, FALSE)</f>
        <v>0</v>
      </c>
      <c r="N346" s="38">
        <f>VLOOKUP($A346, [6]!ProductsTable[#Data], 12, FALSE)</f>
        <v>0</v>
      </c>
      <c r="O346" s="38">
        <f>VLOOKUP($A346, [6]!ProductsTable[#Data], 13, FALSE)</f>
        <v>0</v>
      </c>
      <c r="R346" s="38" t="str">
        <f>VLOOKUP($A346, [6]!ProductsTable[#Data], 14, FALSE)</f>
        <v>3-Tradezone</v>
      </c>
      <c r="AE346" t="e">
        <f>COUNTIF('[7]product-export'!$A$2:$A$379, A346)</f>
        <v>#VALUE!</v>
      </c>
    </row>
    <row r="347" spans="1:31" x14ac:dyDescent="0.25">
      <c r="A347" s="88" t="s">
        <v>80</v>
      </c>
      <c r="B347" s="38" t="str">
        <f>VLOOKUP($A347, [6]!ProductsTable[#Data], 2, FALSE)</f>
        <v>Electrical</v>
      </c>
      <c r="C347" s="8" t="s">
        <v>153</v>
      </c>
      <c r="D347" s="8" t="s">
        <v>181</v>
      </c>
      <c r="E347" s="38" t="str">
        <f>VLOOKUP($A347, [6]!ProductsTable[#Data], 3, FALSE)</f>
        <v>Victron</v>
      </c>
      <c r="F347" s="38" t="str">
        <f>VLOOKUP($A347, [6]!ProductsTable[#Data], 4, FALSE)</f>
        <v>EM540 Meter 3 phase</v>
      </c>
      <c r="G347" s="38" t="str">
        <f>VLOOKUP($A347, [6]!ProductsTable[#Data], 5, FALSE)</f>
        <v>REL200100100</v>
      </c>
      <c r="I347" s="41" t="e">
        <f>VLOOKUP($A347, [6]!ProductsTable[#Data], 7, FALSE)</f>
        <v>#REF!</v>
      </c>
      <c r="J347" s="39" t="e">
        <f>VLOOKUP($A347, [6]!ProductsTable[#Data], 8, FALSE)</f>
        <v>#REF!</v>
      </c>
      <c r="K347">
        <f>VLOOKUP($A347, [6]!ProductsTable[#Data], 9, FALSE)</f>
        <v>0</v>
      </c>
      <c r="L347" s="38">
        <f>VLOOKUP($A347, [6]!ProductsTable[#Data], 10, FALSE)</f>
        <v>0</v>
      </c>
      <c r="M347" s="38">
        <f>VLOOKUP($A347, [6]!ProductsTable[#Data], 11, FALSE)</f>
        <v>0</v>
      </c>
      <c r="N347" s="38">
        <f>VLOOKUP($A347, [6]!ProductsTable[#Data], 12, FALSE)</f>
        <v>0</v>
      </c>
      <c r="O347" s="38">
        <f>VLOOKUP($A347, [6]!ProductsTable[#Data], 13, FALSE)</f>
        <v>0</v>
      </c>
      <c r="R347" s="38" t="str">
        <f>VLOOKUP($A347, [6]!ProductsTable[#Data], 14, FALSE)</f>
        <v>1-Victron</v>
      </c>
      <c r="AE347" t="e">
        <f>COUNTIF('[7]product-export'!$A$2:$A$379, A347)</f>
        <v>#VALUE!</v>
      </c>
    </row>
    <row r="348" spans="1:31" x14ac:dyDescent="0.25">
      <c r="A348" s="88" t="s">
        <v>80</v>
      </c>
      <c r="B348" s="38" t="str">
        <f>VLOOKUP($A348, [6]!ProductsTable[#Data], 2, FALSE)</f>
        <v>Electrical</v>
      </c>
      <c r="C348" s="8" t="s">
        <v>154</v>
      </c>
      <c r="D348" s="8" t="s">
        <v>181</v>
      </c>
      <c r="E348" s="38" t="str">
        <f>VLOOKUP($A348, [6]!ProductsTable[#Data], 3, FALSE)</f>
        <v>Victron</v>
      </c>
      <c r="F348" s="38" t="str">
        <f>VLOOKUP($A348, [6]!ProductsTable[#Data], 4, FALSE)</f>
        <v>EM540 Meter 3 phase</v>
      </c>
      <c r="G348" s="38" t="str">
        <f>VLOOKUP($A348, [6]!ProductsTable[#Data], 5, FALSE)</f>
        <v>REL200100100</v>
      </c>
      <c r="I348" s="41" t="e">
        <f>VLOOKUP($A348, [6]!ProductsTable[#Data], 7, FALSE)</f>
        <v>#REF!</v>
      </c>
      <c r="J348" s="39" t="e">
        <f>VLOOKUP($A348, [6]!ProductsTable[#Data], 8, FALSE)</f>
        <v>#REF!</v>
      </c>
      <c r="K348">
        <f>VLOOKUP($A348, [6]!ProductsTable[#Data], 9, FALSE)</f>
        <v>0</v>
      </c>
      <c r="L348" s="38">
        <f>VLOOKUP($A348, [6]!ProductsTable[#Data], 10, FALSE)</f>
        <v>0</v>
      </c>
      <c r="M348" s="38">
        <f>VLOOKUP($A348, [6]!ProductsTable[#Data], 11, FALSE)</f>
        <v>0</v>
      </c>
      <c r="N348" s="38">
        <f>VLOOKUP($A348, [6]!ProductsTable[#Data], 12, FALSE)</f>
        <v>0</v>
      </c>
      <c r="O348" s="38">
        <f>VLOOKUP($A348, [6]!ProductsTable[#Data], 13, FALSE)</f>
        <v>0</v>
      </c>
      <c r="R348" s="38" t="str">
        <f>VLOOKUP($A348, [6]!ProductsTable[#Data], 14, FALSE)</f>
        <v>1-Victron</v>
      </c>
      <c r="AE348" t="e">
        <f>COUNTIF('[7]product-export'!$A$2:$A$379, A348)</f>
        <v>#VALUE!</v>
      </c>
    </row>
    <row r="349" spans="1:31" x14ac:dyDescent="0.25">
      <c r="A349" s="88" t="s">
        <v>81</v>
      </c>
      <c r="B349" s="38" t="str">
        <f>VLOOKUP($A349, [6]!ProductsTable[#Data], 2, FALSE)</f>
        <v>Electrical</v>
      </c>
      <c r="C349" s="8" t="s">
        <v>153</v>
      </c>
      <c r="D349" s="8" t="s">
        <v>181</v>
      </c>
      <c r="E349" s="38" t="str">
        <f>VLOOKUP($A349, [6]!ProductsTable[#Data], 3, FALSE)</f>
        <v>Victron</v>
      </c>
      <c r="F349" s="38" t="str">
        <f>VLOOKUP($A349, [6]!ProductsTable[#Data], 4, FALSE)</f>
        <v>VM-3P75CT Meter 3 phase</v>
      </c>
      <c r="G349" s="38" t="str">
        <f>VLOOKUP($A349, [6]!ProductsTable[#Data], 5, FALSE)</f>
        <v>REL200300100</v>
      </c>
      <c r="I349" s="41" t="e">
        <f>VLOOKUP($A349, [6]!ProductsTable[#Data], 7, FALSE)</f>
        <v>#REF!</v>
      </c>
      <c r="J349" s="39" t="e">
        <f>VLOOKUP($A349, [6]!ProductsTable[#Data], 8, FALSE)</f>
        <v>#REF!</v>
      </c>
      <c r="K349">
        <f>VLOOKUP($A349, [6]!ProductsTable[#Data], 9, FALSE)</f>
        <v>0</v>
      </c>
      <c r="L349" s="38">
        <f>VLOOKUP($A349, [6]!ProductsTable[#Data], 10, FALSE)</f>
        <v>0</v>
      </c>
      <c r="M349" s="38">
        <f>VLOOKUP($A349, [6]!ProductsTable[#Data], 11, FALSE)</f>
        <v>0</v>
      </c>
      <c r="N349" s="38">
        <f>VLOOKUP($A349, [6]!ProductsTable[#Data], 12, FALSE)</f>
        <v>0</v>
      </c>
      <c r="O349" s="38">
        <f>VLOOKUP($A349, [6]!ProductsTable[#Data], 13, FALSE)</f>
        <v>0</v>
      </c>
      <c r="R349" s="38" t="str">
        <f>VLOOKUP($A349, [6]!ProductsTable[#Data], 14, FALSE)</f>
        <v>1-Victron</v>
      </c>
      <c r="AE349" t="e">
        <f>COUNTIF('[7]product-export'!$A$2:$A$379, A349)</f>
        <v>#VALUE!</v>
      </c>
    </row>
    <row r="350" spans="1:31" x14ac:dyDescent="0.25">
      <c r="A350" s="88" t="s">
        <v>95</v>
      </c>
      <c r="B350" s="38" t="str">
        <f>VLOOKUP($A350, [6]!ProductsTable[#Data], 2, FALSE)</f>
        <v>Control</v>
      </c>
      <c r="C350" s="8" t="s">
        <v>153</v>
      </c>
      <c r="D350" s="8" t="s">
        <v>179</v>
      </c>
      <c r="E350" s="38" t="str">
        <f>VLOOKUP($A350, [6]!ProductsTable[#Data], 3, FALSE)</f>
        <v>Victron</v>
      </c>
      <c r="F350" s="38" t="str">
        <f>VLOOKUP($A350, [6]!ProductsTable[#Data], 4, FALSE)</f>
        <v>GX Touch 50 Wall Mount</v>
      </c>
      <c r="G350" s="38" t="str">
        <f>VLOOKUP($A350, [6]!ProductsTable[#Data], 5, FALSE)</f>
        <v>BPP900465050</v>
      </c>
      <c r="I350" s="41" t="e">
        <f>VLOOKUP($A350, [6]!ProductsTable[#Data], 7, FALSE)</f>
        <v>#REF!</v>
      </c>
      <c r="J350" s="39" t="e">
        <f>VLOOKUP($A350, [6]!ProductsTable[#Data], 8, FALSE)</f>
        <v>#REF!</v>
      </c>
      <c r="K350">
        <f>VLOOKUP($A350, [6]!ProductsTable[#Data], 9, FALSE)</f>
        <v>0</v>
      </c>
      <c r="L350" s="38">
        <f>VLOOKUP($A350, [6]!ProductsTable[#Data], 10, FALSE)</f>
        <v>0</v>
      </c>
      <c r="M350" s="38">
        <f>VLOOKUP($A350, [6]!ProductsTable[#Data], 11, FALSE)</f>
        <v>0</v>
      </c>
      <c r="N350" s="38">
        <f>VLOOKUP($A350, [6]!ProductsTable[#Data], 12, FALSE)</f>
        <v>0</v>
      </c>
      <c r="O350" s="38">
        <f>VLOOKUP($A350, [6]!ProductsTable[#Data], 13, FALSE)</f>
        <v>0</v>
      </c>
      <c r="R350" s="38" t="str">
        <f>VLOOKUP($A350, [6]!ProductsTable[#Data], 14, FALSE)</f>
        <v>1-Victron</v>
      </c>
      <c r="AE350" t="e">
        <f>COUNTIF('[7]product-export'!$A$2:$A$379, A350)</f>
        <v>#VALUE!</v>
      </c>
    </row>
    <row r="351" spans="1:31" x14ac:dyDescent="0.25">
      <c r="A351" s="88" t="s">
        <v>96</v>
      </c>
      <c r="B351" s="38" t="str">
        <f>VLOOKUP($A351, [6]!ProductsTable[#Data], 2, FALSE)</f>
        <v>Control</v>
      </c>
      <c r="C351" s="8" t="s">
        <v>153</v>
      </c>
      <c r="D351" s="8" t="s">
        <v>179</v>
      </c>
      <c r="E351" s="38" t="str">
        <f>VLOOKUP($A351, [6]!ProductsTable[#Data], 3, FALSE)</f>
        <v>Victron</v>
      </c>
      <c r="F351" s="38" t="str">
        <f>VLOOKUP($A351, [6]!ProductsTable[#Data], 4, FALSE)</f>
        <v>GX Touch 70 Wall Mount</v>
      </c>
      <c r="G351" s="38" t="str">
        <f>VLOOKUP($A351, [6]!ProductsTable[#Data], 5, FALSE)</f>
        <v>BPP900465070</v>
      </c>
      <c r="I351" s="41" t="e">
        <f>VLOOKUP($A351, [6]!ProductsTable[#Data], 7, FALSE)</f>
        <v>#REF!</v>
      </c>
      <c r="J351" s="39" t="e">
        <f>VLOOKUP($A351, [6]!ProductsTable[#Data], 8, FALSE)</f>
        <v>#REF!</v>
      </c>
      <c r="K351">
        <f>VLOOKUP($A351, [6]!ProductsTable[#Data], 9, FALSE)</f>
        <v>0</v>
      </c>
      <c r="L351" s="38">
        <f>VLOOKUP($A351, [6]!ProductsTable[#Data], 10, FALSE)</f>
        <v>0</v>
      </c>
      <c r="M351" s="38">
        <f>VLOOKUP($A351, [6]!ProductsTable[#Data], 11, FALSE)</f>
        <v>0</v>
      </c>
      <c r="N351" s="38">
        <f>VLOOKUP($A351, [6]!ProductsTable[#Data], 12, FALSE)</f>
        <v>0</v>
      </c>
      <c r="O351" s="38">
        <f>VLOOKUP($A351, [6]!ProductsTable[#Data], 13, FALSE)</f>
        <v>0</v>
      </c>
      <c r="R351" s="38" t="str">
        <f>VLOOKUP($A351, [6]!ProductsTable[#Data], 14, FALSE)</f>
        <v>1-Victron</v>
      </c>
      <c r="AE351" t="e">
        <f>COUNTIF('[7]product-export'!$A$2:$A$379, A351)</f>
        <v>#VALUE!</v>
      </c>
    </row>
    <row r="352" spans="1:31" x14ac:dyDescent="0.25">
      <c r="A352" s="88" t="s">
        <v>98</v>
      </c>
      <c r="B352" s="38" t="str">
        <f>VLOOKUP($A352, [6]!ProductsTable[#Data], 2, FALSE)</f>
        <v>Control</v>
      </c>
      <c r="C352" s="8" t="s">
        <v>153</v>
      </c>
      <c r="D352" s="8" t="s">
        <v>182</v>
      </c>
      <c r="E352" s="38" t="str">
        <f>VLOOKUP($A352, [6]!ProductsTable[#Data], 3, FALSE)</f>
        <v>Victron</v>
      </c>
      <c r="F352" s="38" t="str">
        <f>VLOOKUP($A352, [6]!ProductsTable[#Data], 4, FALSE)</f>
        <v>CT Current Transformer 100A MultiPlusII (5m)</v>
      </c>
      <c r="G352" s="38" t="str">
        <f>VLOOKUP($A352, [6]!ProductsTable[#Data], 5, FALSE)</f>
        <v>CTR110000550</v>
      </c>
      <c r="I352" s="41" t="e">
        <f>VLOOKUP($A352, [6]!ProductsTable[#Data], 7, FALSE)</f>
        <v>#REF!</v>
      </c>
      <c r="J352" s="39" t="e">
        <f>VLOOKUP($A352, [6]!ProductsTable[#Data], 8, FALSE)</f>
        <v>#REF!</v>
      </c>
      <c r="K352">
        <f>VLOOKUP($A352, [6]!ProductsTable[#Data], 9, FALSE)</f>
        <v>0</v>
      </c>
      <c r="L352" s="38">
        <f>VLOOKUP($A352, [6]!ProductsTable[#Data], 10, FALSE)</f>
        <v>0.1</v>
      </c>
      <c r="M352" s="38">
        <f>VLOOKUP($A352, [6]!ProductsTable[#Data], 11, FALSE)</f>
        <v>8</v>
      </c>
      <c r="N352" s="38">
        <f>VLOOKUP($A352, [6]!ProductsTable[#Data], 12, FALSE)</f>
        <v>4</v>
      </c>
      <c r="O352" s="38">
        <f>VLOOKUP($A352, [6]!ProductsTable[#Data], 13, FALSE)</f>
        <v>3</v>
      </c>
      <c r="R352" s="38" t="str">
        <f>VLOOKUP($A352, [6]!ProductsTable[#Data], 14, FALSE)</f>
        <v>1-Victron</v>
      </c>
      <c r="AE352" t="e">
        <f>COUNTIF('[7]product-export'!$A$2:$A$379, A352)</f>
        <v>#VALUE!</v>
      </c>
    </row>
    <row r="353" spans="1:31" x14ac:dyDescent="0.25">
      <c r="A353" s="88" t="s">
        <v>99</v>
      </c>
      <c r="B353" s="38" t="str">
        <f>VLOOKUP($A353, [6]!ProductsTable[#Data], 2, FALSE)</f>
        <v>Control</v>
      </c>
      <c r="C353" s="8" t="s">
        <v>153</v>
      </c>
      <c r="D353" s="8" t="s">
        <v>182</v>
      </c>
      <c r="E353" s="38" t="str">
        <f>VLOOKUP($A353, [6]!ProductsTable[#Data], 3, FALSE)</f>
        <v>Victron</v>
      </c>
      <c r="F353" s="38" t="str">
        <f>VLOOKUP($A353, [6]!ProductsTable[#Data], 4, FALSE)</f>
        <v>CT Current Transformer 100A MultiPlusII (20m)</v>
      </c>
      <c r="G353" s="38" t="str">
        <f>VLOOKUP($A353, [6]!ProductsTable[#Data], 5, FALSE)</f>
        <v xml:space="preserve">CTR110002050 </v>
      </c>
      <c r="I353" s="41" t="e">
        <f>VLOOKUP($A353, [6]!ProductsTable[#Data], 7, FALSE)</f>
        <v>#REF!</v>
      </c>
      <c r="J353" s="39" t="e">
        <f>VLOOKUP($A353, [6]!ProductsTable[#Data], 8, FALSE)</f>
        <v>#REF!</v>
      </c>
      <c r="K353">
        <f>VLOOKUP($A353, [6]!ProductsTable[#Data], 9, FALSE)</f>
        <v>0</v>
      </c>
      <c r="L353" s="38">
        <f>VLOOKUP($A353, [6]!ProductsTable[#Data], 10, FALSE)</f>
        <v>0.1</v>
      </c>
      <c r="M353" s="38">
        <f>VLOOKUP($A353, [6]!ProductsTable[#Data], 11, FALSE)</f>
        <v>8</v>
      </c>
      <c r="N353" s="38">
        <f>VLOOKUP($A353, [6]!ProductsTable[#Data], 12, FALSE)</f>
        <v>4</v>
      </c>
      <c r="O353" s="38">
        <f>VLOOKUP($A353, [6]!ProductsTable[#Data], 13, FALSE)</f>
        <v>3</v>
      </c>
      <c r="R353" s="38" t="str">
        <f>VLOOKUP($A353, [6]!ProductsTable[#Data], 14, FALSE)</f>
        <v>1-Victron</v>
      </c>
      <c r="AE353" t="e">
        <f>COUNTIF('[7]product-export'!$A$2:$A$379, A353)</f>
        <v>#VALUE!</v>
      </c>
    </row>
    <row r="354" spans="1:31" x14ac:dyDescent="0.25">
      <c r="A354" s="76" t="s">
        <v>514</v>
      </c>
      <c r="B354" s="38" t="str">
        <f>VLOOKUP($A354, [6]!ProductsTable[#Data], 2, FALSE)</f>
        <v>Batteries</v>
      </c>
      <c r="C354" s="8" t="s">
        <v>149</v>
      </c>
      <c r="D354" s="8" t="s">
        <v>161</v>
      </c>
      <c r="E354" s="38" t="str">
        <f>VLOOKUP($A354, [6]!ProductsTable[#Data], 3, FALSE)</f>
        <v>GenZ</v>
      </c>
      <c r="F354" s="38" t="str">
        <f>VLOOKUP($A354, [6]!ProductsTable[#Data], 4, FALSE)</f>
        <v>Lithium Battery Module 3KWh 24V 2RU</v>
      </c>
      <c r="G354" s="38" t="str">
        <f>VLOOKUP($A354, [6]!ProductsTable[#Data], 5, FALSE)</f>
        <v>Genz-3KW-Lith-24</v>
      </c>
      <c r="I354" s="41" t="e">
        <f>VLOOKUP($A354, [6]!ProductsTable[#Data], 7, FALSE)</f>
        <v>#REF!</v>
      </c>
      <c r="J354" s="39" t="e">
        <f>VLOOKUP($A354, [6]!ProductsTable[#Data], 8, FALSE)</f>
        <v>#REF!</v>
      </c>
      <c r="K354">
        <f>VLOOKUP($A354, [6]!ProductsTable[#Data], 9, FALSE)</f>
        <v>0</v>
      </c>
      <c r="L354" s="38">
        <f>VLOOKUP($A354, [6]!ProductsTable[#Data], 10, FALSE)</f>
        <v>35</v>
      </c>
      <c r="M354" s="38">
        <f>VLOOKUP($A354, [6]!ProductsTable[#Data], 11, FALSE)</f>
        <v>57</v>
      </c>
      <c r="N354" s="38">
        <f>VLOOKUP($A354, [6]!ProductsTable[#Data], 12, FALSE)</f>
        <v>42</v>
      </c>
      <c r="O354" s="38">
        <f>VLOOKUP($A354, [6]!ProductsTable[#Data], 13, FALSE)</f>
        <v>9</v>
      </c>
      <c r="R354" s="38" t="str">
        <f>VLOOKUP($A354, [6]!ProductsTable[#Data], 14, FALSE)</f>
        <v>6-Various</v>
      </c>
      <c r="AE354" t="e">
        <f>COUNTIF('[7]product-export'!$A$2:$A$379, A354)</f>
        <v>#VALUE!</v>
      </c>
    </row>
    <row r="355" spans="1:31" x14ac:dyDescent="0.25">
      <c r="A355" s="76" t="s">
        <v>515</v>
      </c>
      <c r="B355" s="38" t="str">
        <f>VLOOKUP($A355, [6]!ProductsTable[#Data], 2, FALSE)</f>
        <v>Batteries</v>
      </c>
      <c r="C355" s="8" t="s">
        <v>149</v>
      </c>
      <c r="D355" s="8" t="s">
        <v>163</v>
      </c>
      <c r="E355" s="38" t="str">
        <f>VLOOKUP($A355, [6]!ProductsTable[#Data], 3, FALSE)</f>
        <v>Powerhouse</v>
      </c>
      <c r="F355" s="38" t="str">
        <f>VLOOKUP($A355, [6]!ProductsTable[#Data], 4, FALSE)</f>
        <v>PowerHouse Lead-Carbon 12V 100Ah</v>
      </c>
      <c r="G355" s="38" t="str">
        <f>VLOOKUP($A355, [6]!ProductsTable[#Data], 5, FALSE)</f>
        <v>BAT-PH+C12/100-AGM</v>
      </c>
      <c r="I355" s="41" t="e">
        <f>VLOOKUP($A355, [6]!ProductsTable[#Data], 7, FALSE)</f>
        <v>#REF!</v>
      </c>
      <c r="J355" s="39" t="e">
        <f>VLOOKUP($A355, [6]!ProductsTable[#Data], 8, FALSE)</f>
        <v>#REF!</v>
      </c>
      <c r="K355">
        <f>VLOOKUP($A355, [6]!ProductsTable[#Data], 9, FALSE)</f>
        <v>0</v>
      </c>
      <c r="L355" s="38">
        <f>VLOOKUP($A355, [6]!ProductsTable[#Data], 10, FALSE)</f>
        <v>28</v>
      </c>
      <c r="M355" s="38">
        <f>VLOOKUP($A355, [6]!ProductsTable[#Data], 11, FALSE)</f>
        <v>30.6</v>
      </c>
      <c r="N355" s="38">
        <f>VLOOKUP($A355, [6]!ProductsTable[#Data], 12, FALSE)</f>
        <v>17</v>
      </c>
      <c r="O355" s="38">
        <f>VLOOKUP($A355, [6]!ProductsTable[#Data], 13, FALSE)</f>
        <v>21.1</v>
      </c>
      <c r="R355" s="38" t="str">
        <f>VLOOKUP($A355, [6]!ProductsTable[#Data], 14, FALSE)</f>
        <v>14-MHPower</v>
      </c>
      <c r="AE355" t="e">
        <f>COUNTIF('[7]product-export'!$A$2:$A$379, A355)</f>
        <v>#VALUE!</v>
      </c>
    </row>
    <row r="356" spans="1:31" x14ac:dyDescent="0.25">
      <c r="A356" s="76" t="s">
        <v>516</v>
      </c>
      <c r="B356" s="38" t="str">
        <f>VLOOKUP($A356, [6]!ProductsTable[#Data], 2, FALSE)</f>
        <v>Batteries</v>
      </c>
      <c r="C356" s="8" t="s">
        <v>149</v>
      </c>
      <c r="D356" s="8" t="s">
        <v>163</v>
      </c>
      <c r="E356" s="38" t="str">
        <f>VLOOKUP($A356, [6]!ProductsTable[#Data], 3, FALSE)</f>
        <v>Powerhouse</v>
      </c>
      <c r="F356" s="38" t="str">
        <f>VLOOKUP($A356, [6]!ProductsTable[#Data], 4, FALSE)</f>
        <v>PowerHouse Lead-Carbon 12V 120Ah</v>
      </c>
      <c r="G356" s="38" t="str">
        <f>VLOOKUP($A356, [6]!ProductsTable[#Data], 5, FALSE)</f>
        <v>BAT-PH+C12/120-AGM</v>
      </c>
      <c r="I356" s="41" t="e">
        <f>VLOOKUP($A356, [6]!ProductsTable[#Data], 7, FALSE)</f>
        <v>#REF!</v>
      </c>
      <c r="J356" s="39" t="e">
        <f>VLOOKUP($A356, [6]!ProductsTable[#Data], 8, FALSE)</f>
        <v>#REF!</v>
      </c>
      <c r="K356">
        <f>VLOOKUP($A356, [6]!ProductsTable[#Data], 9, FALSE)</f>
        <v>0</v>
      </c>
      <c r="L356" s="38">
        <f>VLOOKUP($A356, [6]!ProductsTable[#Data], 10, FALSE)</f>
        <v>32</v>
      </c>
      <c r="M356" s="38">
        <f>VLOOKUP($A356, [6]!ProductsTable[#Data], 11, FALSE)</f>
        <v>33</v>
      </c>
      <c r="N356" s="38">
        <f>VLOOKUP($A356, [6]!ProductsTable[#Data], 12, FALSE)</f>
        <v>17.100000000000001</v>
      </c>
      <c r="O356" s="38">
        <f>VLOOKUP($A356, [6]!ProductsTable[#Data], 13, FALSE)</f>
        <v>21.6</v>
      </c>
      <c r="R356" s="38" t="str">
        <f>VLOOKUP($A356, [6]!ProductsTable[#Data], 14, FALSE)</f>
        <v>14-MHPower</v>
      </c>
      <c r="AE356" t="e">
        <f>COUNTIF('[7]product-export'!$A$2:$A$379, A356)</f>
        <v>#VALUE!</v>
      </c>
    </row>
    <row r="357" spans="1:31" x14ac:dyDescent="0.25">
      <c r="A357" s="76" t="s">
        <v>517</v>
      </c>
      <c r="B357" s="38" t="str">
        <f>VLOOKUP($A357, [6]!ProductsTable[#Data], 2, FALSE)</f>
        <v>Batteries</v>
      </c>
      <c r="C357" s="8" t="s">
        <v>149</v>
      </c>
      <c r="D357" s="8" t="s">
        <v>163</v>
      </c>
      <c r="E357" s="38" t="str">
        <f>VLOOKUP($A357, [6]!ProductsTable[#Data], 3, FALSE)</f>
        <v>Powerhouse</v>
      </c>
      <c r="F357" s="38" t="str">
        <f>VLOOKUP($A357, [6]!ProductsTable[#Data], 4, FALSE)</f>
        <v>PowerHouse Lead-Carbon 12V 200Ah</v>
      </c>
      <c r="G357" s="38" t="str">
        <f>VLOOKUP($A357, [6]!ProductsTable[#Data], 5, FALSE)</f>
        <v>BAT-PH+C12/200-AGM</v>
      </c>
      <c r="I357" s="41" t="e">
        <f>VLOOKUP($A357, [6]!ProductsTable[#Data], 7, FALSE)</f>
        <v>#REF!</v>
      </c>
      <c r="J357" s="39" t="e">
        <f>VLOOKUP($A357, [6]!ProductsTable[#Data], 8, FALSE)</f>
        <v>#REF!</v>
      </c>
      <c r="K357">
        <f>VLOOKUP($A357, [6]!ProductsTable[#Data], 9, FALSE)</f>
        <v>0</v>
      </c>
      <c r="L357" s="38">
        <f>VLOOKUP($A357, [6]!ProductsTable[#Data], 10, FALSE)</f>
        <v>61</v>
      </c>
      <c r="M357" s="38">
        <f>VLOOKUP($A357, [6]!ProductsTable[#Data], 11, FALSE)</f>
        <v>52.2</v>
      </c>
      <c r="N357" s="38">
        <f>VLOOKUP($A357, [6]!ProductsTable[#Data], 12, FALSE)</f>
        <v>24</v>
      </c>
      <c r="O357" s="38">
        <f>VLOOKUP($A357, [6]!ProductsTable[#Data], 13, FALSE)</f>
        <v>22</v>
      </c>
      <c r="R357" s="38" t="str">
        <f>VLOOKUP($A357, [6]!ProductsTable[#Data], 14, FALSE)</f>
        <v>14-MHPower</v>
      </c>
      <c r="AE357" t="e">
        <f>COUNTIF('[7]product-export'!$A$2:$A$379, A357)</f>
        <v>#VALUE!</v>
      </c>
    </row>
    <row r="358" spans="1:31" x14ac:dyDescent="0.25">
      <c r="A358" s="76" t="s">
        <v>518</v>
      </c>
      <c r="B358" s="38" t="str">
        <f>VLOOKUP($A358, [6]!ProductsTable[#Data], 2, FALSE)</f>
        <v>Batteries</v>
      </c>
      <c r="C358" s="8" t="s">
        <v>149</v>
      </c>
      <c r="D358" s="8" t="s">
        <v>161</v>
      </c>
      <c r="E358" s="38" t="str">
        <f>VLOOKUP($A358, [6]!ProductsTable[#Data], 3, FALSE)</f>
        <v>GenZ</v>
      </c>
      <c r="F358" s="38" t="str">
        <f>VLOOKUP($A358, [6]!ProductsTable[#Data], 4, FALSE)</f>
        <v>Lithium Battery Module 3KWh 48V 2RU</v>
      </c>
      <c r="G358" s="38" t="str">
        <f>VLOOKUP($A358, [6]!ProductsTable[#Data], 5, FALSE)</f>
        <v>Genz-3KW-Lith-48</v>
      </c>
      <c r="I358" s="41" t="e">
        <f>VLOOKUP($A358, [6]!ProductsTable[#Data], 7, FALSE)</f>
        <v>#REF!</v>
      </c>
      <c r="J358" s="39" t="e">
        <f>VLOOKUP($A358, [6]!ProductsTable[#Data], 8, FALSE)</f>
        <v>#REF!</v>
      </c>
      <c r="K358">
        <f>VLOOKUP($A358, [6]!ProductsTable[#Data], 9, FALSE)</f>
        <v>0</v>
      </c>
      <c r="L358" s="38">
        <f>VLOOKUP($A358, [6]!ProductsTable[#Data], 10, FALSE)</f>
        <v>35</v>
      </c>
      <c r="M358" s="38">
        <f>VLOOKUP($A358, [6]!ProductsTable[#Data], 11, FALSE)</f>
        <v>57</v>
      </c>
      <c r="N358" s="38">
        <f>VLOOKUP($A358, [6]!ProductsTable[#Data], 12, FALSE)</f>
        <v>42</v>
      </c>
      <c r="O358" s="38">
        <f>VLOOKUP($A358, [6]!ProductsTable[#Data], 13, FALSE)</f>
        <v>9</v>
      </c>
      <c r="R358" s="38" t="str">
        <f>VLOOKUP($A358, [6]!ProductsTable[#Data], 14, FALSE)</f>
        <v>6-Various</v>
      </c>
      <c r="AE358" t="e">
        <f>COUNTIF('[7]product-export'!$A$2:$A$379, A358)</f>
        <v>#VALUE!</v>
      </c>
    </row>
    <row r="359" spans="1:31" x14ac:dyDescent="0.25">
      <c r="A359" s="76" t="s">
        <v>551</v>
      </c>
      <c r="B359" s="38" t="str">
        <f>VLOOKUP($A359, [6]!ProductsTable[#Data], 2, FALSE)</f>
        <v>Fuses</v>
      </c>
      <c r="C359" s="8" t="s">
        <v>217</v>
      </c>
      <c r="D359" s="8" t="s">
        <v>172</v>
      </c>
      <c r="E359" s="38" t="str">
        <f>VLOOKUP($A359, [6]!ProductsTable[#Data], 3, FALSE)</f>
        <v>Noark</v>
      </c>
      <c r="F359" s="38" t="str">
        <f>VLOOKUP($A359, [6]!ProductsTable[#Data], 4, FALSE)</f>
        <v>MCCB 100A 500VDC 2 pole</v>
      </c>
      <c r="G359" s="38" t="str">
        <f>VLOOKUP($A359, [6]!ProductsTable[#Data], 5, FALSE)</f>
        <v>NRK-N28708</v>
      </c>
      <c r="I359" s="41" t="e">
        <f>VLOOKUP($A359, [6]!ProductsTable[#Data], 7, FALSE)</f>
        <v>#REF!</v>
      </c>
      <c r="J359" s="39" t="e">
        <f>VLOOKUP($A359, [6]!ProductsTable[#Data], 8, FALSE)</f>
        <v>#REF!</v>
      </c>
      <c r="K359">
        <f>VLOOKUP($A359, [6]!ProductsTable[#Data], 9, FALSE)</f>
        <v>0</v>
      </c>
      <c r="L359" s="38">
        <f>VLOOKUP($A359, [6]!ProductsTable[#Data], 10, FALSE)</f>
        <v>1</v>
      </c>
      <c r="M359" s="38">
        <f>VLOOKUP($A359, [6]!ProductsTable[#Data], 11, FALSE)</f>
        <v>17</v>
      </c>
      <c r="N359" s="38">
        <f>VLOOKUP($A359, [6]!ProductsTable[#Data], 12, FALSE)</f>
        <v>15</v>
      </c>
      <c r="O359" s="38">
        <f>VLOOKUP($A359, [6]!ProductsTable[#Data], 13, FALSE)</f>
        <v>11</v>
      </c>
      <c r="R359" s="38" t="str">
        <f>VLOOKUP($A359, [6]!ProductsTable[#Data], 14, FALSE)</f>
        <v>11-DKSH</v>
      </c>
      <c r="AE359" t="e">
        <f>COUNTIF('[7]product-export'!$A$2:$A$379, A359)</f>
        <v>#VALUE!</v>
      </c>
    </row>
    <row r="360" spans="1:31" x14ac:dyDescent="0.25">
      <c r="A360" s="76" t="s">
        <v>552</v>
      </c>
      <c r="B360" s="38" t="str">
        <f>VLOOKUP($A360, [6]!ProductsTable[#Data], 2, FALSE)</f>
        <v>Fuses</v>
      </c>
      <c r="C360" s="8" t="s">
        <v>217</v>
      </c>
      <c r="D360" s="8" t="s">
        <v>172</v>
      </c>
      <c r="E360" s="38" t="str">
        <f>VLOOKUP($A360, [6]!ProductsTable[#Data], 3, FALSE)</f>
        <v>Noark</v>
      </c>
      <c r="F360" s="38" t="str">
        <f>VLOOKUP($A360, [6]!ProductsTable[#Data], 4, FALSE)</f>
        <v>MCCB 125A 500VDC 2 pole</v>
      </c>
      <c r="G360" s="38" t="str">
        <f>VLOOKUP($A360, [6]!ProductsTable[#Data], 5, FALSE)</f>
        <v>NRK-N28709</v>
      </c>
      <c r="I360" s="41" t="e">
        <f>VLOOKUP($A360, [6]!ProductsTable[#Data], 7, FALSE)</f>
        <v>#REF!</v>
      </c>
      <c r="J360" s="39" t="e">
        <f>VLOOKUP($A360, [6]!ProductsTable[#Data], 8, FALSE)</f>
        <v>#REF!</v>
      </c>
      <c r="K360">
        <f>VLOOKUP($A360, [6]!ProductsTable[#Data], 9, FALSE)</f>
        <v>0</v>
      </c>
      <c r="L360" s="38">
        <f>VLOOKUP($A360, [6]!ProductsTable[#Data], 10, FALSE)</f>
        <v>1</v>
      </c>
      <c r="M360" s="38">
        <f>VLOOKUP($A360, [6]!ProductsTable[#Data], 11, FALSE)</f>
        <v>17</v>
      </c>
      <c r="N360" s="38">
        <f>VLOOKUP($A360, [6]!ProductsTable[#Data], 12, FALSE)</f>
        <v>15</v>
      </c>
      <c r="O360" s="38">
        <f>VLOOKUP($A360, [6]!ProductsTable[#Data], 13, FALSE)</f>
        <v>11</v>
      </c>
      <c r="R360" s="38" t="str">
        <f>VLOOKUP($A360, [6]!ProductsTable[#Data], 14, FALSE)</f>
        <v>11-DKSH</v>
      </c>
      <c r="AE360" t="e">
        <f>COUNTIF('[7]product-export'!$A$2:$A$379, A360)</f>
        <v>#VALUE!</v>
      </c>
    </row>
    <row r="361" spans="1:31" x14ac:dyDescent="0.25">
      <c r="A361" s="76" t="s">
        <v>553</v>
      </c>
      <c r="B361" s="38" t="str">
        <f>VLOOKUP($A361, [6]!ProductsTable[#Data], 2, FALSE)</f>
        <v>Fuses</v>
      </c>
      <c r="C361" s="8" t="s">
        <v>217</v>
      </c>
      <c r="D361" s="8" t="s">
        <v>172</v>
      </c>
      <c r="E361" s="38" t="str">
        <f>VLOOKUP($A361, [6]!ProductsTable[#Data], 3, FALSE)</f>
        <v>Noark</v>
      </c>
      <c r="F361" s="38" t="str">
        <f>VLOOKUP($A361, [6]!ProductsTable[#Data], 4, FALSE)</f>
        <v>MCCB 160A 500VDC 2 pole</v>
      </c>
      <c r="G361" s="38" t="str">
        <f>VLOOKUP($A361, [6]!ProductsTable[#Data], 5, FALSE)</f>
        <v>NRK-N28901</v>
      </c>
      <c r="I361" s="41" t="e">
        <f>VLOOKUP($A361, [6]!ProductsTable[#Data], 7, FALSE)</f>
        <v>#REF!</v>
      </c>
      <c r="J361" s="39" t="e">
        <f>VLOOKUP($A361, [6]!ProductsTable[#Data], 8, FALSE)</f>
        <v>#REF!</v>
      </c>
      <c r="K361">
        <f>VLOOKUP($A361, [6]!ProductsTable[#Data], 9, FALSE)</f>
        <v>0</v>
      </c>
      <c r="L361" s="38">
        <f>VLOOKUP($A361, [6]!ProductsTable[#Data], 10, FALSE)</f>
        <v>1.2</v>
      </c>
      <c r="M361" s="38">
        <f>VLOOKUP($A361, [6]!ProductsTable[#Data], 11, FALSE)</f>
        <v>17</v>
      </c>
      <c r="N361" s="38">
        <f>VLOOKUP($A361, [6]!ProductsTable[#Data], 12, FALSE)</f>
        <v>15</v>
      </c>
      <c r="O361" s="38">
        <f>VLOOKUP($A361, [6]!ProductsTable[#Data], 13, FALSE)</f>
        <v>11</v>
      </c>
      <c r="R361" s="38" t="str">
        <f>VLOOKUP($A361, [6]!ProductsTable[#Data], 14, FALSE)</f>
        <v>11-DKSH</v>
      </c>
      <c r="AE361" t="e">
        <f>COUNTIF('[7]product-export'!$A$2:$A$379, A361)</f>
        <v>#VALUE!</v>
      </c>
    </row>
    <row r="362" spans="1:31" x14ac:dyDescent="0.25">
      <c r="A362" s="76" t="s">
        <v>554</v>
      </c>
      <c r="B362" s="38" t="str">
        <f>VLOOKUP($A362, [6]!ProductsTable[#Data], 2, FALSE)</f>
        <v>Fuses</v>
      </c>
      <c r="C362" s="8" t="s">
        <v>217</v>
      </c>
      <c r="D362" s="8" t="s">
        <v>172</v>
      </c>
      <c r="E362" s="38" t="str">
        <f>VLOOKUP($A362, [6]!ProductsTable[#Data], 3, FALSE)</f>
        <v>Noark</v>
      </c>
      <c r="F362" s="38" t="str">
        <f>VLOOKUP($A362, [6]!ProductsTable[#Data], 4, FALSE)</f>
        <v>MCCB 180A 500VDC 2 pole</v>
      </c>
      <c r="G362" s="38" t="str">
        <f>VLOOKUP($A362, [6]!ProductsTable[#Data], 5, FALSE)</f>
        <v>NRK-N28902</v>
      </c>
      <c r="I362" s="41" t="e">
        <f>VLOOKUP($A362, [6]!ProductsTable[#Data], 7, FALSE)</f>
        <v>#REF!</v>
      </c>
      <c r="J362" s="39" t="e">
        <f>VLOOKUP($A362, [6]!ProductsTable[#Data], 8, FALSE)</f>
        <v>#REF!</v>
      </c>
      <c r="K362">
        <f>VLOOKUP($A362, [6]!ProductsTable[#Data], 9, FALSE)</f>
        <v>0</v>
      </c>
      <c r="L362" s="38">
        <f>VLOOKUP($A362, [6]!ProductsTable[#Data], 10, FALSE)</f>
        <v>1.4</v>
      </c>
      <c r="M362" s="38">
        <f>VLOOKUP($A362, [6]!ProductsTable[#Data], 11, FALSE)</f>
        <v>17</v>
      </c>
      <c r="N362" s="38">
        <f>VLOOKUP($A362, [6]!ProductsTable[#Data], 12, FALSE)</f>
        <v>15</v>
      </c>
      <c r="O362" s="38">
        <f>VLOOKUP($A362, [6]!ProductsTable[#Data], 13, FALSE)</f>
        <v>11</v>
      </c>
      <c r="R362" s="38" t="str">
        <f>VLOOKUP($A362, [6]!ProductsTable[#Data], 14, FALSE)</f>
        <v>11-DKSH</v>
      </c>
      <c r="AE362" t="e">
        <f>COUNTIF('[7]product-export'!$A$2:$A$379, A362)</f>
        <v>#VALUE!</v>
      </c>
    </row>
    <row r="363" spans="1:31" x14ac:dyDescent="0.25">
      <c r="A363" s="76" t="s">
        <v>555</v>
      </c>
      <c r="B363" s="38" t="str">
        <f>VLOOKUP($A363, [6]!ProductsTable[#Data], 2, FALSE)</f>
        <v>Fuses</v>
      </c>
      <c r="C363" s="8" t="s">
        <v>217</v>
      </c>
      <c r="D363" s="8" t="s">
        <v>172</v>
      </c>
      <c r="E363" s="38" t="str">
        <f>VLOOKUP($A363, [6]!ProductsTable[#Data], 3, FALSE)</f>
        <v>Noark</v>
      </c>
      <c r="F363" s="38" t="str">
        <f>VLOOKUP($A363, [6]!ProductsTable[#Data], 4, FALSE)</f>
        <v>MCCB 200A 500VDC 2 pole</v>
      </c>
      <c r="G363" s="38" t="str">
        <f>VLOOKUP($A363, [6]!ProductsTable[#Data], 5, FALSE)</f>
        <v>NRK-N28903</v>
      </c>
      <c r="I363" s="41" t="e">
        <f>VLOOKUP($A363, [6]!ProductsTable[#Data], 7, FALSE)</f>
        <v>#REF!</v>
      </c>
      <c r="J363" s="39" t="e">
        <f>VLOOKUP($A363, [6]!ProductsTable[#Data], 8, FALSE)</f>
        <v>#REF!</v>
      </c>
      <c r="K363">
        <f>VLOOKUP($A363, [6]!ProductsTable[#Data], 9, FALSE)</f>
        <v>0</v>
      </c>
      <c r="L363" s="38">
        <f>VLOOKUP($A363, [6]!ProductsTable[#Data], 10, FALSE)</f>
        <v>1.4</v>
      </c>
      <c r="M363" s="38">
        <f>VLOOKUP($A363, [6]!ProductsTable[#Data], 11, FALSE)</f>
        <v>17</v>
      </c>
      <c r="N363" s="38">
        <f>VLOOKUP($A363, [6]!ProductsTable[#Data], 12, FALSE)</f>
        <v>15</v>
      </c>
      <c r="O363" s="38">
        <f>VLOOKUP($A363, [6]!ProductsTable[#Data], 13, FALSE)</f>
        <v>11</v>
      </c>
      <c r="R363" s="38" t="str">
        <f>VLOOKUP($A363, [6]!ProductsTable[#Data], 14, FALSE)</f>
        <v>11-DKSH</v>
      </c>
      <c r="AE363" t="e">
        <f>COUNTIF('[7]product-export'!$A$2:$A$379, A363)</f>
        <v>#VALUE!</v>
      </c>
    </row>
    <row r="364" spans="1:31" x14ac:dyDescent="0.25">
      <c r="A364" s="76" t="s">
        <v>556</v>
      </c>
      <c r="B364" s="38" t="str">
        <f>VLOOKUP($A364, [6]!ProductsTable[#Data], 2, FALSE)</f>
        <v>Fuses</v>
      </c>
      <c r="C364" s="8" t="s">
        <v>217</v>
      </c>
      <c r="D364" s="8" t="s">
        <v>172</v>
      </c>
      <c r="E364" s="38" t="str">
        <f>VLOOKUP($A364, [6]!ProductsTable[#Data], 3, FALSE)</f>
        <v>Noark</v>
      </c>
      <c r="F364" s="38" t="str">
        <f>VLOOKUP($A364, [6]!ProductsTable[#Data], 4, FALSE)</f>
        <v>MCCB 250A 500VDC 2 pole</v>
      </c>
      <c r="G364" s="38" t="str">
        <f>VLOOKUP($A364, [6]!ProductsTable[#Data], 5, FALSE)</f>
        <v>NRK-N28905</v>
      </c>
      <c r="I364" s="41" t="e">
        <f>VLOOKUP($A364, [6]!ProductsTable[#Data], 7, FALSE)</f>
        <v>#REF!</v>
      </c>
      <c r="J364" s="39" t="e">
        <f>VLOOKUP($A364, [6]!ProductsTable[#Data], 8, FALSE)</f>
        <v>#REF!</v>
      </c>
      <c r="K364">
        <f>VLOOKUP($A364, [6]!ProductsTable[#Data], 9, FALSE)</f>
        <v>0</v>
      </c>
      <c r="L364" s="38">
        <f>VLOOKUP($A364, [6]!ProductsTable[#Data], 10, FALSE)</f>
        <v>1.4</v>
      </c>
      <c r="M364" s="38">
        <f>VLOOKUP($A364, [6]!ProductsTable[#Data], 11, FALSE)</f>
        <v>17</v>
      </c>
      <c r="N364" s="38">
        <f>VLOOKUP($A364, [6]!ProductsTable[#Data], 12, FALSE)</f>
        <v>15</v>
      </c>
      <c r="O364" s="38">
        <f>VLOOKUP($A364, [6]!ProductsTable[#Data], 13, FALSE)</f>
        <v>11</v>
      </c>
      <c r="R364" s="38" t="str">
        <f>VLOOKUP($A364, [6]!ProductsTable[#Data], 14, FALSE)</f>
        <v>11-DKSH</v>
      </c>
      <c r="AE364" t="e">
        <f>COUNTIF('[7]product-export'!$A$2:$A$379, A364)</f>
        <v>#VALUE!</v>
      </c>
    </row>
    <row r="365" spans="1:31" x14ac:dyDescent="0.25">
      <c r="A365" s="76" t="s">
        <v>542</v>
      </c>
      <c r="B365" s="38" t="str">
        <f>VLOOKUP($A365, [6]!ProductsTable[#Data], 2, FALSE)</f>
        <v>Solar Panels</v>
      </c>
      <c r="C365" s="8" t="s">
        <v>216</v>
      </c>
      <c r="D365" s="8" t="s">
        <v>222</v>
      </c>
      <c r="E365" s="38" t="str">
        <f>VLOOKUP($A365, [6]!ProductsTable[#Data], 3, FALSE)</f>
        <v>Trina</v>
      </c>
      <c r="F365" s="38" t="str">
        <f>VLOOKUP($A365, [6]!ProductsTable[#Data], 4, FALSE)</f>
        <v xml:space="preserve">Solar Panel 500W Mono </v>
      </c>
      <c r="G365" s="38" t="str">
        <f>VLOOKUP($A365, [6]!ProductsTable[#Data], 5, FALSE)</f>
        <v>TSM-DE18M(II)-500W</v>
      </c>
      <c r="I365" s="41" t="e">
        <f>VLOOKUP($A365, [6]!ProductsTable[#Data], 7, FALSE)</f>
        <v>#REF!</v>
      </c>
      <c r="J365" s="39" t="e">
        <f>VLOOKUP($A365, [6]!ProductsTable[#Data], 8, FALSE)</f>
        <v>#REF!</v>
      </c>
      <c r="K365">
        <f>VLOOKUP($A365, [6]!ProductsTable[#Data], 9, FALSE)</f>
        <v>0</v>
      </c>
      <c r="L365" s="38">
        <f>VLOOKUP($A365, [6]!ProductsTable[#Data], 10, FALSE)</f>
        <v>20</v>
      </c>
      <c r="M365" s="38">
        <f>VLOOKUP($A365, [6]!ProductsTable[#Data], 11, FALSE)</f>
        <v>170</v>
      </c>
      <c r="N365" s="38">
        <f>VLOOKUP($A365, [6]!ProductsTable[#Data], 12, FALSE)</f>
        <v>100</v>
      </c>
      <c r="O365" s="38">
        <f>VLOOKUP($A365, [6]!ProductsTable[#Data], 13, FALSE)</f>
        <v>4</v>
      </c>
      <c r="R365" s="38" t="str">
        <f>VLOOKUP($A365, [6]!ProductsTable[#Data], 14, FALSE)</f>
        <v>3-Tradezone</v>
      </c>
      <c r="AE365" t="e">
        <f>COUNTIF('[7]product-export'!$A$2:$A$379, A365)</f>
        <v>#VALUE!</v>
      </c>
    </row>
    <row r="366" spans="1:31" x14ac:dyDescent="0.25">
      <c r="A366" s="88" t="s">
        <v>73</v>
      </c>
      <c r="B366" s="38" t="str">
        <f>VLOOKUP($A366, [6]!ProductsTable[#Data], 2, FALSE)</f>
        <v>Cables</v>
      </c>
      <c r="C366" s="8" t="s">
        <v>156</v>
      </c>
      <c r="D366" s="8" t="s">
        <v>215</v>
      </c>
      <c r="E366" s="38" t="str">
        <f>VLOOKUP($A366, [6]!ProductsTable[#Data], 3, FALSE)</f>
        <v>Victron</v>
      </c>
      <c r="F366" s="38" t="str">
        <f>VLOOKUP($A366, [6]!ProductsTable[#Data], 4, FALSE)</f>
        <v>VE.Direct Cable 0.9m (one side Right Angle conn)</v>
      </c>
      <c r="G366" s="38" t="str">
        <f>VLOOKUP($A366, [6]!ProductsTable[#Data], 5, FALSE)</f>
        <v>ASS030531209</v>
      </c>
      <c r="I366" s="41" t="e">
        <f>VLOOKUP($A366, [6]!ProductsTable[#Data], 7, FALSE)</f>
        <v>#REF!</v>
      </c>
      <c r="J366" s="39" t="e">
        <f>VLOOKUP($A366, [6]!ProductsTable[#Data], 8, FALSE)</f>
        <v>#REF!</v>
      </c>
      <c r="K366">
        <f>VLOOKUP($A366, [6]!ProductsTable[#Data], 9, FALSE)</f>
        <v>0</v>
      </c>
      <c r="L366" s="38">
        <f>VLOOKUP($A366, [6]!ProductsTable[#Data], 10, FALSE)</f>
        <v>0.3</v>
      </c>
      <c r="M366" s="38">
        <f>VLOOKUP($A366, [6]!ProductsTable[#Data], 11, FALSE)</f>
        <v>0</v>
      </c>
      <c r="N366" s="38">
        <f>VLOOKUP($A366, [6]!ProductsTable[#Data], 12, FALSE)</f>
        <v>0</v>
      </c>
      <c r="O366" s="38">
        <f>VLOOKUP($A366, [6]!ProductsTable[#Data], 13, FALSE)</f>
        <v>0</v>
      </c>
      <c r="R366" s="38" t="str">
        <f>VLOOKUP($A366, [6]!ProductsTable[#Data], 14, FALSE)</f>
        <v>1-Victron</v>
      </c>
      <c r="AE366" t="e">
        <f>COUNTIF('[7]product-export'!$A$2:$A$379, A366)</f>
        <v>#VALUE!</v>
      </c>
    </row>
    <row r="367" spans="1:31" x14ac:dyDescent="0.25">
      <c r="A367" s="76" t="s">
        <v>519</v>
      </c>
      <c r="B367" s="38" t="str">
        <f>VLOOKUP($A367, [6]!ProductsTable[#Data], 2, FALSE)</f>
        <v>Batteries</v>
      </c>
      <c r="C367" s="8" t="s">
        <v>149</v>
      </c>
      <c r="D367" s="8" t="s">
        <v>161</v>
      </c>
      <c r="E367" s="38" t="str">
        <f>VLOOKUP($A367, [6]!ProductsTable[#Data], 3, FALSE)</f>
        <v>LG Chem</v>
      </c>
      <c r="F367" s="38" t="str">
        <f>VLOOKUP($A367, [6]!ProductsTable[#Data], 4, FALSE)</f>
        <v xml:space="preserve">LG Chem RESU 10KWh Lithium Battery 10H Prime </v>
      </c>
      <c r="G367" s="38" t="str">
        <f>VLOOKUP($A367, [6]!ProductsTable[#Data], 5, FALSE)</f>
        <v>RESU10H-Prime</v>
      </c>
      <c r="I367" s="41" t="e">
        <f>VLOOKUP($A367, [6]!ProductsTable[#Data], 7, FALSE)</f>
        <v>#REF!</v>
      </c>
      <c r="J367" s="39" t="e">
        <f>VLOOKUP($A367, [6]!ProductsTable[#Data], 8, FALSE)</f>
        <v>#REF!</v>
      </c>
      <c r="K367">
        <f>VLOOKUP($A367, [6]!ProductsTable[#Data], 9, FALSE)</f>
        <v>0</v>
      </c>
      <c r="L367" s="38">
        <f>VLOOKUP($A367, [6]!ProductsTable[#Data], 10, FALSE)</f>
        <v>111</v>
      </c>
      <c r="M367" s="38">
        <f>VLOOKUP($A367, [6]!ProductsTable[#Data], 11, FALSE)</f>
        <v>50.4</v>
      </c>
      <c r="N367" s="38">
        <f>VLOOKUP($A367, [6]!ProductsTable[#Data], 12, FALSE)</f>
        <v>81.7</v>
      </c>
      <c r="O367" s="38">
        <f>VLOOKUP($A367, [6]!ProductsTable[#Data], 13, FALSE)</f>
        <v>29.5</v>
      </c>
      <c r="R367" s="38" t="str">
        <f>VLOOKUP($A367, [6]!ProductsTable[#Data], 14, FALSE)</f>
        <v>2-Krannich</v>
      </c>
      <c r="AE367" t="e">
        <f>COUNTIF('[7]product-export'!$A$2:$A$379, A367)</f>
        <v>#VALUE!</v>
      </c>
    </row>
    <row r="368" spans="1:31" x14ac:dyDescent="0.25">
      <c r="A368" s="76" t="s">
        <v>520</v>
      </c>
      <c r="B368" s="38" t="str">
        <f>VLOOKUP($A368, [6]!ProductsTable[#Data], 2, FALSE)</f>
        <v>Batteries</v>
      </c>
      <c r="C368" s="8" t="s">
        <v>149</v>
      </c>
      <c r="D368" s="8" t="s">
        <v>161</v>
      </c>
      <c r="E368" s="38" t="str">
        <f>VLOOKUP($A368, [6]!ProductsTable[#Data], 3, FALSE)</f>
        <v>LG Chem</v>
      </c>
      <c r="F368" s="38" t="str">
        <f>VLOOKUP($A368, [6]!ProductsTable[#Data], 4, FALSE)</f>
        <v>LG Chem RESU 16KWh Lithium Battery 16H Prime</v>
      </c>
      <c r="G368" s="38" t="str">
        <f>VLOOKUP($A368, [6]!ProductsTable[#Data], 5, FALSE)</f>
        <v>RESU16H-Prime</v>
      </c>
      <c r="I368" s="41" t="e">
        <f>VLOOKUP($A368, [6]!ProductsTable[#Data], 7, FALSE)</f>
        <v>#REF!</v>
      </c>
      <c r="J368" s="39" t="e">
        <f>VLOOKUP($A368, [6]!ProductsTable[#Data], 8, FALSE)</f>
        <v>#REF!</v>
      </c>
      <c r="K368">
        <f>VLOOKUP($A368, [6]!ProductsTable[#Data], 9, FALSE)</f>
        <v>0</v>
      </c>
      <c r="L368" s="38">
        <f>VLOOKUP($A368, [6]!ProductsTable[#Data], 10, FALSE)</f>
        <v>159</v>
      </c>
      <c r="M368" s="38">
        <f>VLOOKUP($A368, [6]!ProductsTable[#Data], 11, FALSE)</f>
        <v>50.4</v>
      </c>
      <c r="N368" s="38">
        <f>VLOOKUP($A368, [6]!ProductsTable[#Data], 12, FALSE)</f>
        <v>108.6</v>
      </c>
      <c r="O368" s="38">
        <f>VLOOKUP($A368, [6]!ProductsTable[#Data], 13, FALSE)</f>
        <v>29.5</v>
      </c>
      <c r="R368" s="38" t="str">
        <f>VLOOKUP($A368, [6]!ProductsTable[#Data], 14, FALSE)</f>
        <v/>
      </c>
      <c r="AE368" t="e">
        <f>COUNTIF('[7]product-export'!$A$2:$A$379, A368)</f>
        <v>#VALUE!</v>
      </c>
    </row>
    <row r="369" spans="1:31" x14ac:dyDescent="0.25">
      <c r="A369" s="76" t="s">
        <v>530</v>
      </c>
      <c r="B369" s="38" t="str">
        <f>VLOOKUP($A369, [6]!ProductsTable[#Data], 2, FALSE)</f>
        <v>Inverters</v>
      </c>
      <c r="C369" s="8" t="s">
        <v>217</v>
      </c>
      <c r="D369" s="8" t="s">
        <v>168</v>
      </c>
      <c r="E369" s="38" t="str">
        <f>VLOOKUP($A369, [6]!ProductsTable[#Data], 3, FALSE)</f>
        <v>Fronius</v>
      </c>
      <c r="F369" s="38" t="str">
        <f>VLOOKUP($A369, [6]!ProductsTable[#Data], 4, FALSE)</f>
        <v>Gen24 Primo 5KW</v>
      </c>
      <c r="G369" s="38" t="str">
        <f>VLOOKUP($A369, [6]!ProductsTable[#Data], 5, FALSE)</f>
        <v>Primo-Gen24-5</v>
      </c>
      <c r="I369" s="41" t="e">
        <f>VLOOKUP($A369, [6]!ProductsTable[#Data], 7, FALSE)</f>
        <v>#REF!</v>
      </c>
      <c r="J369" s="39" t="e">
        <f>VLOOKUP($A369, [6]!ProductsTable[#Data], 8, FALSE)</f>
        <v>#REF!</v>
      </c>
      <c r="K369">
        <f>VLOOKUP($A369, [6]!ProductsTable[#Data], 9, FALSE)</f>
        <v>0</v>
      </c>
      <c r="L369" s="38">
        <f>VLOOKUP($A369, [6]!ProductsTable[#Data], 10, FALSE)</f>
        <v>19</v>
      </c>
      <c r="M369" s="38">
        <f>VLOOKUP($A369, [6]!ProductsTable[#Data], 11, FALSE)</f>
        <v>47.4</v>
      </c>
      <c r="N369" s="38">
        <f>VLOOKUP($A369, [6]!ProductsTable[#Data], 12, FALSE)</f>
        <v>53</v>
      </c>
      <c r="O369" s="38">
        <f>VLOOKUP($A369, [6]!ProductsTable[#Data], 13, FALSE)</f>
        <v>16.5</v>
      </c>
      <c r="R369" s="38" t="str">
        <f>VLOOKUP($A369, [6]!ProductsTable[#Data], 14, FALSE)</f>
        <v>2-Krannich</v>
      </c>
      <c r="AE369" t="e">
        <f>COUNTIF('[7]product-export'!$A$2:$A$379, A369)</f>
        <v>#VALUE!</v>
      </c>
    </row>
    <row r="370" spans="1:31" x14ac:dyDescent="0.25">
      <c r="A370" s="76" t="s">
        <v>531</v>
      </c>
      <c r="B370" s="38" t="str">
        <f>VLOOKUP($A370, [6]!ProductsTable[#Data], 2, FALSE)</f>
        <v>Inverters</v>
      </c>
      <c r="C370" s="8" t="s">
        <v>217</v>
      </c>
      <c r="D370" s="8" t="s">
        <v>168</v>
      </c>
      <c r="E370" s="38" t="str">
        <f>VLOOKUP($A370, [6]!ProductsTable[#Data], 3, FALSE)</f>
        <v>Fronius</v>
      </c>
      <c r="F370" s="38" t="str">
        <f>VLOOKUP($A370, [6]!ProductsTable[#Data], 4, FALSE)</f>
        <v>Gen24 Primo 6KW</v>
      </c>
      <c r="G370" s="38" t="str">
        <f>VLOOKUP($A370, [6]!ProductsTable[#Data], 5, FALSE)</f>
        <v>Primo-Gen24-6</v>
      </c>
      <c r="I370" s="41" t="e">
        <f>VLOOKUP($A370, [6]!ProductsTable[#Data], 7, FALSE)</f>
        <v>#REF!</v>
      </c>
      <c r="J370" s="39" t="e">
        <f>VLOOKUP($A370, [6]!ProductsTable[#Data], 8, FALSE)</f>
        <v>#REF!</v>
      </c>
      <c r="K370">
        <f>VLOOKUP($A370, [6]!ProductsTable[#Data], 9, FALSE)</f>
        <v>0</v>
      </c>
      <c r="L370" s="38">
        <f>VLOOKUP($A370, [6]!ProductsTable[#Data], 10, FALSE)</f>
        <v>19</v>
      </c>
      <c r="M370" s="38">
        <f>VLOOKUP($A370, [6]!ProductsTable[#Data], 11, FALSE)</f>
        <v>47.4</v>
      </c>
      <c r="N370" s="38">
        <f>VLOOKUP($A370, [6]!ProductsTable[#Data], 12, FALSE)</f>
        <v>53</v>
      </c>
      <c r="O370" s="38">
        <f>VLOOKUP($A370, [6]!ProductsTable[#Data], 13, FALSE)</f>
        <v>16.5</v>
      </c>
      <c r="R370" s="38" t="str">
        <f>VLOOKUP($A370, [6]!ProductsTable[#Data], 14, FALSE)</f>
        <v>2-Krannich</v>
      </c>
      <c r="AE370" t="e">
        <f>COUNTIF('[7]product-export'!$A$2:$A$379, A370)</f>
        <v>#VALUE!</v>
      </c>
    </row>
    <row r="371" spans="1:31" x14ac:dyDescent="0.25">
      <c r="A371" s="76" t="s">
        <v>532</v>
      </c>
      <c r="B371" s="38" t="str">
        <f>VLOOKUP($A371, [6]!ProductsTable[#Data], 2, FALSE)</f>
        <v>Inverters</v>
      </c>
      <c r="C371" s="8" t="s">
        <v>217</v>
      </c>
      <c r="D371" s="8" t="s">
        <v>168</v>
      </c>
      <c r="E371" s="38" t="str">
        <f>VLOOKUP($A371, [6]!ProductsTable[#Data], 3, FALSE)</f>
        <v>Fronius</v>
      </c>
      <c r="F371" s="38" t="str">
        <f>VLOOKUP($A371, [6]!ProductsTable[#Data], 4, FALSE)</f>
        <v>Gen24 Symo 5KW</v>
      </c>
      <c r="G371" s="38" t="str">
        <f>VLOOKUP($A371, [6]!ProductsTable[#Data], 5, FALSE)</f>
        <v>Symo-Gen24-5</v>
      </c>
      <c r="I371" s="41" t="e">
        <f>VLOOKUP($A371, [6]!ProductsTable[#Data], 7, FALSE)</f>
        <v>#REF!</v>
      </c>
      <c r="J371" s="39" t="e">
        <f>VLOOKUP($A371, [6]!ProductsTable[#Data], 8, FALSE)</f>
        <v>#REF!</v>
      </c>
      <c r="K371">
        <f>VLOOKUP($A371, [6]!ProductsTable[#Data], 9, FALSE)</f>
        <v>0</v>
      </c>
      <c r="L371" s="38">
        <f>VLOOKUP($A371, [6]!ProductsTable[#Data], 10, FALSE)</f>
        <v>19.399999999999999</v>
      </c>
      <c r="M371" s="38">
        <f>VLOOKUP($A371, [6]!ProductsTable[#Data], 11, FALSE)</f>
        <v>47.4</v>
      </c>
      <c r="N371" s="38">
        <f>VLOOKUP($A371, [6]!ProductsTable[#Data], 12, FALSE)</f>
        <v>53</v>
      </c>
      <c r="O371" s="38">
        <f>VLOOKUP($A371, [6]!ProductsTable[#Data], 13, FALSE)</f>
        <v>16.5</v>
      </c>
      <c r="R371" s="38" t="str">
        <f>VLOOKUP($A371, [6]!ProductsTable[#Data], 14, FALSE)</f>
        <v>2-Krannich</v>
      </c>
      <c r="AE371" t="e">
        <f>COUNTIF('[7]product-export'!$A$2:$A$379, A371)</f>
        <v>#VALUE!</v>
      </c>
    </row>
    <row r="372" spans="1:31" x14ac:dyDescent="0.25">
      <c r="A372" s="76" t="s">
        <v>533</v>
      </c>
      <c r="B372" s="38" t="str">
        <f>VLOOKUP($A372, [6]!ProductsTable[#Data], 2, FALSE)</f>
        <v>Inverters</v>
      </c>
      <c r="C372" s="8" t="s">
        <v>217</v>
      </c>
      <c r="D372" s="8" t="s">
        <v>168</v>
      </c>
      <c r="E372" s="38" t="str">
        <f>VLOOKUP($A372, [6]!ProductsTable[#Data], 3, FALSE)</f>
        <v>Fronius</v>
      </c>
      <c r="F372" s="38" t="str">
        <f>VLOOKUP($A372, [6]!ProductsTable[#Data], 4, FALSE)</f>
        <v>Gen24 Symo 6KW</v>
      </c>
      <c r="G372" s="38" t="str">
        <f>VLOOKUP($A372, [6]!ProductsTable[#Data], 5, FALSE)</f>
        <v>Symo-Gen24-6</v>
      </c>
      <c r="I372" s="41" t="e">
        <f>VLOOKUP($A372, [6]!ProductsTable[#Data], 7, FALSE)</f>
        <v>#REF!</v>
      </c>
      <c r="J372" s="39" t="e">
        <f>VLOOKUP($A372, [6]!ProductsTable[#Data], 8, FALSE)</f>
        <v>#REF!</v>
      </c>
      <c r="K372">
        <f>VLOOKUP($A372, [6]!ProductsTable[#Data], 9, FALSE)</f>
        <v>0</v>
      </c>
      <c r="L372" s="38">
        <f>VLOOKUP($A372, [6]!ProductsTable[#Data], 10, FALSE)</f>
        <v>28.5</v>
      </c>
      <c r="M372" s="38">
        <f>VLOOKUP($A372, [6]!ProductsTable[#Data], 11, FALSE)</f>
        <v>52.9</v>
      </c>
      <c r="N372" s="38">
        <f>VLOOKUP($A372, [6]!ProductsTable[#Data], 12, FALSE)</f>
        <v>59.5</v>
      </c>
      <c r="O372" s="38">
        <f>VLOOKUP($A372, [6]!ProductsTable[#Data], 13, FALSE)</f>
        <v>18</v>
      </c>
      <c r="R372" s="38" t="str">
        <f>VLOOKUP($A372, [6]!ProductsTable[#Data], 14, FALSE)</f>
        <v>2-Krannich</v>
      </c>
      <c r="AE372" t="e">
        <f>COUNTIF('[7]product-export'!$A$2:$A$379, A372)</f>
        <v>#VALUE!</v>
      </c>
    </row>
    <row r="373" spans="1:31" x14ac:dyDescent="0.25">
      <c r="A373" s="76" t="s">
        <v>534</v>
      </c>
      <c r="B373" s="38" t="str">
        <f>VLOOKUP($A373, [6]!ProductsTable[#Data], 2, FALSE)</f>
        <v>Inverters</v>
      </c>
      <c r="C373" s="8" t="s">
        <v>217</v>
      </c>
      <c r="D373" s="8" t="s">
        <v>168</v>
      </c>
      <c r="E373" s="38" t="str">
        <f>VLOOKUP($A373, [6]!ProductsTable[#Data], 3, FALSE)</f>
        <v>Fronius</v>
      </c>
      <c r="F373" s="38" t="str">
        <f>VLOOKUP($A373, [6]!ProductsTable[#Data], 4, FALSE)</f>
        <v>Gen24 Symo 8KW</v>
      </c>
      <c r="G373" s="38" t="str">
        <f>VLOOKUP($A373, [6]!ProductsTable[#Data], 5, FALSE)</f>
        <v>Symo-Gen24-8</v>
      </c>
      <c r="I373" s="41" t="e">
        <f>VLOOKUP($A373, [6]!ProductsTable[#Data], 7, FALSE)</f>
        <v>#REF!</v>
      </c>
      <c r="J373" s="39" t="e">
        <f>VLOOKUP($A373, [6]!ProductsTable[#Data], 8, FALSE)</f>
        <v>#REF!</v>
      </c>
      <c r="K373">
        <f>VLOOKUP($A373, [6]!ProductsTable[#Data], 9, FALSE)</f>
        <v>0</v>
      </c>
      <c r="L373" s="38">
        <f>VLOOKUP($A373, [6]!ProductsTable[#Data], 10, FALSE)</f>
        <v>28.5</v>
      </c>
      <c r="M373" s="38">
        <f>VLOOKUP($A373, [6]!ProductsTable[#Data], 11, FALSE)</f>
        <v>52.9</v>
      </c>
      <c r="N373" s="38">
        <f>VLOOKUP($A373, [6]!ProductsTable[#Data], 12, FALSE)</f>
        <v>59.5</v>
      </c>
      <c r="O373" s="38">
        <f>VLOOKUP($A373, [6]!ProductsTable[#Data], 13, FALSE)</f>
        <v>18</v>
      </c>
      <c r="R373" s="38" t="str">
        <f>VLOOKUP($A373, [6]!ProductsTable[#Data], 14, FALSE)</f>
        <v>2-Krannich</v>
      </c>
      <c r="AE373" t="e">
        <f>COUNTIF('[7]product-export'!$A$2:$A$379, A373)</f>
        <v>#VALUE!</v>
      </c>
    </row>
    <row r="374" spans="1:31" x14ac:dyDescent="0.25">
      <c r="A374" s="76" t="s">
        <v>535</v>
      </c>
      <c r="B374" s="38" t="str">
        <f>VLOOKUP($A374, [6]!ProductsTable[#Data], 2, FALSE)</f>
        <v>Inverters</v>
      </c>
      <c r="C374" s="8" t="s">
        <v>217</v>
      </c>
      <c r="D374" s="8" t="s">
        <v>168</v>
      </c>
      <c r="E374" s="38" t="str">
        <f>VLOOKUP($A374, [6]!ProductsTable[#Data], 3, FALSE)</f>
        <v>Fronius</v>
      </c>
      <c r="F374" s="38" t="str">
        <f>VLOOKUP($A374, [6]!ProductsTable[#Data], 4, FALSE)</f>
        <v>Gen24 Symo 10KW</v>
      </c>
      <c r="G374" s="38" t="str">
        <f>VLOOKUP($A374, [6]!ProductsTable[#Data], 5, FALSE)</f>
        <v>Symo-Gen24-10</v>
      </c>
      <c r="I374" s="41" t="e">
        <f>VLOOKUP($A374, [6]!ProductsTable[#Data], 7, FALSE)</f>
        <v>#REF!</v>
      </c>
      <c r="J374" s="39" t="e">
        <f>VLOOKUP($A374, [6]!ProductsTable[#Data], 8, FALSE)</f>
        <v>#REF!</v>
      </c>
      <c r="K374">
        <f>VLOOKUP($A374, [6]!ProductsTable[#Data], 9, FALSE)</f>
        <v>0</v>
      </c>
      <c r="L374" s="38">
        <f>VLOOKUP($A374, [6]!ProductsTable[#Data], 10, FALSE)</f>
        <v>28.5</v>
      </c>
      <c r="M374" s="38">
        <f>VLOOKUP($A374, [6]!ProductsTable[#Data], 11, FALSE)</f>
        <v>52.9</v>
      </c>
      <c r="N374" s="38">
        <f>VLOOKUP($A374, [6]!ProductsTable[#Data], 12, FALSE)</f>
        <v>59.5</v>
      </c>
      <c r="O374" s="38">
        <f>VLOOKUP($A374, [6]!ProductsTable[#Data], 13, FALSE)</f>
        <v>18</v>
      </c>
      <c r="R374" s="38" t="str">
        <f>VLOOKUP($A374, [6]!ProductsTable[#Data], 14, FALSE)</f>
        <v>2-Krannich</v>
      </c>
      <c r="AE374" t="e">
        <f>COUNTIF('[7]product-export'!$A$2:$A$379, A374)</f>
        <v>#VALUE!</v>
      </c>
    </row>
    <row r="375" spans="1:31" x14ac:dyDescent="0.25">
      <c r="A375" s="76" t="s">
        <v>85</v>
      </c>
      <c r="B375" s="38" t="str">
        <f>VLOOKUP($A375, [6]!ProductsTable[#Data], 2, FALSE)</f>
        <v>Solar Controllers</v>
      </c>
      <c r="C375" s="8" t="s">
        <v>217</v>
      </c>
      <c r="D375" s="8" t="s">
        <v>167</v>
      </c>
      <c r="E375" s="38" t="str">
        <f>VLOOKUP($A375, [6]!ProductsTable[#Data], 3, FALSE)</f>
        <v>Victron</v>
      </c>
      <c r="F375" s="38" t="str">
        <f>VLOOKUP($A375, [6]!ProductsTable[#Data], 4, FALSE)</f>
        <v>SmartSolar MPPT RS 450/100-Tr</v>
      </c>
      <c r="G375" s="38" t="str">
        <f>VLOOKUP($A375, [6]!ProductsTable[#Data], 5, FALSE)</f>
        <v>SCC145110410</v>
      </c>
      <c r="I375" s="41" t="e">
        <f>VLOOKUP($A375, [6]!ProductsTable[#Data], 7, FALSE)</f>
        <v>#REF!</v>
      </c>
      <c r="J375" s="39" t="e">
        <f>VLOOKUP($A375, [6]!ProductsTable[#Data], 8, FALSE)</f>
        <v>#REF!</v>
      </c>
      <c r="K375">
        <f>VLOOKUP($A375, [6]!ProductsTable[#Data], 9, FALSE)</f>
        <v>0</v>
      </c>
      <c r="L375" s="38">
        <f>VLOOKUP($A375, [6]!ProductsTable[#Data], 10, FALSE)</f>
        <v>7.9</v>
      </c>
      <c r="M375" s="38">
        <f>VLOOKUP($A375, [6]!ProductsTable[#Data], 11, FALSE)</f>
        <v>32</v>
      </c>
      <c r="N375" s="38">
        <f>VLOOKUP($A375, [6]!ProductsTable[#Data], 12, FALSE)</f>
        <v>4.4000000000000004</v>
      </c>
      <c r="O375" s="38">
        <f>VLOOKUP($A375, [6]!ProductsTable[#Data], 13, FALSE)</f>
        <v>13</v>
      </c>
      <c r="R375" s="38" t="str">
        <f>VLOOKUP($A375, [6]!ProductsTable[#Data], 14, FALSE)</f>
        <v>1-Victron</v>
      </c>
      <c r="AE375" t="e">
        <f>COUNTIF('[7]product-export'!$A$2:$A$379, A375)</f>
        <v>#VALUE!</v>
      </c>
    </row>
    <row r="376" spans="1:31" x14ac:dyDescent="0.25">
      <c r="A376" s="76" t="s">
        <v>528</v>
      </c>
      <c r="B376" s="38" t="str">
        <f>VLOOKUP($A376, [6]!ProductsTable[#Data], 2, FALSE)</f>
        <v>Solar Controllers</v>
      </c>
      <c r="C376" s="8" t="s">
        <v>217</v>
      </c>
      <c r="D376" s="8" t="s">
        <v>167</v>
      </c>
      <c r="E376" s="38" t="str">
        <f>VLOOKUP($A376, [6]!ProductsTable[#Data], 3, FALSE)</f>
        <v>Victron</v>
      </c>
      <c r="F376" s="38" t="str">
        <f>VLOOKUP($A376, [6]!ProductsTable[#Data], 4, FALSE)</f>
        <v>SmartSolar MPPT RS 450/200-Tr</v>
      </c>
      <c r="G376" s="38" t="str">
        <f>VLOOKUP($A376, [6]!ProductsTable[#Data], 5, FALSE)</f>
        <v>SCC145120410</v>
      </c>
      <c r="I376" s="41" t="e">
        <f>VLOOKUP($A376, [6]!ProductsTable[#Data], 7, FALSE)</f>
        <v>#REF!</v>
      </c>
      <c r="J376" s="39" t="e">
        <f>VLOOKUP($A376, [6]!ProductsTable[#Data], 8, FALSE)</f>
        <v>#REF!</v>
      </c>
      <c r="K376">
        <f>VLOOKUP($A376, [6]!ProductsTable[#Data], 9, FALSE)</f>
        <v>0</v>
      </c>
      <c r="L376" s="38">
        <f>VLOOKUP($A376, [6]!ProductsTable[#Data], 10, FALSE)</f>
        <v>13.7</v>
      </c>
      <c r="M376" s="38">
        <f>VLOOKUP($A376, [6]!ProductsTable[#Data], 11, FALSE)</f>
        <v>44</v>
      </c>
      <c r="N376" s="38">
        <f>VLOOKUP($A376, [6]!ProductsTable[#Data], 12, FALSE)</f>
        <v>49</v>
      </c>
      <c r="O376" s="38">
        <f>VLOOKUP($A376, [6]!ProductsTable[#Data], 13, FALSE)</f>
        <v>15</v>
      </c>
      <c r="R376" s="38" t="str">
        <f>VLOOKUP($A376, [6]!ProductsTable[#Data], 14, FALSE)</f>
        <v>1-Victron</v>
      </c>
      <c r="AE376" t="e">
        <f>COUNTIF('[7]product-export'!$A$2:$A$379, A376)</f>
        <v>#VALUE!</v>
      </c>
    </row>
    <row r="377" spans="1:31" x14ac:dyDescent="0.25">
      <c r="A377" s="76" t="s">
        <v>541</v>
      </c>
      <c r="B377" s="38" t="str">
        <f>VLOOKUP($A377, [6]!ProductsTable[#Data], 2, FALSE)</f>
        <v>Solar Panels</v>
      </c>
      <c r="C377" s="8" t="s">
        <v>217</v>
      </c>
      <c r="D377" s="8" t="s">
        <v>167</v>
      </c>
      <c r="E377" s="38" t="str">
        <f>VLOOKUP($A377, [6]!ProductsTable[#Data], 3, FALSE)</f>
        <v>Trina</v>
      </c>
      <c r="F377" s="38" t="str">
        <f>VLOOKUP($A377, [6]!ProductsTable[#Data], 4, FALSE)</f>
        <v xml:space="preserve">Solar Panel 400W Mono </v>
      </c>
      <c r="G377" s="38" t="str">
        <f>VLOOKUP($A377, [6]!ProductsTable[#Data], 5, FALSE)</f>
        <v>TSM-DE09.08-400W</v>
      </c>
      <c r="I377" s="41" t="e">
        <f>VLOOKUP($A377, [6]!ProductsTable[#Data], 7, FALSE)</f>
        <v>#REF!</v>
      </c>
      <c r="J377" s="39" t="e">
        <f>VLOOKUP($A377, [6]!ProductsTable[#Data], 8, FALSE)</f>
        <v>#REF!</v>
      </c>
      <c r="K377">
        <f>VLOOKUP($A377, [6]!ProductsTable[#Data], 9, FALSE)</f>
        <v>0</v>
      </c>
      <c r="L377" s="38">
        <f>VLOOKUP($A377, [6]!ProductsTable[#Data], 10, FALSE)</f>
        <v>20</v>
      </c>
      <c r="M377" s="38">
        <f>VLOOKUP($A377, [6]!ProductsTable[#Data], 11, FALSE)</f>
        <v>170</v>
      </c>
      <c r="N377" s="38">
        <f>VLOOKUP($A377, [6]!ProductsTable[#Data], 12, FALSE)</f>
        <v>100</v>
      </c>
      <c r="O377" s="38">
        <f>VLOOKUP($A377, [6]!ProductsTable[#Data], 13, FALSE)</f>
        <v>4</v>
      </c>
      <c r="R377" s="38" t="str">
        <f>VLOOKUP($A377, [6]!ProductsTable[#Data], 14, FALSE)</f>
        <v>3-Tradezone</v>
      </c>
      <c r="AE377" t="e">
        <f>COUNTIF('[7]product-export'!$A$2:$A$379, A377)</f>
        <v>#VALUE!</v>
      </c>
    </row>
    <row r="378" spans="1:31" x14ac:dyDescent="0.25">
      <c r="A378" s="76" t="s">
        <v>543</v>
      </c>
      <c r="B378" s="38" t="str">
        <f>VLOOKUP($A378, [6]!ProductsTable[#Data], 2, FALSE)</f>
        <v>Solar Panels</v>
      </c>
      <c r="C378" s="8" t="s">
        <v>216</v>
      </c>
      <c r="D378" s="8" t="s">
        <v>222</v>
      </c>
      <c r="E378" s="38" t="str">
        <f>VLOOKUP($A378, [6]!ProductsTable[#Data], 3, FALSE)</f>
        <v>Clenergy</v>
      </c>
      <c r="F378" s="38" t="str">
        <f>VLOOKUP($A378, [6]!ProductsTable[#Data], 4, FALSE)</f>
        <v>Racking Kit, 4 PV Module 30mm for Tin roof</v>
      </c>
      <c r="G378" s="38" t="str">
        <f>VLOOKUP($A378, [6]!ProductsTable[#Data], 5, FALSE)</f>
        <v>Rack.Clen.4T30</v>
      </c>
      <c r="I378" s="41" t="e">
        <f>VLOOKUP($A378, [6]!ProductsTable[#Data], 7, FALSE)</f>
        <v>#REF!</v>
      </c>
      <c r="J378" s="39" t="e">
        <f>VLOOKUP($A378, [6]!ProductsTable[#Data], 8, FALSE)</f>
        <v>#REF!</v>
      </c>
      <c r="K378">
        <f>VLOOKUP($A378, [6]!ProductsTable[#Data], 9, FALSE)</f>
        <v>0</v>
      </c>
      <c r="L378" s="38">
        <f>VLOOKUP($A378, [6]!ProductsTable[#Data], 10, FALSE)</f>
        <v>8.5</v>
      </c>
      <c r="M378" s="38">
        <f>VLOOKUP($A378, [6]!ProductsTable[#Data], 11, FALSE)</f>
        <v>420</v>
      </c>
      <c r="N378" s="38">
        <f>VLOOKUP($A378, [6]!ProductsTable[#Data], 12, FALSE)</f>
        <v>20</v>
      </c>
      <c r="O378" s="38">
        <f>VLOOKUP($A378, [6]!ProductsTable[#Data], 13, FALSE)</f>
        <v>16</v>
      </c>
      <c r="R378" s="38" t="str">
        <f>VLOOKUP($A378, [6]!ProductsTable[#Data], 14, FALSE)</f>
        <v>6-Various</v>
      </c>
      <c r="AE378" t="e">
        <f>COUNTIF('[7]product-export'!$A$2:$A$379, A378)</f>
        <v>#VALUE!</v>
      </c>
    </row>
    <row r="379" spans="1:31" x14ac:dyDescent="0.25">
      <c r="A379" s="76" t="s">
        <v>544</v>
      </c>
      <c r="B379" s="38" t="str">
        <f>VLOOKUP($A379, [6]!ProductsTable[#Data], 2, FALSE)</f>
        <v>Solar Panels</v>
      </c>
      <c r="C379" s="8" t="s">
        <v>216</v>
      </c>
      <c r="D379" s="8" t="s">
        <v>222</v>
      </c>
      <c r="E379" s="38" t="str">
        <f>VLOOKUP($A379, [6]!ProductsTable[#Data], 3, FALSE)</f>
        <v>ecoCool</v>
      </c>
      <c r="F379" s="38" t="str">
        <f>VLOOKUP($A379, [6]!ProductsTable[#Data], 4, FALSE)</f>
        <v>Cable ties, clips &amp; MC4 pack, 4 PV Module</v>
      </c>
      <c r="G379" s="38" t="str">
        <f>VLOOKUP($A379, [6]!ProductsTable[#Data], 5, FALSE)</f>
        <v>PV.BOS.01</v>
      </c>
      <c r="I379" s="41" t="e">
        <f>VLOOKUP($A379, [6]!ProductsTable[#Data], 7, FALSE)</f>
        <v>#REF!</v>
      </c>
      <c r="J379" s="39" t="e">
        <f>VLOOKUP($A379, [6]!ProductsTable[#Data], 8, FALSE)</f>
        <v>#REF!</v>
      </c>
      <c r="K379">
        <f>VLOOKUP($A379, [6]!ProductsTable[#Data], 9, FALSE)</f>
        <v>0</v>
      </c>
      <c r="L379" s="38">
        <f>VLOOKUP($A379, [6]!ProductsTable[#Data], 10, FALSE)</f>
        <v>1</v>
      </c>
      <c r="M379" s="38">
        <f>VLOOKUP($A379, [6]!ProductsTable[#Data], 11, FALSE)</f>
        <v>18</v>
      </c>
      <c r="N379" s="38">
        <f>VLOOKUP($A379, [6]!ProductsTable[#Data], 12, FALSE)</f>
        <v>12</v>
      </c>
      <c r="O379" s="38">
        <f>VLOOKUP($A379, [6]!ProductsTable[#Data], 13, FALSE)</f>
        <v>7</v>
      </c>
      <c r="R379" s="38" t="str">
        <f>VLOOKUP($A379, [6]!ProductsTable[#Data], 14, FALSE)</f>
        <v>6-Various</v>
      </c>
      <c r="AE379" t="e">
        <f>COUNTIF('[7]product-export'!$A$2:$A$379, A379)</f>
        <v>#VALUE!</v>
      </c>
    </row>
    <row r="380" spans="1:31" x14ac:dyDescent="0.25">
      <c r="A380" s="76" t="s">
        <v>568</v>
      </c>
      <c r="B380" s="38" t="e">
        <f>VLOOKUP($A380, [6]!ProductsTable[#Data], 2, FALSE)</f>
        <v>#N/A</v>
      </c>
      <c r="C380" s="8" t="s">
        <v>150</v>
      </c>
      <c r="D380" s="8" t="s">
        <v>235</v>
      </c>
      <c r="E380" s="38" t="e">
        <f>VLOOKUP($A380, [6]!ProductsTable[#Data], 3, FALSE)</f>
        <v>#N/A</v>
      </c>
      <c r="F380" s="38" t="e">
        <f>VLOOKUP($A380, [6]!ProductsTable[#Data], 4, FALSE)</f>
        <v>#N/A</v>
      </c>
      <c r="G380" s="38" t="e">
        <f>VLOOKUP($A380, [6]!ProductsTable[#Data], 5, FALSE)</f>
        <v>#N/A</v>
      </c>
      <c r="I380" s="41" t="e">
        <f>VLOOKUP($A380, [6]!ProductsTable[#Data], 7, FALSE)</f>
        <v>#N/A</v>
      </c>
      <c r="J380" s="39" t="e">
        <f>VLOOKUP($A380, [6]!ProductsTable[#Data], 8, FALSE)</f>
        <v>#N/A</v>
      </c>
      <c r="K380" t="e">
        <f>VLOOKUP($A380, [6]!ProductsTable[#Data], 9, FALSE)</f>
        <v>#N/A</v>
      </c>
      <c r="L380" s="38" t="e">
        <f>VLOOKUP($A380, [6]!ProductsTable[#Data], 10, FALSE)</f>
        <v>#N/A</v>
      </c>
      <c r="M380" s="38" t="e">
        <f>VLOOKUP($A380, [6]!ProductsTable[#Data], 11, FALSE)</f>
        <v>#N/A</v>
      </c>
      <c r="N380" s="38" t="e">
        <f>VLOOKUP($A380, [6]!ProductsTable[#Data], 12, FALSE)</f>
        <v>#N/A</v>
      </c>
      <c r="O380" s="38" t="e">
        <f>VLOOKUP($A380, [6]!ProductsTable[#Data], 13, FALSE)</f>
        <v>#N/A</v>
      </c>
      <c r="R380" s="38" t="e">
        <f>VLOOKUP($A380, [6]!ProductsTable[#Data], 14, FALSE)</f>
        <v>#N/A</v>
      </c>
      <c r="AE380" t="e">
        <f>COUNTIF('[7]product-export'!$A$2:$A$379, A380)</f>
        <v>#VALUE!</v>
      </c>
    </row>
    <row r="381" spans="1:31" x14ac:dyDescent="0.25">
      <c r="A381" s="76" t="s">
        <v>571</v>
      </c>
      <c r="B381" s="38" t="str">
        <f>VLOOKUP($A381, [6]!ProductsTable[#Data], 2, FALSE)</f>
        <v>K-Series Battery Systems</v>
      </c>
      <c r="C381" s="8" t="s">
        <v>150</v>
      </c>
      <c r="D381" s="8" t="s">
        <v>235</v>
      </c>
      <c r="E381" s="38" t="str">
        <f>VLOOKUP($A381, [6]!ProductsTable[#Data], 3, FALSE)</f>
        <v>ecoCool</v>
      </c>
      <c r="F381" s="38" t="str">
        <f>VLOOKUP($A381, [6]!ProductsTable[#Data], 4, FALSE)</f>
        <v>K32 Lithium Battery 15 KWh, 3000VA, 150/45 MPPT</v>
      </c>
      <c r="G381" s="38" t="str">
        <f>VLOOKUP($A381, [6]!ProductsTable[#Data], 5, FALSE)</f>
        <v>K32.3000.G.150-45</v>
      </c>
      <c r="I381" s="41" t="e">
        <f>VLOOKUP($A381, [6]!ProductsTable[#Data], 7, FALSE)</f>
        <v>#REF!</v>
      </c>
      <c r="J381" s="39" t="e">
        <f>VLOOKUP($A381, [6]!ProductsTable[#Data], 8, FALSE)</f>
        <v>#REF!</v>
      </c>
      <c r="K381">
        <f>VLOOKUP($A381, [6]!ProductsTable[#Data], 9, FALSE)</f>
        <v>0</v>
      </c>
      <c r="L381" s="38">
        <f>VLOOKUP($A381, [6]!ProductsTable[#Data], 10, FALSE)</f>
        <v>171.72</v>
      </c>
      <c r="M381" s="38">
        <f>VLOOKUP($A381, [6]!ProductsTable[#Data], 11, FALSE)</f>
        <v>88.5</v>
      </c>
      <c r="N381" s="38">
        <f>VLOOKUP($A381, [6]!ProductsTable[#Data], 12, FALSE)</f>
        <v>80</v>
      </c>
      <c r="O381" s="38">
        <f>VLOOKUP($A381, [6]!ProductsTable[#Data], 13, FALSE)</f>
        <v>40</v>
      </c>
      <c r="R381" s="38" t="str">
        <f>VLOOKUP($A381, [6]!ProductsTable[#Data], 14, FALSE)</f>
        <v>0-ecoCool</v>
      </c>
      <c r="AE381" t="e">
        <f>COUNTIF('[7]product-export'!$A$2:$A$379, A381)</f>
        <v>#VALUE!</v>
      </c>
    </row>
    <row r="382" spans="1:31" x14ac:dyDescent="0.25">
      <c r="A382" s="76" t="s">
        <v>575</v>
      </c>
      <c r="B382" s="38" t="str">
        <f>VLOOKUP($A382, [6]!ProductsTable[#Data], 2, FALSE)</f>
        <v>K-Series Battery Systems</v>
      </c>
      <c r="C382" s="8" t="s">
        <v>150</v>
      </c>
      <c r="D382" s="8" t="s">
        <v>235</v>
      </c>
      <c r="E382" s="38" t="str">
        <f>VLOOKUP($A382, [6]!ProductsTable[#Data], 3, FALSE)</f>
        <v>ecoCool</v>
      </c>
      <c r="F382" s="38" t="str">
        <f>VLOOKUP($A382, [6]!ProductsTable[#Data], 4, FALSE)</f>
        <v>K32 Lithium Battery 5 KWh, 3000VA, 150/45 MPPT</v>
      </c>
      <c r="G382" s="38" t="str">
        <f>VLOOKUP($A382, [6]!ProductsTable[#Data], 5, FALSE)</f>
        <v>K32.3000.G.50-45</v>
      </c>
      <c r="I382" s="41" t="e">
        <f>VLOOKUP($A382, [6]!ProductsTable[#Data], 7, FALSE)</f>
        <v>#REF!</v>
      </c>
      <c r="J382" s="39" t="e">
        <f>VLOOKUP($A382, [6]!ProductsTable[#Data], 8, FALSE)</f>
        <v>#REF!</v>
      </c>
      <c r="K382">
        <f>VLOOKUP($A382, [6]!ProductsTable[#Data], 9, FALSE)</f>
        <v>0</v>
      </c>
      <c r="L382" s="38">
        <f>VLOOKUP($A382, [6]!ProductsTable[#Data], 10, FALSE)</f>
        <v>99.72</v>
      </c>
      <c r="M382" s="38">
        <f>VLOOKUP($A382, [6]!ProductsTable[#Data], 11, FALSE)</f>
        <v>88.5</v>
      </c>
      <c r="N382" s="38">
        <f>VLOOKUP($A382, [6]!ProductsTable[#Data], 12, FALSE)</f>
        <v>80</v>
      </c>
      <c r="O382" s="38">
        <f>VLOOKUP($A382, [6]!ProductsTable[#Data], 13, FALSE)</f>
        <v>40</v>
      </c>
      <c r="R382" s="38" t="str">
        <f>VLOOKUP($A382, [6]!ProductsTable[#Data], 14, FALSE)</f>
        <v>0-ecoCool</v>
      </c>
      <c r="AE382" t="e">
        <f>COUNTIF('[7]product-export'!$A$2:$A$379, A382)</f>
        <v>#VALUE!</v>
      </c>
    </row>
    <row r="383" spans="1:31" x14ac:dyDescent="0.25">
      <c r="A383" s="76" t="s">
        <v>569</v>
      </c>
      <c r="B383" s="38" t="e">
        <f>VLOOKUP($A383, [6]!ProductsTable[#Data], 2, FALSE)</f>
        <v>#N/A</v>
      </c>
      <c r="C383" s="8" t="s">
        <v>150</v>
      </c>
      <c r="D383" s="8" t="s">
        <v>235</v>
      </c>
      <c r="E383" s="38" t="e">
        <f>VLOOKUP($A383, [6]!ProductsTable[#Data], 3, FALSE)</f>
        <v>#N/A</v>
      </c>
      <c r="F383" s="38" t="e">
        <f>VLOOKUP($A383, [6]!ProductsTable[#Data], 4, FALSE)</f>
        <v>#N/A</v>
      </c>
      <c r="G383" s="38" t="e">
        <f>VLOOKUP($A383, [6]!ProductsTable[#Data], 5, FALSE)</f>
        <v>#N/A</v>
      </c>
      <c r="I383" s="41" t="e">
        <f>VLOOKUP($A383, [6]!ProductsTable[#Data], 7, FALSE)</f>
        <v>#N/A</v>
      </c>
      <c r="J383" s="39" t="e">
        <f>VLOOKUP($A383, [6]!ProductsTable[#Data], 8, FALSE)</f>
        <v>#N/A</v>
      </c>
      <c r="K383" t="e">
        <f>VLOOKUP($A383, [6]!ProductsTable[#Data], 9, FALSE)</f>
        <v>#N/A</v>
      </c>
      <c r="L383" s="38" t="e">
        <f>VLOOKUP($A383, [6]!ProductsTable[#Data], 10, FALSE)</f>
        <v>#N/A</v>
      </c>
      <c r="M383" s="38" t="e">
        <f>VLOOKUP($A383, [6]!ProductsTable[#Data], 11, FALSE)</f>
        <v>#N/A</v>
      </c>
      <c r="N383" s="38" t="e">
        <f>VLOOKUP($A383, [6]!ProductsTable[#Data], 12, FALSE)</f>
        <v>#N/A</v>
      </c>
      <c r="O383" s="38" t="e">
        <f>VLOOKUP($A383, [6]!ProductsTable[#Data], 13, FALSE)</f>
        <v>#N/A</v>
      </c>
      <c r="R383" s="38" t="e">
        <f>VLOOKUP($A383, [6]!ProductsTable[#Data], 14, FALSE)</f>
        <v>#N/A</v>
      </c>
      <c r="AE383" t="e">
        <f>COUNTIF('[7]product-export'!$A$2:$A$379, A383)</f>
        <v>#VALUE!</v>
      </c>
    </row>
    <row r="384" spans="1:31" x14ac:dyDescent="0.25">
      <c r="A384" s="76" t="s">
        <v>570</v>
      </c>
      <c r="B384" s="38" t="e">
        <f>VLOOKUP($A384, [6]!ProductsTable[#Data], 2, FALSE)</f>
        <v>#N/A</v>
      </c>
      <c r="C384" s="8" t="s">
        <v>150</v>
      </c>
      <c r="D384" s="8" t="s">
        <v>235</v>
      </c>
      <c r="E384" s="38" t="e">
        <f>VLOOKUP($A384, [6]!ProductsTable[#Data], 3, FALSE)</f>
        <v>#N/A</v>
      </c>
      <c r="F384" s="38" t="e">
        <f>VLOOKUP($A384, [6]!ProductsTable[#Data], 4, FALSE)</f>
        <v>#N/A</v>
      </c>
      <c r="G384" s="38" t="e">
        <f>VLOOKUP($A384, [6]!ProductsTable[#Data], 5, FALSE)</f>
        <v>#N/A</v>
      </c>
      <c r="I384" s="41" t="e">
        <f>VLOOKUP($A384, [6]!ProductsTable[#Data], 7, FALSE)</f>
        <v>#N/A</v>
      </c>
      <c r="J384" s="39" t="e">
        <f>VLOOKUP($A384, [6]!ProductsTable[#Data], 8, FALSE)</f>
        <v>#N/A</v>
      </c>
      <c r="K384" t="e">
        <f>VLOOKUP($A384, [6]!ProductsTable[#Data], 9, FALSE)</f>
        <v>#N/A</v>
      </c>
      <c r="L384" s="38" t="e">
        <f>VLOOKUP($A384, [6]!ProductsTable[#Data], 10, FALSE)</f>
        <v>#N/A</v>
      </c>
      <c r="M384" s="38" t="e">
        <f>VLOOKUP($A384, [6]!ProductsTable[#Data], 11, FALSE)</f>
        <v>#N/A</v>
      </c>
      <c r="N384" s="38" t="e">
        <f>VLOOKUP($A384, [6]!ProductsTable[#Data], 12, FALSE)</f>
        <v>#N/A</v>
      </c>
      <c r="O384" s="38" t="e">
        <f>VLOOKUP($A384, [6]!ProductsTable[#Data], 13, FALSE)</f>
        <v>#N/A</v>
      </c>
      <c r="R384" s="38" t="e">
        <f>VLOOKUP($A384, [6]!ProductsTable[#Data], 14, FALSE)</f>
        <v>#N/A</v>
      </c>
      <c r="AE384" t="e">
        <f>COUNTIF('[7]product-export'!$A$2:$A$379, A384)</f>
        <v>#VALUE!</v>
      </c>
    </row>
    <row r="385" spans="1:31" x14ac:dyDescent="0.25">
      <c r="A385" s="76" t="s">
        <v>593</v>
      </c>
      <c r="B385" s="38" t="str">
        <f>VLOOKUP($A385, [6]!ProductsTable[#Data], 2, FALSE)</f>
        <v>K-Series Battery Systems</v>
      </c>
      <c r="C385" s="8" t="s">
        <v>150</v>
      </c>
      <c r="D385" s="8" t="s">
        <v>235</v>
      </c>
      <c r="E385" s="38" t="str">
        <f>VLOOKUP($A385, [6]!ProductsTable[#Data], 3, FALSE)</f>
        <v>ecoCool</v>
      </c>
      <c r="F385" s="38" t="str">
        <f>VLOOKUP($A385, [6]!ProductsTable[#Data], 4, FALSE)</f>
        <v>K32 0KWh Expansion 3 Module Enclosure</v>
      </c>
      <c r="G385" s="38" t="str">
        <f>VLOOKUP($A385, [6]!ProductsTable[#Data], 5, FALSE)</f>
        <v>K32.EXP.00</v>
      </c>
      <c r="I385" s="41" t="e">
        <f>VLOOKUP($A385, [6]!ProductsTable[#Data], 7, FALSE)</f>
        <v>#REF!</v>
      </c>
      <c r="J385" s="39" t="e">
        <f>VLOOKUP($A385, [6]!ProductsTable[#Data], 8, FALSE)</f>
        <v>#REF!</v>
      </c>
      <c r="K385">
        <f>VLOOKUP($A385, [6]!ProductsTable[#Data], 9, FALSE)</f>
        <v>0</v>
      </c>
      <c r="L385" s="38">
        <f>VLOOKUP($A385, [6]!ProductsTable[#Data], 10, FALSE)</f>
        <v>67.55</v>
      </c>
      <c r="M385" s="38">
        <f>VLOOKUP($A385, [6]!ProductsTable[#Data], 11, FALSE)</f>
        <v>60</v>
      </c>
      <c r="N385" s="38">
        <f>VLOOKUP($A385, [6]!ProductsTable[#Data], 12, FALSE)</f>
        <v>60</v>
      </c>
      <c r="O385" s="38">
        <f>VLOOKUP($A385, [6]!ProductsTable[#Data], 13, FALSE)</f>
        <v>40</v>
      </c>
      <c r="R385" s="38" t="str">
        <f>VLOOKUP($A385, [6]!ProductsTable[#Data], 14, FALSE)</f>
        <v>0-ecoCool</v>
      </c>
      <c r="AE385" t="e">
        <f>COUNTIF('[7]product-export'!$A$2:$A$379, A385)</f>
        <v>#VALUE!</v>
      </c>
    </row>
    <row r="386" spans="1:31" x14ac:dyDescent="0.25">
      <c r="A386" s="76" t="s">
        <v>595</v>
      </c>
      <c r="B386" s="38" t="str">
        <f>VLOOKUP($A386, [6]!ProductsTable[#Data], 2, FALSE)</f>
        <v>K-Series Battery Systems</v>
      </c>
      <c r="C386" s="8" t="s">
        <v>150</v>
      </c>
      <c r="D386" s="8" t="s">
        <v>235</v>
      </c>
      <c r="E386" s="38" t="str">
        <f>VLOOKUP($A386, [6]!ProductsTable[#Data], 3, FALSE)</f>
        <v>ecoCool</v>
      </c>
      <c r="F386" s="38" t="str">
        <f>VLOOKUP($A386, [6]!ProductsTable[#Data], 4, FALSE)</f>
        <v>K32 10KWh Expansion 3 Module Enclosure</v>
      </c>
      <c r="G386" s="38" t="str">
        <f>VLOOKUP($A386, [6]!ProductsTable[#Data], 5, FALSE)</f>
        <v>K32.EXP.100</v>
      </c>
      <c r="I386" s="41" t="e">
        <f>VLOOKUP($A386, [6]!ProductsTable[#Data], 7, FALSE)</f>
        <v>#REF!</v>
      </c>
      <c r="J386" s="39" t="e">
        <f>VLOOKUP($A386, [6]!ProductsTable[#Data], 8, FALSE)</f>
        <v>#REF!</v>
      </c>
      <c r="K386">
        <f>VLOOKUP($A386, [6]!ProductsTable[#Data], 9, FALSE)</f>
        <v>0</v>
      </c>
      <c r="L386" s="38">
        <f>VLOOKUP($A386, [6]!ProductsTable[#Data], 10, FALSE)</f>
        <v>139.55000000000001</v>
      </c>
      <c r="M386" s="38">
        <f>VLOOKUP($A386, [6]!ProductsTable[#Data], 11, FALSE)</f>
        <v>60</v>
      </c>
      <c r="N386" s="38">
        <f>VLOOKUP($A386, [6]!ProductsTable[#Data], 12, FALSE)</f>
        <v>60</v>
      </c>
      <c r="O386" s="38">
        <f>VLOOKUP($A386, [6]!ProductsTable[#Data], 13, FALSE)</f>
        <v>40</v>
      </c>
      <c r="R386" s="38" t="str">
        <f>VLOOKUP($A386, [6]!ProductsTable[#Data], 14, FALSE)</f>
        <v>0-ecoCool</v>
      </c>
      <c r="AE386" t="e">
        <f>COUNTIF('[7]product-export'!$A$2:$A$379, A386)</f>
        <v>#VALUE!</v>
      </c>
    </row>
    <row r="387" spans="1:31" x14ac:dyDescent="0.25">
      <c r="A387" s="76" t="s">
        <v>596</v>
      </c>
      <c r="B387" s="38" t="str">
        <f>VLOOKUP($A387, [6]!ProductsTable[#Data], 2, FALSE)</f>
        <v>K-Series Battery Systems</v>
      </c>
      <c r="C387" s="8" t="s">
        <v>150</v>
      </c>
      <c r="D387" s="8" t="s">
        <v>235</v>
      </c>
      <c r="E387" s="38" t="str">
        <f>VLOOKUP($A387, [6]!ProductsTable[#Data], 3, FALSE)</f>
        <v>ecoCool</v>
      </c>
      <c r="F387" s="38" t="str">
        <f>VLOOKUP($A387, [6]!ProductsTable[#Data], 4, FALSE)</f>
        <v>K32 15KWh Expansion 3 Module Enclosure</v>
      </c>
      <c r="G387" s="38" t="str">
        <f>VLOOKUP($A387, [6]!ProductsTable[#Data], 5, FALSE)</f>
        <v>K32.EXP.150</v>
      </c>
      <c r="I387" s="41" t="e">
        <f>VLOOKUP($A387, [6]!ProductsTable[#Data], 7, FALSE)</f>
        <v>#REF!</v>
      </c>
      <c r="J387" s="39" t="e">
        <f>VLOOKUP($A387, [6]!ProductsTable[#Data], 8, FALSE)</f>
        <v>#REF!</v>
      </c>
      <c r="K387">
        <f>VLOOKUP($A387, [6]!ProductsTable[#Data], 9, FALSE)</f>
        <v>0</v>
      </c>
      <c r="L387" s="38">
        <f>VLOOKUP($A387, [6]!ProductsTable[#Data], 10, FALSE)</f>
        <v>175.55</v>
      </c>
      <c r="M387" s="38">
        <f>VLOOKUP($A387, [6]!ProductsTable[#Data], 11, FALSE)</f>
        <v>60</v>
      </c>
      <c r="N387" s="38">
        <f>VLOOKUP($A387, [6]!ProductsTable[#Data], 12, FALSE)</f>
        <v>60</v>
      </c>
      <c r="O387" s="38">
        <f>VLOOKUP($A387, [6]!ProductsTable[#Data], 13, FALSE)</f>
        <v>40</v>
      </c>
      <c r="R387" s="38" t="str">
        <f>VLOOKUP($A387, [6]!ProductsTable[#Data], 14, FALSE)</f>
        <v>0-ecoCool</v>
      </c>
      <c r="AE387" t="e">
        <f>COUNTIF('[7]product-export'!$A$2:$A$379, A387)</f>
        <v>#VALUE!</v>
      </c>
    </row>
    <row r="388" spans="1:31" x14ac:dyDescent="0.25">
      <c r="A388" s="76" t="s">
        <v>594</v>
      </c>
      <c r="B388" s="38" t="str">
        <f>VLOOKUP($A388, [6]!ProductsTable[#Data], 2, FALSE)</f>
        <v>K-Series Battery Systems</v>
      </c>
      <c r="C388" s="8" t="s">
        <v>150</v>
      </c>
      <c r="D388" s="8" t="s">
        <v>235</v>
      </c>
      <c r="E388" s="38" t="str">
        <f>VLOOKUP($A388, [6]!ProductsTable[#Data], 3, FALSE)</f>
        <v>ecoCool</v>
      </c>
      <c r="F388" s="38" t="str">
        <f>VLOOKUP($A388, [6]!ProductsTable[#Data], 4, FALSE)</f>
        <v>K32 5KWh Expansion 3 Module Enclosure</v>
      </c>
      <c r="G388" s="38" t="str">
        <f>VLOOKUP($A388, [6]!ProductsTable[#Data], 5, FALSE)</f>
        <v>K32.EXP.50</v>
      </c>
      <c r="I388" s="41" t="e">
        <f>VLOOKUP($A388, [6]!ProductsTable[#Data], 7, FALSE)</f>
        <v>#REF!</v>
      </c>
      <c r="J388" s="39" t="e">
        <f>VLOOKUP($A388, [6]!ProductsTable[#Data], 8, FALSE)</f>
        <v>#REF!</v>
      </c>
      <c r="K388">
        <f>VLOOKUP($A388, [6]!ProductsTable[#Data], 9, FALSE)</f>
        <v>0</v>
      </c>
      <c r="L388" s="38">
        <f>VLOOKUP($A388, [6]!ProductsTable[#Data], 10, FALSE)</f>
        <v>103.55</v>
      </c>
      <c r="M388" s="38">
        <f>VLOOKUP($A388, [6]!ProductsTable[#Data], 11, FALSE)</f>
        <v>60</v>
      </c>
      <c r="N388" s="38">
        <f>VLOOKUP($A388, [6]!ProductsTable[#Data], 12, FALSE)</f>
        <v>60</v>
      </c>
      <c r="O388" s="38">
        <f>VLOOKUP($A388, [6]!ProductsTable[#Data], 13, FALSE)</f>
        <v>40</v>
      </c>
      <c r="R388" s="38" t="str">
        <f>VLOOKUP($A388, [6]!ProductsTable[#Data], 14, FALSE)</f>
        <v>0-ecoCool</v>
      </c>
      <c r="AE388" t="e">
        <f>COUNTIF('[7]product-export'!$A$2:$A$379, A388)</f>
        <v>#VALUE!</v>
      </c>
    </row>
    <row r="389" spans="1:31" x14ac:dyDescent="0.25">
      <c r="A389" s="76" t="s">
        <v>576</v>
      </c>
      <c r="B389" s="38" t="str">
        <f>VLOOKUP($A389, [6]!ProductsTable[#Data], 2, FALSE)</f>
        <v>K-Series Battery Systems</v>
      </c>
      <c r="C389" s="8" t="s">
        <v>150</v>
      </c>
      <c r="D389" s="8" t="s">
        <v>235</v>
      </c>
      <c r="E389" s="38" t="str">
        <f>VLOOKUP($A389, [6]!ProductsTable[#Data], 3, FALSE)</f>
        <v>ecoCool</v>
      </c>
      <c r="F389" s="38" t="str">
        <f>VLOOKUP($A389, [6]!ProductsTable[#Data], 4, FALSE)</f>
        <v>K32A Lithium Battery 10 KWh, 2000VA Output</v>
      </c>
      <c r="G389" s="38" t="str">
        <f>VLOOKUP($A389, [6]!ProductsTable[#Data], 5, FALSE)</f>
        <v>K32A.2000.100</v>
      </c>
      <c r="I389" s="41" t="e">
        <f>VLOOKUP($A389, [6]!ProductsTable[#Data], 7, FALSE)</f>
        <v>#REF!</v>
      </c>
      <c r="J389" s="39" t="e">
        <f>VLOOKUP($A389, [6]!ProductsTable[#Data], 8, FALSE)</f>
        <v>#REF!</v>
      </c>
      <c r="K389">
        <f>VLOOKUP($A389, [6]!ProductsTable[#Data], 9, FALSE)</f>
        <v>0</v>
      </c>
      <c r="L389" s="38">
        <f>VLOOKUP($A389, [6]!ProductsTable[#Data], 10, FALSE)</f>
        <v>123.75</v>
      </c>
      <c r="M389" s="38">
        <f>VLOOKUP($A389, [6]!ProductsTable[#Data], 11, FALSE)</f>
        <v>88.5</v>
      </c>
      <c r="N389" s="38">
        <f>VLOOKUP($A389, [6]!ProductsTable[#Data], 12, FALSE)</f>
        <v>80</v>
      </c>
      <c r="O389" s="38">
        <f>VLOOKUP($A389, [6]!ProductsTable[#Data], 13, FALSE)</f>
        <v>40</v>
      </c>
      <c r="R389" s="38" t="str">
        <f>VLOOKUP($A389, [6]!ProductsTable[#Data], 14, FALSE)</f>
        <v>0-ecoCool</v>
      </c>
      <c r="AE389" t="e">
        <f>COUNTIF('[7]product-export'!$A$2:$A$379, A389)</f>
        <v>#VALUE!</v>
      </c>
    </row>
    <row r="390" spans="1:31" x14ac:dyDescent="0.25">
      <c r="A390" s="76" t="s">
        <v>597</v>
      </c>
      <c r="B390" s="38" t="str">
        <f>VLOOKUP($A390, [6]!ProductsTable[#Data], 2, FALSE)</f>
        <v>K-Series Battery Systems</v>
      </c>
      <c r="C390" s="8" t="s">
        <v>150</v>
      </c>
      <c r="D390" s="8" t="s">
        <v>235</v>
      </c>
      <c r="E390" s="38" t="str">
        <f>VLOOKUP($A390, [6]!ProductsTable[#Data], 3, FALSE)</f>
        <v>ecoCool</v>
      </c>
      <c r="F390" s="38" t="str">
        <f>VLOOKUP($A390, [6]!ProductsTable[#Data], 4, FALSE)</f>
        <v>K32A Lithium Battery 5 KWh, 2000VA Output</v>
      </c>
      <c r="G390" s="38" t="str">
        <f>VLOOKUP($A390, [6]!ProductsTable[#Data], 5, FALSE)</f>
        <v>K32A.2000.50</v>
      </c>
      <c r="I390" s="41" t="e">
        <f>VLOOKUP($A390, [6]!ProductsTable[#Data], 7, FALSE)</f>
        <v>#REF!</v>
      </c>
      <c r="J390" s="39" t="e">
        <f>VLOOKUP($A390, [6]!ProductsTable[#Data], 8, FALSE)</f>
        <v>#REF!</v>
      </c>
      <c r="K390">
        <f>VLOOKUP($A390, [6]!ProductsTable[#Data], 9, FALSE)</f>
        <v>0</v>
      </c>
      <c r="L390" s="38">
        <f>VLOOKUP($A390, [6]!ProductsTable[#Data], 10, FALSE)</f>
        <v>87.75</v>
      </c>
      <c r="M390" s="38">
        <f>VLOOKUP($A390, [6]!ProductsTable[#Data], 11, FALSE)</f>
        <v>88.5</v>
      </c>
      <c r="N390" s="38">
        <f>VLOOKUP($A390, [6]!ProductsTable[#Data], 12, FALSE)</f>
        <v>80</v>
      </c>
      <c r="O390" s="38">
        <f>VLOOKUP($A390, [6]!ProductsTable[#Data], 13, FALSE)</f>
        <v>40</v>
      </c>
      <c r="R390" s="38" t="str">
        <f>VLOOKUP($A390, [6]!ProductsTable[#Data], 14, FALSE)</f>
        <v>0-ecoCool</v>
      </c>
      <c r="AE390" t="e">
        <f>COUNTIF('[7]product-export'!$A$2:$A$379, A390)</f>
        <v>#VALUE!</v>
      </c>
    </row>
    <row r="391" spans="1:31" x14ac:dyDescent="0.25">
      <c r="A391" s="76" t="s">
        <v>578</v>
      </c>
      <c r="B391" s="38" t="str">
        <f>VLOOKUP($A391, [6]!ProductsTable[#Data], 2, FALSE)</f>
        <v>K-Series Battery Systems</v>
      </c>
      <c r="C391" s="8" t="s">
        <v>150</v>
      </c>
      <c r="D391" s="8" t="s">
        <v>235</v>
      </c>
      <c r="E391" s="38" t="str">
        <f>VLOOKUP($A391, [6]!ProductsTable[#Data], 3, FALSE)</f>
        <v>ecoCool</v>
      </c>
      <c r="F391" s="38" t="str">
        <f>VLOOKUP($A391, [6]!ProductsTable[#Data], 4, FALSE)</f>
        <v>K32A Lithium Battery 10KWh, 3000VA Output</v>
      </c>
      <c r="G391" s="38" t="str">
        <f>VLOOKUP($A391, [6]!ProductsTable[#Data], 5, FALSE)</f>
        <v>K32A.3000.100</v>
      </c>
      <c r="I391" s="41" t="e">
        <f>VLOOKUP($A391, [6]!ProductsTable[#Data], 7, FALSE)</f>
        <v>#REF!</v>
      </c>
      <c r="J391" s="39" t="e">
        <f>VLOOKUP($A391, [6]!ProductsTable[#Data], 8, FALSE)</f>
        <v>#REF!</v>
      </c>
      <c r="K391">
        <f>VLOOKUP($A391, [6]!ProductsTable[#Data], 9, FALSE)</f>
        <v>0</v>
      </c>
      <c r="L391" s="38">
        <f>VLOOKUP($A391, [6]!ProductsTable[#Data], 10, FALSE)</f>
        <v>134.75</v>
      </c>
      <c r="M391" s="38">
        <f>VLOOKUP($A391, [6]!ProductsTable[#Data], 11, FALSE)</f>
        <v>88.5</v>
      </c>
      <c r="N391" s="38">
        <f>VLOOKUP($A391, [6]!ProductsTable[#Data], 12, FALSE)</f>
        <v>80</v>
      </c>
      <c r="O391" s="38">
        <f>VLOOKUP($A391, [6]!ProductsTable[#Data], 13, FALSE)</f>
        <v>40</v>
      </c>
      <c r="R391" s="38" t="str">
        <f>VLOOKUP($A391, [6]!ProductsTable[#Data], 14, FALSE)</f>
        <v>0-ecoCool</v>
      </c>
      <c r="AE391" t="e">
        <f>COUNTIF('[7]product-export'!$A$2:$A$379, A391)</f>
        <v>#VALUE!</v>
      </c>
    </row>
    <row r="392" spans="1:31" x14ac:dyDescent="0.25">
      <c r="A392" s="76" t="s">
        <v>579</v>
      </c>
      <c r="B392" s="38" t="str">
        <f>VLOOKUP($A392, [6]!ProductsTable[#Data], 2, FALSE)</f>
        <v>K-Series Battery Systems</v>
      </c>
      <c r="C392" s="8" t="s">
        <v>150</v>
      </c>
      <c r="D392" s="8" t="s">
        <v>235</v>
      </c>
      <c r="E392" s="38" t="str">
        <f>VLOOKUP($A392, [6]!ProductsTable[#Data], 3, FALSE)</f>
        <v>ecoCool</v>
      </c>
      <c r="F392" s="38" t="str">
        <f>VLOOKUP($A392, [6]!ProductsTable[#Data], 4, FALSE)</f>
        <v>K32A Lithium Battery 15 KWh, 3000VA Output</v>
      </c>
      <c r="G392" s="38" t="str">
        <f>VLOOKUP($A392, [6]!ProductsTable[#Data], 5, FALSE)</f>
        <v>K32A.3000.150</v>
      </c>
      <c r="I392" s="41" t="e">
        <f>VLOOKUP($A392, [6]!ProductsTable[#Data], 7, FALSE)</f>
        <v>#REF!</v>
      </c>
      <c r="J392" s="39" t="e">
        <f>VLOOKUP($A392, [6]!ProductsTable[#Data], 8, FALSE)</f>
        <v>#REF!</v>
      </c>
      <c r="K392">
        <f>VLOOKUP($A392, [6]!ProductsTable[#Data], 9, FALSE)</f>
        <v>0</v>
      </c>
      <c r="L392" s="38">
        <f>VLOOKUP($A392, [6]!ProductsTable[#Data], 10, FALSE)</f>
        <v>170.75</v>
      </c>
      <c r="M392" s="38">
        <f>VLOOKUP($A392, [6]!ProductsTable[#Data], 11, FALSE)</f>
        <v>88.5</v>
      </c>
      <c r="N392" s="38">
        <f>VLOOKUP($A392, [6]!ProductsTable[#Data], 12, FALSE)</f>
        <v>80</v>
      </c>
      <c r="O392" s="38">
        <f>VLOOKUP($A392, [6]!ProductsTable[#Data], 13, FALSE)</f>
        <v>40</v>
      </c>
      <c r="R392" s="38" t="str">
        <f>VLOOKUP($A392, [6]!ProductsTable[#Data], 14, FALSE)</f>
        <v>0-ecoCool</v>
      </c>
      <c r="AE392" t="e">
        <f>COUNTIF('[7]product-export'!$A$2:$A$379, A392)</f>
        <v>#VALUE!</v>
      </c>
    </row>
    <row r="393" spans="1:31" x14ac:dyDescent="0.25">
      <c r="A393" s="76" t="s">
        <v>577</v>
      </c>
      <c r="B393" s="38" t="str">
        <f>VLOOKUP($A393, [6]!ProductsTable[#Data], 2, FALSE)</f>
        <v>K-Series Battery Systems</v>
      </c>
      <c r="C393" s="8" t="s">
        <v>150</v>
      </c>
      <c r="D393" s="8" t="s">
        <v>235</v>
      </c>
      <c r="E393" s="38" t="str">
        <f>VLOOKUP($A393, [6]!ProductsTable[#Data], 3, FALSE)</f>
        <v>ecoCool</v>
      </c>
      <c r="F393" s="38" t="str">
        <f>VLOOKUP($A393, [6]!ProductsTable[#Data], 4, FALSE)</f>
        <v>K32A Lithium Battery 5 KWh, 3000VA Output</v>
      </c>
      <c r="G393" s="38" t="str">
        <f>VLOOKUP($A393, [6]!ProductsTable[#Data], 5, FALSE)</f>
        <v>K32A.3000.50</v>
      </c>
      <c r="I393" s="41" t="e">
        <f>VLOOKUP($A393, [6]!ProductsTable[#Data], 7, FALSE)</f>
        <v>#REF!</v>
      </c>
      <c r="J393" s="39" t="e">
        <f>VLOOKUP($A393, [6]!ProductsTable[#Data], 8, FALSE)</f>
        <v>#REF!</v>
      </c>
      <c r="K393">
        <f>VLOOKUP($A393, [6]!ProductsTable[#Data], 9, FALSE)</f>
        <v>0</v>
      </c>
      <c r="L393" s="38">
        <f>VLOOKUP($A393, [6]!ProductsTable[#Data], 10, FALSE)</f>
        <v>98.75</v>
      </c>
      <c r="M393" s="38">
        <f>VLOOKUP($A393, [6]!ProductsTable[#Data], 11, FALSE)</f>
        <v>88.5</v>
      </c>
      <c r="N393" s="38">
        <f>VLOOKUP($A393, [6]!ProductsTable[#Data], 12, FALSE)</f>
        <v>80</v>
      </c>
      <c r="O393" s="38">
        <f>VLOOKUP($A393, [6]!ProductsTable[#Data], 13, FALSE)</f>
        <v>40</v>
      </c>
      <c r="R393" s="38" t="str">
        <f>VLOOKUP($A393, [6]!ProductsTable[#Data], 14, FALSE)</f>
        <v>0-ecoCool</v>
      </c>
      <c r="AE393" t="e">
        <f>COUNTIF('[7]product-export'!$A$2:$A$379, A393)</f>
        <v>#VALUE!</v>
      </c>
    </row>
    <row r="394" spans="1:31" x14ac:dyDescent="0.25">
      <c r="A394" s="76" t="s">
        <v>598</v>
      </c>
      <c r="B394" s="38" t="str">
        <f>VLOOKUP($A394, [6]!ProductsTable[#Data], 2, FALSE)</f>
        <v>K-Series Battery Systems</v>
      </c>
      <c r="C394" s="8" t="s">
        <v>150</v>
      </c>
      <c r="D394" s="8" t="s">
        <v>235</v>
      </c>
      <c r="E394" s="38" t="str">
        <f>VLOOKUP($A394, [6]!ProductsTable[#Data], 3, FALSE)</f>
        <v>ecoCool</v>
      </c>
      <c r="F394" s="38" t="str">
        <f>VLOOKUP($A394, [6]!ProductsTable[#Data], 4, FALSE)</f>
        <v>K32A Lithium Battery 10 KWh, 5000VA Output</v>
      </c>
      <c r="G394" s="38" t="str">
        <f>VLOOKUP($A394, [6]!ProductsTable[#Data], 5, FALSE)</f>
        <v>K32A.5000.100</v>
      </c>
      <c r="I394" s="41" t="e">
        <f>VLOOKUP($A394, [6]!ProductsTable[#Data], 7, FALSE)</f>
        <v>#REF!</v>
      </c>
      <c r="J394" s="39" t="e">
        <f>VLOOKUP($A394, [6]!ProductsTable[#Data], 8, FALSE)</f>
        <v>#REF!</v>
      </c>
      <c r="K394">
        <f>VLOOKUP($A394, [6]!ProductsTable[#Data], 9, FALSE)</f>
        <v>0</v>
      </c>
      <c r="L394" s="38">
        <f>VLOOKUP($A394, [6]!ProductsTable[#Data], 10, FALSE)</f>
        <v>147.75</v>
      </c>
      <c r="M394" s="38">
        <f>VLOOKUP($A394, [6]!ProductsTable[#Data], 11, FALSE)</f>
        <v>88.5</v>
      </c>
      <c r="N394" s="38">
        <f>VLOOKUP($A394, [6]!ProductsTable[#Data], 12, FALSE)</f>
        <v>80</v>
      </c>
      <c r="O394" s="38">
        <f>VLOOKUP($A394, [6]!ProductsTable[#Data], 13, FALSE)</f>
        <v>40</v>
      </c>
      <c r="R394" s="38" t="str">
        <f>VLOOKUP($A394, [6]!ProductsTable[#Data], 14, FALSE)</f>
        <v>0-ecoCool</v>
      </c>
      <c r="AE394" t="e">
        <f>COUNTIF('[7]product-export'!$A$2:$A$379, A394)</f>
        <v>#VALUE!</v>
      </c>
    </row>
    <row r="395" spans="1:31" x14ac:dyDescent="0.25">
      <c r="A395" s="76" t="s">
        <v>580</v>
      </c>
      <c r="B395" s="38" t="str">
        <f>VLOOKUP($A395, [6]!ProductsTable[#Data], 2, FALSE)</f>
        <v>K-Series Battery Systems</v>
      </c>
      <c r="C395" s="8" t="s">
        <v>150</v>
      </c>
      <c r="D395" s="8" t="s">
        <v>235</v>
      </c>
      <c r="E395" s="38" t="str">
        <f>VLOOKUP($A395, [6]!ProductsTable[#Data], 3, FALSE)</f>
        <v>ecoCool</v>
      </c>
      <c r="F395" s="38" t="str">
        <f>VLOOKUP($A395, [6]!ProductsTable[#Data], 4, FALSE)</f>
        <v>K32A Lithium Battery 15 KWh, 5000VA Output</v>
      </c>
      <c r="G395" s="38" t="str">
        <f>VLOOKUP($A395, [6]!ProductsTable[#Data], 5, FALSE)</f>
        <v>K32A.5000.150</v>
      </c>
      <c r="I395" s="41" t="e">
        <f>VLOOKUP($A395, [6]!ProductsTable[#Data], 7, FALSE)</f>
        <v>#REF!</v>
      </c>
      <c r="J395" s="39" t="e">
        <f>VLOOKUP($A395, [6]!ProductsTable[#Data], 8, FALSE)</f>
        <v>#REF!</v>
      </c>
      <c r="K395">
        <f>VLOOKUP($A395, [6]!ProductsTable[#Data], 9, FALSE)</f>
        <v>0</v>
      </c>
      <c r="L395" s="38">
        <f>VLOOKUP($A395, [6]!ProductsTable[#Data], 10, FALSE)</f>
        <v>183.75</v>
      </c>
      <c r="M395" s="38">
        <f>VLOOKUP($A395, [6]!ProductsTable[#Data], 11, FALSE)</f>
        <v>88.5</v>
      </c>
      <c r="N395" s="38">
        <f>VLOOKUP($A395, [6]!ProductsTable[#Data], 12, FALSE)</f>
        <v>80</v>
      </c>
      <c r="O395" s="38">
        <f>VLOOKUP($A395, [6]!ProductsTable[#Data], 13, FALSE)</f>
        <v>40</v>
      </c>
      <c r="R395" s="38" t="str">
        <f>VLOOKUP($A395, [6]!ProductsTable[#Data], 14, FALSE)</f>
        <v>0-ecoCool</v>
      </c>
      <c r="AE395" t="e">
        <f>COUNTIF('[7]product-export'!$A$2:$A$379, A395)</f>
        <v>#VALUE!</v>
      </c>
    </row>
    <row r="396" spans="1:31" x14ac:dyDescent="0.25">
      <c r="A396" s="76" t="s">
        <v>599</v>
      </c>
      <c r="B396" s="38" t="str">
        <f>VLOOKUP($A396, [6]!ProductsTable[#Data], 2, FALSE)</f>
        <v>K-Series Battery Systems</v>
      </c>
      <c r="C396" s="8" t="s">
        <v>150</v>
      </c>
      <c r="D396" s="8" t="s">
        <v>235</v>
      </c>
      <c r="E396" s="38" t="str">
        <f>VLOOKUP($A396, [6]!ProductsTable[#Data], 3, FALSE)</f>
        <v>ecoCool</v>
      </c>
      <c r="F396" s="38" t="str">
        <f>VLOOKUP($A396, [6]!ProductsTable[#Data], 4, FALSE)</f>
        <v>K32C AGM Battery 2.9KWh, 1200VA UPS</v>
      </c>
      <c r="G396" s="38" t="str">
        <f>VLOOKUP($A396, [6]!ProductsTable[#Data], 5, FALSE)</f>
        <v>K32C.1200.29</v>
      </c>
      <c r="I396" s="41" t="e">
        <f>VLOOKUP($A396, [6]!ProductsTable[#Data], 7, FALSE)</f>
        <v>#REF!</v>
      </c>
      <c r="J396" s="39" t="e">
        <f>VLOOKUP($A396, [6]!ProductsTable[#Data], 8, FALSE)</f>
        <v>#REF!</v>
      </c>
      <c r="K396">
        <f>VLOOKUP($A396, [6]!ProductsTable[#Data], 9, FALSE)</f>
        <v>0</v>
      </c>
      <c r="L396" s="38">
        <f>VLOOKUP($A396, [6]!ProductsTable[#Data], 10, FALSE)</f>
        <v>103.35</v>
      </c>
      <c r="M396" s="38">
        <f>VLOOKUP($A396, [6]!ProductsTable[#Data], 11, FALSE)</f>
        <v>60</v>
      </c>
      <c r="N396" s="38">
        <f>VLOOKUP($A396, [6]!ProductsTable[#Data], 12, FALSE)</f>
        <v>60</v>
      </c>
      <c r="O396" s="38">
        <f>VLOOKUP($A396, [6]!ProductsTable[#Data], 13, FALSE)</f>
        <v>30</v>
      </c>
      <c r="R396" s="38" t="str">
        <f>VLOOKUP($A396, [6]!ProductsTable[#Data], 14, FALSE)</f>
        <v>0-ecoCool</v>
      </c>
      <c r="AE396" t="e">
        <f>COUNTIF('[7]product-export'!$A$2:$A$379, A396)</f>
        <v>#VALUE!</v>
      </c>
    </row>
    <row r="397" spans="1:31" x14ac:dyDescent="0.25">
      <c r="A397" s="76" t="s">
        <v>581</v>
      </c>
      <c r="B397" s="38" t="str">
        <f>VLOOKUP($A397, [6]!ProductsTable[#Data], 2, FALSE)</f>
        <v>K-Series Battery Systems</v>
      </c>
      <c r="C397" s="8" t="s">
        <v>150</v>
      </c>
      <c r="D397" s="8" t="s">
        <v>235</v>
      </c>
      <c r="E397" s="38" t="str">
        <f>VLOOKUP($A397, [6]!ProductsTable[#Data], 3, FALSE)</f>
        <v>ecoCool</v>
      </c>
      <c r="F397" s="38" t="str">
        <f>VLOOKUP($A397, [6]!ProductsTable[#Data], 4, FALSE)</f>
        <v>K32C AGM Battery 5.8KWh, 2000VA UPS</v>
      </c>
      <c r="G397" s="38" t="str">
        <f>VLOOKUP($A397, [6]!ProductsTable[#Data], 5, FALSE)</f>
        <v>K32C.2000.58</v>
      </c>
      <c r="I397" s="41" t="e">
        <f>VLOOKUP($A397, [6]!ProductsTable[#Data], 7, FALSE)</f>
        <v>#REF!</v>
      </c>
      <c r="J397" s="39" t="e">
        <f>VLOOKUP($A397, [6]!ProductsTable[#Data], 8, FALSE)</f>
        <v>#REF!</v>
      </c>
      <c r="K397">
        <f>VLOOKUP($A397, [6]!ProductsTable[#Data], 9, FALSE)</f>
        <v>0</v>
      </c>
      <c r="L397" s="38">
        <f>VLOOKUP($A397, [6]!ProductsTable[#Data], 10, FALSE)</f>
        <v>185.7</v>
      </c>
      <c r="M397" s="38">
        <f>VLOOKUP($A397, [6]!ProductsTable[#Data], 11, FALSE)</f>
        <v>88.5</v>
      </c>
      <c r="N397" s="38">
        <f>VLOOKUP($A397, [6]!ProductsTable[#Data], 12, FALSE)</f>
        <v>60</v>
      </c>
      <c r="O397" s="38">
        <f>VLOOKUP($A397, [6]!ProductsTable[#Data], 13, FALSE)</f>
        <v>40</v>
      </c>
      <c r="R397" s="38" t="str">
        <f>VLOOKUP($A397, [6]!ProductsTable[#Data], 14, FALSE)</f>
        <v>0-ecoCool</v>
      </c>
      <c r="AE397" t="e">
        <f>COUNTIF('[7]product-export'!$A$2:$A$379, A397)</f>
        <v>#VALUE!</v>
      </c>
    </row>
    <row r="398" spans="1:31" x14ac:dyDescent="0.25">
      <c r="A398" s="76" t="s">
        <v>582</v>
      </c>
      <c r="B398" s="38" t="str">
        <f>VLOOKUP($A398, [6]!ProductsTable[#Data], 2, FALSE)</f>
        <v>K-Series Battery Systems</v>
      </c>
      <c r="C398" s="8" t="s">
        <v>150</v>
      </c>
      <c r="D398" s="8" t="s">
        <v>235</v>
      </c>
      <c r="E398" s="38" t="str">
        <f>VLOOKUP($A398, [6]!ProductsTable[#Data], 3, FALSE)</f>
        <v>ecoCool</v>
      </c>
      <c r="F398" s="38" t="str">
        <f>VLOOKUP($A398, [6]!ProductsTable[#Data], 4, FALSE)</f>
        <v>K32C AGM Battery 5.8KWh, 3000VA UPS</v>
      </c>
      <c r="G398" s="38" t="str">
        <f>VLOOKUP($A398, [6]!ProductsTable[#Data], 5, FALSE)</f>
        <v>K32C.3000.58</v>
      </c>
      <c r="I398" s="41" t="e">
        <f>VLOOKUP($A398, [6]!ProductsTable[#Data], 7, FALSE)</f>
        <v>#REF!</v>
      </c>
      <c r="J398" s="39" t="e">
        <f>VLOOKUP($A398, [6]!ProductsTable[#Data], 8, FALSE)</f>
        <v>#REF!</v>
      </c>
      <c r="K398">
        <f>VLOOKUP($A398, [6]!ProductsTable[#Data], 9, FALSE)</f>
        <v>0</v>
      </c>
      <c r="L398" s="38">
        <f>VLOOKUP($A398, [6]!ProductsTable[#Data], 10, FALSE)</f>
        <v>188.2</v>
      </c>
      <c r="M398" s="38">
        <f>VLOOKUP($A398, [6]!ProductsTable[#Data], 11, FALSE)</f>
        <v>88.5</v>
      </c>
      <c r="N398" s="38">
        <f>VLOOKUP($A398, [6]!ProductsTable[#Data], 12, FALSE)</f>
        <v>60</v>
      </c>
      <c r="O398" s="38">
        <f>VLOOKUP($A398, [6]!ProductsTable[#Data], 13, FALSE)</f>
        <v>40</v>
      </c>
      <c r="R398" s="38" t="str">
        <f>VLOOKUP($A398, [6]!ProductsTable[#Data], 14, FALSE)</f>
        <v>0-ecoCool</v>
      </c>
      <c r="AE398" t="e">
        <f>COUNTIF('[7]product-export'!$A$2:$A$379, A398)</f>
        <v>#VALUE!</v>
      </c>
    </row>
    <row r="399" spans="1:31" x14ac:dyDescent="0.25">
      <c r="A399" s="76" t="s">
        <v>583</v>
      </c>
      <c r="B399" s="38" t="str">
        <f>VLOOKUP($A399, [6]!ProductsTable[#Data], 2, FALSE)</f>
        <v>K-Series Battery Systems</v>
      </c>
      <c r="C399" s="8" t="s">
        <v>150</v>
      </c>
      <c r="D399" s="8" t="s">
        <v>235</v>
      </c>
      <c r="E399" s="38" t="str">
        <f>VLOOKUP($A399, [6]!ProductsTable[#Data], 3, FALSE)</f>
        <v>ecoCool</v>
      </c>
      <c r="F399" s="38" t="str">
        <f>VLOOKUP($A399, [6]!ProductsTable[#Data], 4, FALSE)</f>
        <v>K32C AGM Battery 8.2KWh, 5000VA UPS</v>
      </c>
      <c r="G399" s="38" t="str">
        <f>VLOOKUP($A399, [6]!ProductsTable[#Data], 5, FALSE)</f>
        <v>K32C.5000.82</v>
      </c>
      <c r="I399" s="41" t="e">
        <f>VLOOKUP($A399, [6]!ProductsTable[#Data], 7, FALSE)</f>
        <v>#REF!</v>
      </c>
      <c r="J399" s="39" t="e">
        <f>VLOOKUP($A399, [6]!ProductsTable[#Data], 8, FALSE)</f>
        <v>#REF!</v>
      </c>
      <c r="K399">
        <f>VLOOKUP($A399, [6]!ProductsTable[#Data], 9, FALSE)</f>
        <v>0</v>
      </c>
      <c r="L399" s="38">
        <f>VLOOKUP($A399, [6]!ProductsTable[#Data], 10, FALSE)</f>
        <v>212.47</v>
      </c>
      <c r="M399" s="38">
        <f>VLOOKUP($A399, [6]!ProductsTable[#Data], 11, FALSE)</f>
        <v>88.5</v>
      </c>
      <c r="N399" s="38">
        <f>VLOOKUP($A399, [6]!ProductsTable[#Data], 12, FALSE)</f>
        <v>80</v>
      </c>
      <c r="O399" s="38">
        <f>VLOOKUP($A399, [6]!ProductsTable[#Data], 13, FALSE)</f>
        <v>40</v>
      </c>
      <c r="R399" s="38" t="str">
        <f>VLOOKUP($A399, [6]!ProductsTable[#Data], 14, FALSE)</f>
        <v>0-ecoCool</v>
      </c>
      <c r="AE399" t="e">
        <f>COUNTIF('[7]product-export'!$A$2:$A$379, A399)</f>
        <v>#VALUE!</v>
      </c>
    </row>
    <row r="400" spans="1:31" x14ac:dyDescent="0.25">
      <c r="A400" s="76" t="s">
        <v>584</v>
      </c>
      <c r="B400" s="38" t="str">
        <f>VLOOKUP($A400, [6]!ProductsTable[#Data], 2, FALSE)</f>
        <v>K-Series Battery Systems</v>
      </c>
      <c r="C400" s="8" t="s">
        <v>150</v>
      </c>
      <c r="D400" s="8" t="s">
        <v>235</v>
      </c>
      <c r="E400" s="38" t="str">
        <f>VLOOKUP($A400, [6]!ProductsTable[#Data], 3, FALSE)</f>
        <v>ecoCool</v>
      </c>
      <c r="F400" s="38" t="str">
        <f>VLOOKUP($A400, [6]!ProductsTable[#Data], 4, FALSE)</f>
        <v>K32C AGM Battery 8.2KWh, 8000VA UPS</v>
      </c>
      <c r="G400" s="38" t="str">
        <f>VLOOKUP($A400, [6]!ProductsTable[#Data], 5, FALSE)</f>
        <v>K32C.8000.82</v>
      </c>
      <c r="I400" s="41" t="e">
        <f>VLOOKUP($A400, [6]!ProductsTable[#Data], 7, FALSE)</f>
        <v>#REF!</v>
      </c>
      <c r="J400" s="39" t="e">
        <f>VLOOKUP($A400, [6]!ProductsTable[#Data], 8, FALSE)</f>
        <v>#REF!</v>
      </c>
      <c r="K400">
        <f>VLOOKUP($A400, [6]!ProductsTable[#Data], 9, FALSE)</f>
        <v>0</v>
      </c>
      <c r="L400" s="38">
        <f>VLOOKUP($A400, [6]!ProductsTable[#Data], 10, FALSE)</f>
        <v>223.47</v>
      </c>
      <c r="M400" s="38">
        <f>VLOOKUP($A400, [6]!ProductsTable[#Data], 11, FALSE)</f>
        <v>88.5</v>
      </c>
      <c r="N400" s="38">
        <f>VLOOKUP($A400, [6]!ProductsTable[#Data], 12, FALSE)</f>
        <v>80</v>
      </c>
      <c r="O400" s="38">
        <f>VLOOKUP($A400, [6]!ProductsTable[#Data], 13, FALSE)</f>
        <v>40</v>
      </c>
      <c r="R400" s="38" t="str">
        <f>VLOOKUP($A400, [6]!ProductsTable[#Data], 14, FALSE)</f>
        <v>0-ecoCool</v>
      </c>
      <c r="AE400" t="e">
        <f>COUNTIF('[7]product-export'!$A$2:$A$379, A400)</f>
        <v>#VALUE!</v>
      </c>
    </row>
    <row r="401" spans="1:31" x14ac:dyDescent="0.25">
      <c r="A401" s="76" t="s">
        <v>588</v>
      </c>
      <c r="B401" s="38" t="str">
        <f>VLOOKUP($A401, [6]!ProductsTable[#Data], 2, FALSE)</f>
        <v>K-Series Battery Systems</v>
      </c>
      <c r="C401" s="8" t="s">
        <v>150</v>
      </c>
      <c r="D401" s="8" t="s">
        <v>235</v>
      </c>
      <c r="E401" s="38" t="str">
        <f>VLOOKUP($A401, [6]!ProductsTable[#Data], 3, FALSE)</f>
        <v>ecoCool</v>
      </c>
      <c r="F401" s="38" t="str">
        <f>VLOOKUP($A401, [6]!ProductsTable[#Data], 4, FALSE)</f>
        <v>K33 Lithium Battery 20 KWh, 10000VA</v>
      </c>
      <c r="G401" s="38" t="str">
        <f>VLOOKUP($A401, [6]!ProductsTable[#Data], 5, FALSE)</f>
        <v>K33.10000.G.200</v>
      </c>
      <c r="I401" s="41" t="e">
        <f>VLOOKUP($A401, [6]!ProductsTable[#Data], 7, FALSE)</f>
        <v>#REF!</v>
      </c>
      <c r="J401" s="39" t="e">
        <f>VLOOKUP($A401, [6]!ProductsTable[#Data], 8, FALSE)</f>
        <v>#REF!</v>
      </c>
      <c r="K401">
        <f>VLOOKUP($A401, [6]!ProductsTable[#Data], 9, FALSE)</f>
        <v>0</v>
      </c>
      <c r="L401" s="38">
        <f>VLOOKUP($A401, [6]!ProductsTable[#Data], 10, FALSE)</f>
        <v>380.22</v>
      </c>
      <c r="M401" s="38">
        <f>VLOOKUP($A401, [6]!ProductsTable[#Data], 11, FALSE)</f>
        <v>212</v>
      </c>
      <c r="N401" s="38">
        <f>VLOOKUP($A401, [6]!ProductsTable[#Data], 12, FALSE)</f>
        <v>630</v>
      </c>
      <c r="O401" s="38">
        <f>VLOOKUP($A401, [6]!ProductsTable[#Data], 13, FALSE)</f>
        <v>630</v>
      </c>
      <c r="R401" s="38" t="str">
        <f>VLOOKUP($A401, [6]!ProductsTable[#Data], 14, FALSE)</f>
        <v>0-ecoCool</v>
      </c>
      <c r="AE401" t="e">
        <f>COUNTIF('[7]product-export'!$A$2:$A$379, A401)</f>
        <v>#VALUE!</v>
      </c>
    </row>
    <row r="402" spans="1:31" x14ac:dyDescent="0.25">
      <c r="A402" s="76" t="s">
        <v>589</v>
      </c>
      <c r="B402" s="38" t="str">
        <f>VLOOKUP($A402, [6]!ProductsTable[#Data], 2, FALSE)</f>
        <v>K-Series Battery Systems</v>
      </c>
      <c r="C402" s="8" t="s">
        <v>150</v>
      </c>
      <c r="D402" s="8" t="s">
        <v>235</v>
      </c>
      <c r="E402" s="38" t="str">
        <f>VLOOKUP($A402, [6]!ProductsTable[#Data], 3, FALSE)</f>
        <v>ecoCool</v>
      </c>
      <c r="F402" s="38" t="str">
        <f>VLOOKUP($A402, [6]!ProductsTable[#Data], 4, FALSE)</f>
        <v>K33 Lithium Battery 25 KWh, 15000VA</v>
      </c>
      <c r="G402" s="38" t="str">
        <f>VLOOKUP($A402, [6]!ProductsTable[#Data], 5, FALSE)</f>
        <v>K33.15000.G.250</v>
      </c>
      <c r="I402" s="41" t="e">
        <f>VLOOKUP($A402, [6]!ProductsTable[#Data], 7, FALSE)</f>
        <v>#REF!</v>
      </c>
      <c r="J402" s="39" t="e">
        <f>VLOOKUP($A402, [6]!ProductsTable[#Data], 8, FALSE)</f>
        <v>#REF!</v>
      </c>
      <c r="K402">
        <f>VLOOKUP($A402, [6]!ProductsTable[#Data], 9, FALSE)</f>
        <v>0</v>
      </c>
      <c r="L402" s="38">
        <f>VLOOKUP($A402, [6]!ProductsTable[#Data], 10, FALSE)</f>
        <v>442.21999999999997</v>
      </c>
      <c r="M402" s="38">
        <f>VLOOKUP($A402, [6]!ProductsTable[#Data], 11, FALSE)</f>
        <v>212</v>
      </c>
      <c r="N402" s="38">
        <f>VLOOKUP($A402, [6]!ProductsTable[#Data], 12, FALSE)</f>
        <v>630</v>
      </c>
      <c r="O402" s="38">
        <f>VLOOKUP($A402, [6]!ProductsTable[#Data], 13, FALSE)</f>
        <v>630</v>
      </c>
      <c r="R402" s="38" t="str">
        <f>VLOOKUP($A402, [6]!ProductsTable[#Data], 14, FALSE)</f>
        <v>0-ecoCool</v>
      </c>
      <c r="AE402" t="e">
        <f>COUNTIF('[7]product-export'!$A$2:$A$379, A402)</f>
        <v>#VALUE!</v>
      </c>
    </row>
    <row r="403" spans="1:31" x14ac:dyDescent="0.25">
      <c r="A403" s="76" t="s">
        <v>590</v>
      </c>
      <c r="B403" s="38" t="str">
        <f>VLOOKUP($A403, [6]!ProductsTable[#Data], 2, FALSE)</f>
        <v>K-Series Battery Systems</v>
      </c>
      <c r="C403" s="8" t="s">
        <v>150</v>
      </c>
      <c r="D403" s="8" t="s">
        <v>235</v>
      </c>
      <c r="E403" s="38" t="str">
        <f>VLOOKUP($A403, [6]!ProductsTable[#Data], 3, FALSE)</f>
        <v>ecoCool</v>
      </c>
      <c r="F403" s="38" t="str">
        <f>VLOOKUP($A403, [6]!ProductsTable[#Data], 4, FALSE)</f>
        <v>K33 Lithium Battery 25 KWh, 15000VA 3ph</v>
      </c>
      <c r="G403" s="38" t="str">
        <f>VLOOKUP($A403, [6]!ProductsTable[#Data], 5, FALSE)</f>
        <v>K33.15000-3.G.250</v>
      </c>
      <c r="I403" s="41" t="e">
        <f>VLOOKUP($A403, [6]!ProductsTable[#Data], 7, FALSE)</f>
        <v>#REF!</v>
      </c>
      <c r="J403" s="39" t="e">
        <f>VLOOKUP($A403, [6]!ProductsTable[#Data], 8, FALSE)</f>
        <v>#REF!</v>
      </c>
      <c r="K403">
        <f>VLOOKUP($A403, [6]!ProductsTable[#Data], 9, FALSE)</f>
        <v>0</v>
      </c>
      <c r="L403" s="38">
        <f>VLOOKUP($A403, [6]!ProductsTable[#Data], 10, FALSE)</f>
        <v>512.22</v>
      </c>
      <c r="M403" s="38">
        <f>VLOOKUP($A403, [6]!ProductsTable[#Data], 11, FALSE)</f>
        <v>212</v>
      </c>
      <c r="N403" s="38">
        <f>VLOOKUP($A403, [6]!ProductsTable[#Data], 12, FALSE)</f>
        <v>630</v>
      </c>
      <c r="O403" s="38">
        <f>VLOOKUP($A403, [6]!ProductsTable[#Data], 13, FALSE)</f>
        <v>630</v>
      </c>
      <c r="R403" s="38" t="str">
        <f>VLOOKUP($A403, [6]!ProductsTable[#Data], 14, FALSE)</f>
        <v>0-ecoCool</v>
      </c>
      <c r="AE403" t="e">
        <f>COUNTIF('[7]product-export'!$A$2:$A$379, A403)</f>
        <v>#VALUE!</v>
      </c>
    </row>
    <row r="404" spans="1:31" x14ac:dyDescent="0.25">
      <c r="A404" s="76" t="s">
        <v>586</v>
      </c>
      <c r="B404" s="38" t="str">
        <f>VLOOKUP($A404, [6]!ProductsTable[#Data], 2, FALSE)</f>
        <v>K-Series Battery Systems</v>
      </c>
      <c r="C404" s="8" t="s">
        <v>150</v>
      </c>
      <c r="D404" s="8" t="s">
        <v>235</v>
      </c>
      <c r="E404" s="38" t="str">
        <f>VLOOKUP($A404, [6]!ProductsTable[#Data], 3, FALSE)</f>
        <v>ecoCool</v>
      </c>
      <c r="F404" s="38" t="str">
        <f>VLOOKUP($A404, [6]!ProductsTable[#Data], 4, FALSE)</f>
        <v>K33 Lithium Battery 10 KWh, 3000VA</v>
      </c>
      <c r="G404" s="38" t="str">
        <f>VLOOKUP($A404, [6]!ProductsTable[#Data], 5, FALSE)</f>
        <v>K33.3000.G.100</v>
      </c>
      <c r="I404" s="41" t="e">
        <f>VLOOKUP($A404, [6]!ProductsTable[#Data], 7, FALSE)</f>
        <v>#REF!</v>
      </c>
      <c r="J404" s="39" t="e">
        <f>VLOOKUP($A404, [6]!ProductsTable[#Data], 8, FALSE)</f>
        <v>#REF!</v>
      </c>
      <c r="K404">
        <f>VLOOKUP($A404, [6]!ProductsTable[#Data], 9, FALSE)</f>
        <v>0</v>
      </c>
      <c r="L404" s="38">
        <f>VLOOKUP($A404, [6]!ProductsTable[#Data], 10, FALSE)</f>
        <v>134.75</v>
      </c>
      <c r="M404" s="38">
        <f>VLOOKUP($A404, [6]!ProductsTable[#Data], 11, FALSE)</f>
        <v>88.5</v>
      </c>
      <c r="N404" s="38">
        <f>VLOOKUP($A404, [6]!ProductsTable[#Data], 12, FALSE)</f>
        <v>80</v>
      </c>
      <c r="O404" s="38">
        <f>VLOOKUP($A404, [6]!ProductsTable[#Data], 13, FALSE)</f>
        <v>40</v>
      </c>
      <c r="R404" s="38" t="str">
        <f>VLOOKUP($A404, [6]!ProductsTable[#Data], 14, FALSE)</f>
        <v>0-ecoCool</v>
      </c>
      <c r="AE404" t="e">
        <f>COUNTIF('[7]product-export'!$A$2:$A$379, A404)</f>
        <v>#VALUE!</v>
      </c>
    </row>
    <row r="405" spans="1:31" x14ac:dyDescent="0.25">
      <c r="A405" s="76" t="s">
        <v>572</v>
      </c>
      <c r="B405" s="38" t="e">
        <f>VLOOKUP($A405, [6]!ProductsTable[#Data], 2, FALSE)</f>
        <v>#N/A</v>
      </c>
      <c r="C405" s="8" t="s">
        <v>150</v>
      </c>
      <c r="D405" s="8" t="s">
        <v>235</v>
      </c>
      <c r="E405" s="38" t="e">
        <f>VLOOKUP($A405, [6]!ProductsTable[#Data], 3, FALSE)</f>
        <v>#N/A</v>
      </c>
      <c r="F405" s="38" t="e">
        <f>VLOOKUP($A405, [6]!ProductsTable[#Data], 4, FALSE)</f>
        <v>#N/A</v>
      </c>
      <c r="G405" s="38" t="e">
        <f>VLOOKUP($A405, [6]!ProductsTable[#Data], 5, FALSE)</f>
        <v>#N/A</v>
      </c>
      <c r="I405" s="41" t="e">
        <f>VLOOKUP($A405, [6]!ProductsTable[#Data], 7, FALSE)</f>
        <v>#N/A</v>
      </c>
      <c r="J405" s="39" t="e">
        <f>VLOOKUP($A405, [6]!ProductsTable[#Data], 8, FALSE)</f>
        <v>#N/A</v>
      </c>
      <c r="K405" t="e">
        <f>VLOOKUP($A405, [6]!ProductsTable[#Data], 9, FALSE)</f>
        <v>#N/A</v>
      </c>
      <c r="L405" s="38" t="e">
        <f>VLOOKUP($A405, [6]!ProductsTable[#Data], 10, FALSE)</f>
        <v>#N/A</v>
      </c>
      <c r="M405" s="38" t="e">
        <f>VLOOKUP($A405, [6]!ProductsTable[#Data], 11, FALSE)</f>
        <v>#N/A</v>
      </c>
      <c r="N405" s="38" t="e">
        <f>VLOOKUP($A405, [6]!ProductsTable[#Data], 12, FALSE)</f>
        <v>#N/A</v>
      </c>
      <c r="O405" s="38" t="e">
        <f>VLOOKUP($A405, [6]!ProductsTable[#Data], 13, FALSE)</f>
        <v>#N/A</v>
      </c>
      <c r="R405" s="38" t="e">
        <f>VLOOKUP($A405, [6]!ProductsTable[#Data], 14, FALSE)</f>
        <v>#N/A</v>
      </c>
      <c r="AE405" t="e">
        <f>COUNTIF('[7]product-export'!$A$2:$A$379, A405)</f>
        <v>#VALUE!</v>
      </c>
    </row>
    <row r="406" spans="1:31" x14ac:dyDescent="0.25">
      <c r="A406" s="76" t="s">
        <v>585</v>
      </c>
      <c r="B406" s="38" t="str">
        <f>VLOOKUP($A406, [6]!ProductsTable[#Data], 2, FALSE)</f>
        <v>K-Series Battery Systems</v>
      </c>
      <c r="C406" s="8" t="s">
        <v>150</v>
      </c>
      <c r="D406" s="8" t="s">
        <v>235</v>
      </c>
      <c r="E406" s="38" t="str">
        <f>VLOOKUP($A406, [6]!ProductsTable[#Data], 3, FALSE)</f>
        <v>ecoCool</v>
      </c>
      <c r="F406" s="38" t="str">
        <f>VLOOKUP($A406, [6]!ProductsTable[#Data], 4, FALSE)</f>
        <v>K33 Lithium Battery 5 KWh, 3000VA</v>
      </c>
      <c r="G406" s="38" t="str">
        <f>VLOOKUP($A406, [6]!ProductsTable[#Data], 5, FALSE)</f>
        <v>K33.3000.G.50</v>
      </c>
      <c r="I406" s="41" t="e">
        <f>VLOOKUP($A406, [6]!ProductsTable[#Data], 7, FALSE)</f>
        <v>#REF!</v>
      </c>
      <c r="J406" s="39" t="e">
        <f>VLOOKUP($A406, [6]!ProductsTable[#Data], 8, FALSE)</f>
        <v>#REF!</v>
      </c>
      <c r="K406">
        <f>VLOOKUP($A406, [6]!ProductsTable[#Data], 9, FALSE)</f>
        <v>0</v>
      </c>
      <c r="L406" s="38">
        <f>VLOOKUP($A406, [6]!ProductsTable[#Data], 10, FALSE)</f>
        <v>98.75</v>
      </c>
      <c r="M406" s="38">
        <f>VLOOKUP($A406, [6]!ProductsTable[#Data], 11, FALSE)</f>
        <v>88.5</v>
      </c>
      <c r="N406" s="38">
        <f>VLOOKUP($A406, [6]!ProductsTable[#Data], 12, FALSE)</f>
        <v>80</v>
      </c>
      <c r="O406" s="38">
        <f>VLOOKUP($A406, [6]!ProductsTable[#Data], 13, FALSE)</f>
        <v>40</v>
      </c>
      <c r="R406" s="38" t="str">
        <f>VLOOKUP($A406, [6]!ProductsTable[#Data], 14, FALSE)</f>
        <v>0-ecoCool</v>
      </c>
      <c r="AE406" t="e">
        <f>COUNTIF('[7]product-export'!$A$2:$A$379, A406)</f>
        <v>#VALUE!</v>
      </c>
    </row>
    <row r="407" spans="1:31" x14ac:dyDescent="0.25">
      <c r="A407" s="76" t="s">
        <v>591</v>
      </c>
      <c r="B407" s="38" t="str">
        <f>VLOOKUP($A407, [6]!ProductsTable[#Data], 2, FALSE)</f>
        <v>K-Series Battery Systems</v>
      </c>
      <c r="C407" s="8" t="s">
        <v>150</v>
      </c>
      <c r="D407" s="8" t="s">
        <v>235</v>
      </c>
      <c r="E407" s="38" t="str">
        <f>VLOOKUP($A407, [6]!ProductsTable[#Data], 3, FALSE)</f>
        <v>ecoCool</v>
      </c>
      <c r="F407" s="38" t="str">
        <f>VLOOKUP($A407, [6]!ProductsTable[#Data], 4, FALSE)</f>
        <v>K33 Lithium Battery 30 KWh, 30000VA 3ph</v>
      </c>
      <c r="G407" s="38" t="str">
        <f>VLOOKUP($A407, [6]!ProductsTable[#Data], 5, FALSE)</f>
        <v>K33.30000-3.G.300</v>
      </c>
      <c r="I407" s="41" t="e">
        <f>VLOOKUP($A407, [6]!ProductsTable[#Data], 7, FALSE)</f>
        <v>#REF!</v>
      </c>
      <c r="J407" s="39" t="e">
        <f>VLOOKUP($A407, [6]!ProductsTable[#Data], 8, FALSE)</f>
        <v>#REF!</v>
      </c>
      <c r="K407">
        <f>VLOOKUP($A407, [6]!ProductsTable[#Data], 9, FALSE)</f>
        <v>0</v>
      </c>
      <c r="L407" s="38">
        <f>VLOOKUP($A407, [6]!ProductsTable[#Data], 10, FALSE)</f>
        <v>522.22</v>
      </c>
      <c r="M407" s="38">
        <f>VLOOKUP($A407, [6]!ProductsTable[#Data], 11, FALSE)</f>
        <v>212</v>
      </c>
      <c r="N407" s="38">
        <f>VLOOKUP($A407, [6]!ProductsTable[#Data], 12, FALSE)</f>
        <v>830</v>
      </c>
      <c r="O407" s="38">
        <f>VLOOKUP($A407, [6]!ProductsTable[#Data], 13, FALSE)</f>
        <v>630</v>
      </c>
      <c r="R407" s="38" t="str">
        <f>VLOOKUP($A407, [6]!ProductsTable[#Data], 14, FALSE)</f>
        <v>0-ecoCool</v>
      </c>
      <c r="AE407" t="e">
        <f>COUNTIF('[7]product-export'!$A$2:$A$379, A407)</f>
        <v>#VALUE!</v>
      </c>
    </row>
    <row r="408" spans="1:31" x14ac:dyDescent="0.25">
      <c r="A408" s="76" t="s">
        <v>592</v>
      </c>
      <c r="B408" s="38" t="str">
        <f>VLOOKUP($A408, [6]!ProductsTable[#Data], 2, FALSE)</f>
        <v>K-Series Battery Systems</v>
      </c>
      <c r="C408" s="8" t="s">
        <v>150</v>
      </c>
      <c r="D408" s="8" t="s">
        <v>235</v>
      </c>
      <c r="E408" s="38" t="str">
        <f>VLOOKUP($A408, [6]!ProductsTable[#Data], 3, FALSE)</f>
        <v>ecoCool</v>
      </c>
      <c r="F408" s="38" t="str">
        <f>VLOOKUP($A408, [6]!ProductsTable[#Data], 4, FALSE)</f>
        <v>K33 Lithium Battery 50 KWh, 45000VA 3ph</v>
      </c>
      <c r="G408" s="38" t="str">
        <f>VLOOKUP($A408, [6]!ProductsTable[#Data], 5, FALSE)</f>
        <v>K33.45000-3.G.500</v>
      </c>
      <c r="I408" s="41" t="e">
        <f>VLOOKUP($A408, [6]!ProductsTable[#Data], 7, FALSE)</f>
        <v>#REF!</v>
      </c>
      <c r="J408" s="39" t="e">
        <f>VLOOKUP($A408, [6]!ProductsTable[#Data], 8, FALSE)</f>
        <v>#REF!</v>
      </c>
      <c r="K408">
        <f>VLOOKUP($A408, [6]!ProductsTable[#Data], 9, FALSE)</f>
        <v>0</v>
      </c>
      <c r="L408" s="38">
        <f>VLOOKUP($A408, [6]!ProductsTable[#Data], 10, FALSE)</f>
        <v>767.22</v>
      </c>
      <c r="M408" s="38">
        <f>VLOOKUP($A408, [6]!ProductsTable[#Data], 11, FALSE)</f>
        <v>212</v>
      </c>
      <c r="N408" s="38">
        <f>VLOOKUP($A408, [6]!ProductsTable[#Data], 12, FALSE)</f>
        <v>1030</v>
      </c>
      <c r="O408" s="38">
        <f>VLOOKUP($A408, [6]!ProductsTable[#Data], 13, FALSE)</f>
        <v>630</v>
      </c>
      <c r="R408" s="38" t="str">
        <f>VLOOKUP($A408, [6]!ProductsTable[#Data], 14, FALSE)</f>
        <v>0-ecoCool</v>
      </c>
      <c r="AE408" t="e">
        <f>COUNTIF('[7]product-export'!$A$2:$A$379, A408)</f>
        <v>#VALUE!</v>
      </c>
    </row>
    <row r="409" spans="1:31" x14ac:dyDescent="0.25">
      <c r="A409" s="76" t="s">
        <v>587</v>
      </c>
      <c r="B409" s="38" t="str">
        <f>VLOOKUP($A409, [6]!ProductsTable[#Data], 2, FALSE)</f>
        <v>K-Series Battery Systems</v>
      </c>
      <c r="C409" s="8" t="s">
        <v>150</v>
      </c>
      <c r="D409" s="8" t="s">
        <v>235</v>
      </c>
      <c r="E409" s="38" t="str">
        <f>VLOOKUP($A409, [6]!ProductsTable[#Data], 3, FALSE)</f>
        <v>ecoCool</v>
      </c>
      <c r="F409" s="38" t="str">
        <f>VLOOKUP($A409, [6]!ProductsTable[#Data], 4, FALSE)</f>
        <v>K33 Lithium Battery 10 KWh, 5000VA</v>
      </c>
      <c r="G409" s="38" t="str">
        <f>VLOOKUP($A409, [6]!ProductsTable[#Data], 5, FALSE)</f>
        <v>K33.5000.G.100</v>
      </c>
      <c r="I409" s="41" t="e">
        <f>VLOOKUP($A409, [6]!ProductsTable[#Data], 7, FALSE)</f>
        <v>#REF!</v>
      </c>
      <c r="J409" s="39" t="e">
        <f>VLOOKUP($A409, [6]!ProductsTable[#Data], 8, FALSE)</f>
        <v>#REF!</v>
      </c>
      <c r="K409">
        <f>VLOOKUP($A409, [6]!ProductsTable[#Data], 9, FALSE)</f>
        <v>0</v>
      </c>
      <c r="L409" s="38">
        <f>VLOOKUP($A409, [6]!ProductsTable[#Data], 10, FALSE)</f>
        <v>148</v>
      </c>
      <c r="M409" s="38">
        <f>VLOOKUP($A409, [6]!ProductsTable[#Data], 11, FALSE)</f>
        <v>88.5</v>
      </c>
      <c r="N409" s="38">
        <f>VLOOKUP($A409, [6]!ProductsTable[#Data], 12, FALSE)</f>
        <v>80</v>
      </c>
      <c r="O409" s="38">
        <f>VLOOKUP($A409, [6]!ProductsTable[#Data], 13, FALSE)</f>
        <v>40</v>
      </c>
      <c r="R409" s="38" t="str">
        <f>VLOOKUP($A409, [6]!ProductsTable[#Data], 14, FALSE)</f>
        <v>0-ecoCool</v>
      </c>
      <c r="AE409" t="e">
        <f>COUNTIF('[7]product-export'!$A$2:$A$379, A409)</f>
        <v>#VALUE!</v>
      </c>
    </row>
    <row r="410" spans="1:31" x14ac:dyDescent="0.25">
      <c r="A410" s="76" t="s">
        <v>573</v>
      </c>
      <c r="B410" s="38" t="str">
        <f>VLOOKUP($A410, [6]!ProductsTable[#Data], 2, FALSE)</f>
        <v>K-Series Battery Systems</v>
      </c>
      <c r="C410" s="8" t="s">
        <v>150</v>
      </c>
      <c r="D410" s="8" t="s">
        <v>235</v>
      </c>
      <c r="E410" s="38" t="str">
        <f>VLOOKUP($A410, [6]!ProductsTable[#Data], 3, FALSE)</f>
        <v>ecoCool</v>
      </c>
      <c r="F410" s="38" t="str">
        <f>VLOOKUP($A410, [6]!ProductsTable[#Data], 4, FALSE)</f>
        <v>K33 Lithium Battery 15 KWh, 5000VA</v>
      </c>
      <c r="G410" s="38" t="str">
        <f>VLOOKUP($A410, [6]!ProductsTable[#Data], 5, FALSE)</f>
        <v>K33.5000.G.150</v>
      </c>
      <c r="I410" s="41" t="e">
        <f>VLOOKUP($A410, [6]!ProductsTable[#Data], 7, FALSE)</f>
        <v>#REF!</v>
      </c>
      <c r="J410" s="39" t="e">
        <f>VLOOKUP($A410, [6]!ProductsTable[#Data], 8, FALSE)</f>
        <v>#REF!</v>
      </c>
      <c r="K410">
        <f>VLOOKUP($A410, [6]!ProductsTable[#Data], 9, FALSE)</f>
        <v>0</v>
      </c>
      <c r="L410" s="38">
        <f>VLOOKUP($A410, [6]!ProductsTable[#Data], 10, FALSE)</f>
        <v>184</v>
      </c>
      <c r="M410" s="38">
        <f>VLOOKUP($A410, [6]!ProductsTable[#Data], 11, FALSE)</f>
        <v>88.5</v>
      </c>
      <c r="N410" s="38">
        <f>VLOOKUP($A410, [6]!ProductsTable[#Data], 12, FALSE)</f>
        <v>80</v>
      </c>
      <c r="O410" s="38">
        <f>VLOOKUP($A410, [6]!ProductsTable[#Data], 13, FALSE)</f>
        <v>40</v>
      </c>
      <c r="R410" s="38" t="str">
        <f>VLOOKUP($A410, [6]!ProductsTable[#Data], 14, FALSE)</f>
        <v>0-ecoCool</v>
      </c>
      <c r="AE410" t="e">
        <f>COUNTIF('[7]product-export'!$A$2:$A$379, A410)</f>
        <v>#VALUE!</v>
      </c>
    </row>
    <row r="411" spans="1:31" x14ac:dyDescent="0.25">
      <c r="A411" s="76" t="s">
        <v>574</v>
      </c>
      <c r="B411" s="38" t="str">
        <f>VLOOKUP($A411, [6]!ProductsTable[#Data], 2, FALSE)</f>
        <v>K-Series Battery Systems</v>
      </c>
      <c r="C411" s="8" t="s">
        <v>150</v>
      </c>
      <c r="D411" s="8" t="s">
        <v>235</v>
      </c>
      <c r="E411" s="38" t="str">
        <f>VLOOKUP($A411, [6]!ProductsTable[#Data], 3, FALSE)</f>
        <v>ecoCool</v>
      </c>
      <c r="F411" s="38" t="str">
        <f>VLOOKUP($A411, [6]!ProductsTable[#Data], 4, FALSE)</f>
        <v>K33 Lithium Battery 15 KWh, 8000VA</v>
      </c>
      <c r="G411" s="38" t="str">
        <f>VLOOKUP($A411, [6]!ProductsTable[#Data], 5, FALSE)</f>
        <v>K33.8000.G.150</v>
      </c>
      <c r="I411" s="41" t="e">
        <f>VLOOKUP($A411, [6]!ProductsTable[#Data], 7, FALSE)</f>
        <v>#REF!</v>
      </c>
      <c r="J411" s="39" t="e">
        <f>VLOOKUP($A411, [6]!ProductsTable[#Data], 8, FALSE)</f>
        <v>#REF!</v>
      </c>
      <c r="K411">
        <f>VLOOKUP($A411, [6]!ProductsTable[#Data], 9, FALSE)</f>
        <v>0</v>
      </c>
      <c r="L411" s="38">
        <f>VLOOKUP($A411, [6]!ProductsTable[#Data], 10, FALSE)</f>
        <v>202.25</v>
      </c>
      <c r="M411" s="38">
        <f>VLOOKUP($A411, [6]!ProductsTable[#Data], 11, FALSE)</f>
        <v>108.5</v>
      </c>
      <c r="N411" s="38">
        <f>VLOOKUP($A411, [6]!ProductsTable[#Data], 12, FALSE)</f>
        <v>80</v>
      </c>
      <c r="O411" s="38">
        <f>VLOOKUP($A411, [6]!ProductsTable[#Data], 13, FALSE)</f>
        <v>40</v>
      </c>
      <c r="R411" s="38" t="str">
        <f>VLOOKUP($A411, [6]!ProductsTable[#Data], 14, FALSE)</f>
        <v>0-ecoCool</v>
      </c>
      <c r="AE411" t="e">
        <f>COUNTIF('[7]product-export'!$A$2:$A$379, A411)</f>
        <v>#VALUE!</v>
      </c>
    </row>
    <row r="412" spans="1:31" x14ac:dyDescent="0.25">
      <c r="A412" s="76" t="s">
        <v>545</v>
      </c>
      <c r="B412" s="38" t="str">
        <f>VLOOKUP($A412, [6]!ProductsTable[#Data], 2, FALSE)</f>
        <v>DC Bus</v>
      </c>
      <c r="C412" s="8" t="s">
        <v>217</v>
      </c>
      <c r="D412" s="8" t="s">
        <v>172</v>
      </c>
      <c r="E412" s="38" t="str">
        <f>VLOOKUP($A412, [6]!ProductsTable[#Data], 3, FALSE)</f>
        <v>ecoCool</v>
      </c>
      <c r="F412" s="38" t="str">
        <f>VLOOKUP($A412, [6]!ProductsTable[#Data], 4, FALSE)</f>
        <v>DC Bus-enclosure 165A BMV ready</v>
      </c>
      <c r="G412" s="38" t="str">
        <f>VLOOKUP($A412, [6]!ProductsTable[#Data], 5, FALSE)</f>
        <v>PK18.A01</v>
      </c>
      <c r="I412" s="41" t="e">
        <f>VLOOKUP($A412, [6]!ProductsTable[#Data], 7, FALSE)</f>
        <v>#REF!</v>
      </c>
      <c r="J412" s="39" t="e">
        <f>VLOOKUP($A412, [6]!ProductsTable[#Data], 8, FALSE)</f>
        <v>#REF!</v>
      </c>
      <c r="K412">
        <f>VLOOKUP($A412, [6]!ProductsTable[#Data], 9, FALSE)</f>
        <v>0</v>
      </c>
      <c r="L412" s="38">
        <f>VLOOKUP($A412, [6]!ProductsTable[#Data], 10, FALSE)</f>
        <v>0.84799999999999998</v>
      </c>
      <c r="M412" s="38">
        <f>VLOOKUP($A412, [6]!ProductsTable[#Data], 11, FALSE)</f>
        <v>30</v>
      </c>
      <c r="N412" s="38">
        <f>VLOOKUP($A412, [6]!ProductsTable[#Data], 12, FALSE)</f>
        <v>22</v>
      </c>
      <c r="O412" s="38">
        <f>VLOOKUP($A412, [6]!ProductsTable[#Data], 13, FALSE)</f>
        <v>10</v>
      </c>
      <c r="R412" s="38" t="str">
        <f>VLOOKUP($A412, [6]!ProductsTable[#Data], 14, FALSE)</f>
        <v>0-ecoCool</v>
      </c>
      <c r="AE412" t="e">
        <f>COUNTIF('[7]product-export'!$A$2:$A$379, A412)</f>
        <v>#VALUE!</v>
      </c>
    </row>
    <row r="413" spans="1:31" x14ac:dyDescent="0.25">
      <c r="A413" s="76" t="s">
        <v>546</v>
      </c>
      <c r="B413" s="38" t="str">
        <f>VLOOKUP($A413, [6]!ProductsTable[#Data], 2, FALSE)</f>
        <v>DC Bus</v>
      </c>
      <c r="C413" s="8" t="s">
        <v>217</v>
      </c>
      <c r="D413" s="8" t="s">
        <v>172</v>
      </c>
      <c r="E413" s="38" t="str">
        <f>VLOOKUP($A413, [6]!ProductsTable[#Data], 3, FALSE)</f>
        <v>ecoCool</v>
      </c>
      <c r="F413" s="38" t="str">
        <f>VLOOKUP($A413, [6]!ProductsTable[#Data], 4, FALSE)</f>
        <v>DC Bus-enclosure 250A BMV ready</v>
      </c>
      <c r="G413" s="38" t="str">
        <f>VLOOKUP($A413, [6]!ProductsTable[#Data], 5, FALSE)</f>
        <v>PK18.A02</v>
      </c>
      <c r="I413" s="41" t="e">
        <f>VLOOKUP($A413, [6]!ProductsTable[#Data], 7, FALSE)</f>
        <v>#REF!</v>
      </c>
      <c r="J413" s="39" t="e">
        <f>VLOOKUP($A413, [6]!ProductsTable[#Data], 8, FALSE)</f>
        <v>#REF!</v>
      </c>
      <c r="K413">
        <f>VLOOKUP($A413, [6]!ProductsTable[#Data], 9, FALSE)</f>
        <v>0</v>
      </c>
      <c r="L413" s="38">
        <f>VLOOKUP($A413, [6]!ProductsTable[#Data], 10, FALSE)</f>
        <v>0.84799999999999998</v>
      </c>
      <c r="M413" s="38">
        <f>VLOOKUP($A413, [6]!ProductsTable[#Data], 11, FALSE)</f>
        <v>30</v>
      </c>
      <c r="N413" s="38">
        <f>VLOOKUP($A413, [6]!ProductsTable[#Data], 12, FALSE)</f>
        <v>22</v>
      </c>
      <c r="O413" s="38">
        <f>VLOOKUP($A413, [6]!ProductsTable[#Data], 13, FALSE)</f>
        <v>10</v>
      </c>
      <c r="R413" s="38" t="str">
        <f>VLOOKUP($A413, [6]!ProductsTable[#Data], 14, FALSE)</f>
        <v>0-ecoCool</v>
      </c>
      <c r="AE413" t="e">
        <f>COUNTIF('[7]product-export'!$A$2:$A$379, A413)</f>
        <v>#VALUE!</v>
      </c>
    </row>
    <row r="414" spans="1:31" x14ac:dyDescent="0.25">
      <c r="A414" s="76" t="s">
        <v>285</v>
      </c>
      <c r="B414" s="38" t="str">
        <f>VLOOKUP($A414, [6]!ProductsTable[#Data], 2, FALSE)</f>
        <v>Inverters</v>
      </c>
      <c r="C414" s="8" t="s">
        <v>155</v>
      </c>
      <c r="D414" s="8" t="s">
        <v>193</v>
      </c>
      <c r="E414" s="38" t="str">
        <f>VLOOKUP($A414, [6]!ProductsTable[#Data], 3, FALSE)</f>
        <v>SMA</v>
      </c>
      <c r="F414" s="38" t="str">
        <f>VLOOKUP($A414, [6]!ProductsTable[#Data], 4, FALSE)</f>
        <v>Sunny Boy 1.5/2.5 extended warranty</v>
      </c>
      <c r="G414" s="38" t="str">
        <f>VLOOKUP($A414, [6]!ProductsTable[#Data], 5, FALSE)</f>
        <v>SMA-EW-1</v>
      </c>
      <c r="I414" s="41" t="e">
        <f>VLOOKUP($A414, [6]!ProductsTable[#Data], 7, FALSE)</f>
        <v>#REF!</v>
      </c>
      <c r="J414" s="39" t="e">
        <f>VLOOKUP($A414, [6]!ProductsTable[#Data], 8, FALSE)</f>
        <v>#REF!</v>
      </c>
      <c r="K414">
        <f>VLOOKUP($A414, [6]!ProductsTable[#Data], 9, FALSE)</f>
        <v>0</v>
      </c>
      <c r="L414" s="38">
        <f>VLOOKUP($A414, [6]!ProductsTable[#Data], 10, FALSE)</f>
        <v>0</v>
      </c>
      <c r="M414" s="38">
        <f>VLOOKUP($A414, [6]!ProductsTable[#Data], 11, FALSE)</f>
        <v>0</v>
      </c>
      <c r="N414" s="38">
        <f>VLOOKUP($A414, [6]!ProductsTable[#Data], 12, FALSE)</f>
        <v>0</v>
      </c>
      <c r="O414" s="38">
        <f>VLOOKUP($A414, [6]!ProductsTable[#Data], 13, FALSE)</f>
        <v>0</v>
      </c>
      <c r="R414" s="38" t="str">
        <f>VLOOKUP($A414, [6]!ProductsTable[#Data], 14, FALSE)</f>
        <v>2-Krannich</v>
      </c>
      <c r="AE414" t="e">
        <f>COUNTIF('[7]product-export'!$A$2:$A$379, A414)</f>
        <v>#VALUE!</v>
      </c>
    </row>
    <row r="415" spans="1:31" x14ac:dyDescent="0.25">
      <c r="A415" s="76" t="s">
        <v>286</v>
      </c>
      <c r="B415" s="38" t="str">
        <f>VLOOKUP($A415, [6]!ProductsTable[#Data], 2, FALSE)</f>
        <v>Inverters</v>
      </c>
      <c r="C415" s="8" t="s">
        <v>155</v>
      </c>
      <c r="D415" s="8" t="s">
        <v>193</v>
      </c>
      <c r="E415" s="38" t="str">
        <f>VLOOKUP($A415, [6]!ProductsTable[#Data], 3, FALSE)</f>
        <v>SMA</v>
      </c>
      <c r="F415" s="38" t="str">
        <f>VLOOKUP($A415, [6]!ProductsTable[#Data], 4, FALSE)</f>
        <v>Sunny Boy 3kW extended warranty</v>
      </c>
      <c r="G415" s="38" t="str">
        <f>VLOOKUP($A415, [6]!ProductsTable[#Data], 5, FALSE)</f>
        <v>SMA-EW-2</v>
      </c>
      <c r="I415" s="41" t="e">
        <f>VLOOKUP($A415, [6]!ProductsTable[#Data], 7, FALSE)</f>
        <v>#REF!</v>
      </c>
      <c r="J415" s="39" t="e">
        <f>VLOOKUP($A415, [6]!ProductsTable[#Data], 8, FALSE)</f>
        <v>#REF!</v>
      </c>
      <c r="K415">
        <f>VLOOKUP($A415, [6]!ProductsTable[#Data], 9, FALSE)</f>
        <v>0</v>
      </c>
      <c r="L415" s="38">
        <f>VLOOKUP($A415, [6]!ProductsTable[#Data], 10, FALSE)</f>
        <v>0</v>
      </c>
      <c r="M415" s="38">
        <f>VLOOKUP($A415, [6]!ProductsTable[#Data], 11, FALSE)</f>
        <v>0</v>
      </c>
      <c r="N415" s="38">
        <f>VLOOKUP($A415, [6]!ProductsTable[#Data], 12, FALSE)</f>
        <v>0</v>
      </c>
      <c r="O415" s="38">
        <f>VLOOKUP($A415, [6]!ProductsTable[#Data], 13, FALSE)</f>
        <v>0</v>
      </c>
      <c r="R415" s="38" t="str">
        <f>VLOOKUP($A415, [6]!ProductsTable[#Data], 14, FALSE)</f>
        <v>2-Krannich</v>
      </c>
      <c r="AE415" t="e">
        <f>COUNTIF('[7]product-export'!$A$2:$A$379, A415)</f>
        <v>#VALUE!</v>
      </c>
    </row>
    <row r="416" spans="1:31" x14ac:dyDescent="0.25">
      <c r="A416" s="76" t="s">
        <v>287</v>
      </c>
      <c r="B416" s="38" t="str">
        <f>VLOOKUP($A416, [6]!ProductsTable[#Data], 2, FALSE)</f>
        <v>Inverters</v>
      </c>
      <c r="C416" s="8" t="s">
        <v>155</v>
      </c>
      <c r="D416" s="8" t="s">
        <v>193</v>
      </c>
      <c r="E416" s="38" t="str">
        <f>VLOOKUP($A416, [6]!ProductsTable[#Data], 3, FALSE)</f>
        <v>SMA</v>
      </c>
      <c r="F416" s="38" t="str">
        <f>VLOOKUP($A416, [6]!ProductsTable[#Data], 4, FALSE)</f>
        <v>Sunny Boy 4.0kW extended warranty</v>
      </c>
      <c r="G416" s="38" t="str">
        <f>VLOOKUP($A416, [6]!ProductsTable[#Data], 5, FALSE)</f>
        <v>SMA-EW-3</v>
      </c>
      <c r="I416" s="41" t="e">
        <f>VLOOKUP($A416, [6]!ProductsTable[#Data], 7, FALSE)</f>
        <v>#REF!</v>
      </c>
      <c r="J416" s="39" t="e">
        <f>VLOOKUP($A416, [6]!ProductsTable[#Data], 8, FALSE)</f>
        <v>#REF!</v>
      </c>
      <c r="K416">
        <f>VLOOKUP($A416, [6]!ProductsTable[#Data], 9, FALSE)</f>
        <v>0</v>
      </c>
      <c r="L416" s="38">
        <f>VLOOKUP($A416, [6]!ProductsTable[#Data], 10, FALSE)</f>
        <v>0</v>
      </c>
      <c r="M416" s="38">
        <f>VLOOKUP($A416, [6]!ProductsTable[#Data], 11, FALSE)</f>
        <v>0</v>
      </c>
      <c r="N416" s="38">
        <f>VLOOKUP($A416, [6]!ProductsTable[#Data], 12, FALSE)</f>
        <v>0</v>
      </c>
      <c r="O416" s="38">
        <f>VLOOKUP($A416, [6]!ProductsTable[#Data], 13, FALSE)</f>
        <v>0</v>
      </c>
      <c r="R416" s="38" t="str">
        <f>VLOOKUP($A416, [6]!ProductsTable[#Data], 14, FALSE)</f>
        <v>2-Krannich</v>
      </c>
      <c r="AE416" t="e">
        <f>COUNTIF('[7]product-export'!$A$2:$A$379, A416)</f>
        <v>#VALUE!</v>
      </c>
    </row>
    <row r="417" spans="1:31" x14ac:dyDescent="0.25">
      <c r="A417" s="76" t="s">
        <v>288</v>
      </c>
      <c r="B417" s="38" t="str">
        <f>VLOOKUP($A417, [6]!ProductsTable[#Data], 2, FALSE)</f>
        <v>Inverters</v>
      </c>
      <c r="C417" s="8" t="s">
        <v>155</v>
      </c>
      <c r="D417" s="8" t="s">
        <v>193</v>
      </c>
      <c r="E417" s="38" t="str">
        <f>VLOOKUP($A417, [6]!ProductsTable[#Data], 3, FALSE)</f>
        <v>SMA</v>
      </c>
      <c r="F417" s="38" t="str">
        <f>VLOOKUP($A417, [6]!ProductsTable[#Data], 4, FALSE)</f>
        <v>Sunny Boy 5.0kW extended warranty</v>
      </c>
      <c r="G417" s="38" t="str">
        <f>VLOOKUP($A417, [6]!ProductsTable[#Data], 5, FALSE)</f>
        <v>SMA-EW-4</v>
      </c>
      <c r="I417" s="41" t="e">
        <f>VLOOKUP($A417, [6]!ProductsTable[#Data], 7, FALSE)</f>
        <v>#REF!</v>
      </c>
      <c r="J417" s="39" t="e">
        <f>VLOOKUP($A417, [6]!ProductsTable[#Data], 8, FALSE)</f>
        <v>#REF!</v>
      </c>
      <c r="K417">
        <f>VLOOKUP($A417, [6]!ProductsTable[#Data], 9, FALSE)</f>
        <v>0</v>
      </c>
      <c r="L417" s="38">
        <f>VLOOKUP($A417, [6]!ProductsTable[#Data], 10, FALSE)</f>
        <v>0</v>
      </c>
      <c r="M417" s="38">
        <f>VLOOKUP($A417, [6]!ProductsTable[#Data], 11, FALSE)</f>
        <v>0</v>
      </c>
      <c r="N417" s="38">
        <f>VLOOKUP($A417, [6]!ProductsTable[#Data], 12, FALSE)</f>
        <v>0</v>
      </c>
      <c r="O417" s="38">
        <f>VLOOKUP($A417, [6]!ProductsTable[#Data], 13, FALSE)</f>
        <v>0</v>
      </c>
      <c r="R417" s="38" t="str">
        <f>VLOOKUP($A417, [6]!ProductsTable[#Data], 14, FALSE)</f>
        <v>2-Krannich</v>
      </c>
      <c r="AE417" t="e">
        <f>COUNTIF('[7]product-export'!$A$2:$A$379, A417)</f>
        <v>#VALUE!</v>
      </c>
    </row>
    <row r="418" spans="1:31" x14ac:dyDescent="0.25">
      <c r="A418" s="43"/>
      <c r="B418" s="38"/>
      <c r="G418" s="38"/>
      <c r="I418" s="41"/>
      <c r="J418" s="40"/>
      <c r="L418" s="38"/>
      <c r="M418" s="38"/>
      <c r="N418" s="38"/>
      <c r="O418" s="38"/>
      <c r="R418" s="38"/>
    </row>
    <row r="419" spans="1:31" x14ac:dyDescent="0.25">
      <c r="A419" s="43"/>
      <c r="B419" s="38"/>
      <c r="G419" s="38"/>
      <c r="I419" s="41"/>
      <c r="J419" s="40"/>
      <c r="L419" s="38"/>
      <c r="M419" s="38"/>
      <c r="N419" s="38"/>
      <c r="O419" s="38"/>
      <c r="R419" s="38"/>
    </row>
    <row r="420" spans="1:31" x14ac:dyDescent="0.25">
      <c r="A420" s="37"/>
      <c r="B420" s="37"/>
      <c r="C420" s="62"/>
      <c r="D420" s="62"/>
      <c r="E420" s="37"/>
      <c r="F420" s="37"/>
      <c r="G420" s="37"/>
      <c r="H420" s="37"/>
      <c r="I420" s="37"/>
    </row>
    <row r="421" spans="1:31" x14ac:dyDescent="0.25">
      <c r="A421" s="37"/>
      <c r="B421" s="37"/>
      <c r="C421" s="62"/>
      <c r="D421" s="62"/>
      <c r="E421" s="37"/>
      <c r="F421" s="37" t="s">
        <v>72</v>
      </c>
      <c r="G421" s="37"/>
      <c r="H421" s="37"/>
      <c r="I421" s="37"/>
    </row>
    <row r="422" spans="1:31" x14ac:dyDescent="0.25">
      <c r="A422" s="37"/>
      <c r="B422" s="37"/>
      <c r="C422" s="62"/>
      <c r="D422" s="62"/>
      <c r="E422" s="37"/>
      <c r="F422" s="37"/>
      <c r="G422" s="37"/>
      <c r="H422" s="37"/>
      <c r="I422" s="37"/>
    </row>
  </sheetData>
  <sortState xmlns:xlrd2="http://schemas.microsoft.com/office/spreadsheetml/2017/richdata2" ref="A424:AD757">
    <sortCondition ref="A424:A757"/>
  </sortState>
  <mergeCells count="6">
    <mergeCell ref="T1:V1"/>
    <mergeCell ref="B1:F1"/>
    <mergeCell ref="H1:J1"/>
    <mergeCell ref="K1:L1"/>
    <mergeCell ref="M1:O1"/>
    <mergeCell ref="P1:Q1"/>
  </mergeCells>
  <phoneticPr fontId="8" type="noConversion"/>
  <dataValidations count="7">
    <dataValidation type="list" allowBlank="1" showInputMessage="1" showErrorMessage="1" sqref="D25:D31 D3 D5:D12 D49:D51" xr:uid="{BC7AF58E-18D4-4B72-990F-FBC30954C7D2}">
      <formula1>Monitoring</formula1>
    </dataValidation>
    <dataValidation type="list" allowBlank="1" showInputMessage="1" showErrorMessage="1" sqref="D4:D5 D13:D18" xr:uid="{2DE42E73-0E87-4A1C-823E-0D4D91E31056}">
      <formula1>Offgrid.Equip</formula1>
    </dataValidation>
    <dataValidation type="list" allowBlank="1" showInputMessage="1" showErrorMessage="1" sqref="D19:D24 D32" xr:uid="{BEBE7051-8C4E-4DE7-806D-9A5F483E26F9}">
      <formula1>Brands</formula1>
    </dataValidation>
    <dataValidation type="list" allowBlank="1" showInputMessage="1" showErrorMessage="1" sqref="D33 D45" xr:uid="{9F3BED1C-D254-4236-AFFF-92FCC8FC63F9}">
      <formula1>Solar.Panels</formula1>
    </dataValidation>
    <dataValidation type="list" allowBlank="1" showInputMessage="1" showErrorMessage="1" sqref="D34:D44 D46:D48" xr:uid="{9D43D195-6DFC-43B5-B121-A095CE1ACDC2}">
      <formula1>Electrical</formula1>
    </dataValidation>
    <dataValidation type="list" allowBlank="1" showInputMessage="1" showErrorMessage="1" sqref="C3:C417" xr:uid="{7ABBA46A-612E-4131-85A9-39527E5181CA}">
      <formula1>StoreCategory</formula1>
    </dataValidation>
    <dataValidation type="list" allowBlank="1" showInputMessage="1" showErrorMessage="1" sqref="D52:D417" xr:uid="{C79DC531-3327-4A70-B0CF-32A6DAA9E4DE}">
      <formula1>INDIRECT(C52)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AD665-89EF-49D4-9F40-A5EA826E3E0E}">
  <dimension ref="A1:F2370"/>
  <sheetViews>
    <sheetView workbookViewId="0">
      <selection activeCell="E2" sqref="E2"/>
    </sheetView>
  </sheetViews>
  <sheetFormatPr defaultRowHeight="15" x14ac:dyDescent="0.25"/>
  <cols>
    <col min="6" max="6" width="15.5703125" bestFit="1" customWidth="1"/>
  </cols>
  <sheetData>
    <row r="1" spans="1:6" x14ac:dyDescent="0.25">
      <c r="A1" t="s">
        <v>645</v>
      </c>
      <c r="B1" t="s">
        <v>678</v>
      </c>
      <c r="C1" t="s">
        <v>679</v>
      </c>
      <c r="D1" t="s">
        <v>680</v>
      </c>
      <c r="E1" t="s">
        <v>681</v>
      </c>
      <c r="F1" t="s">
        <v>2987</v>
      </c>
    </row>
    <row r="2" spans="1:6" x14ac:dyDescent="0.25">
      <c r="A2" s="109">
        <v>4875</v>
      </c>
      <c r="B2" t="s">
        <v>682</v>
      </c>
      <c r="C2" t="s">
        <v>683</v>
      </c>
      <c r="D2" s="110">
        <v>-9</v>
      </c>
      <c r="E2" t="str">
        <f>IF(D2&lt;-34,"4",IF(D2&lt;-26,"3",IF(D2&lt;-18,"2",IF(D2&lt;-8,"1","lits"))))</f>
        <v>1</v>
      </c>
      <c r="F2" t="str">
        <f>IF(D2&lt;-34,"1.6",IF(D2&lt;-26,"1.4",IF(D2&lt;-18,"1.2",IF(D2&lt;-8,"1","lits"))))</f>
        <v>1</v>
      </c>
    </row>
    <row r="3" spans="1:6" x14ac:dyDescent="0.25">
      <c r="A3" s="109">
        <v>4876</v>
      </c>
      <c r="B3" t="s">
        <v>684</v>
      </c>
      <c r="C3" t="s">
        <v>683</v>
      </c>
      <c r="D3" s="110">
        <v>-10</v>
      </c>
      <c r="E3" t="str">
        <f t="shared" ref="E3:E66" si="0">IF(D3&lt;-34,"4",IF(D3&lt;-26,"3",IF(D3&lt;-18,"2",IF(D3&lt;-8,"1","lits"))))</f>
        <v>1</v>
      </c>
      <c r="F3" t="str">
        <f t="shared" ref="F3:F66" si="1">IF(D3&lt;-34,"1.6",IF(D3&lt;-26,"1.4",IF(D3&lt;-18,"1.2",IF(D3&lt;-8,"1","lits"))))</f>
        <v>1</v>
      </c>
    </row>
    <row r="4" spans="1:6" x14ac:dyDescent="0.25">
      <c r="A4" s="109">
        <v>6798</v>
      </c>
      <c r="B4" t="s">
        <v>685</v>
      </c>
      <c r="C4" t="s">
        <v>686</v>
      </c>
      <c r="D4" s="110">
        <v>-10</v>
      </c>
      <c r="E4" t="str">
        <f t="shared" si="0"/>
        <v>1</v>
      </c>
      <c r="F4" t="str">
        <f t="shared" si="1"/>
        <v>1</v>
      </c>
    </row>
    <row r="5" spans="1:6" x14ac:dyDescent="0.25">
      <c r="A5" s="109">
        <v>800</v>
      </c>
      <c r="B5" t="s">
        <v>687</v>
      </c>
      <c r="C5" t="s">
        <v>688</v>
      </c>
      <c r="D5" s="110">
        <v>-12</v>
      </c>
      <c r="E5" t="str">
        <f t="shared" si="0"/>
        <v>1</v>
      </c>
      <c r="F5" t="str">
        <f t="shared" si="1"/>
        <v>1</v>
      </c>
    </row>
    <row r="6" spans="1:6" x14ac:dyDescent="0.25">
      <c r="A6" s="109">
        <v>810</v>
      </c>
      <c r="B6" t="s">
        <v>689</v>
      </c>
      <c r="C6" t="s">
        <v>688</v>
      </c>
      <c r="D6" s="110">
        <v>-12</v>
      </c>
      <c r="E6" t="str">
        <f t="shared" si="0"/>
        <v>1</v>
      </c>
      <c r="F6" t="str">
        <f t="shared" si="1"/>
        <v>1</v>
      </c>
    </row>
    <row r="7" spans="1:6" x14ac:dyDescent="0.25">
      <c r="A7" s="109">
        <v>812</v>
      </c>
      <c r="B7" t="s">
        <v>690</v>
      </c>
      <c r="C7" t="s">
        <v>688</v>
      </c>
      <c r="D7" s="110">
        <v>-12</v>
      </c>
      <c r="E7" t="str">
        <f t="shared" si="0"/>
        <v>1</v>
      </c>
      <c r="F7" t="str">
        <f t="shared" si="1"/>
        <v>1</v>
      </c>
    </row>
    <row r="8" spans="1:6" x14ac:dyDescent="0.25">
      <c r="A8" s="109">
        <v>820</v>
      </c>
      <c r="B8" t="s">
        <v>691</v>
      </c>
      <c r="C8" t="s">
        <v>688</v>
      </c>
      <c r="D8" s="110">
        <v>-12</v>
      </c>
      <c r="E8" t="str">
        <f t="shared" si="0"/>
        <v>1</v>
      </c>
      <c r="F8" t="str">
        <f t="shared" si="1"/>
        <v>1</v>
      </c>
    </row>
    <row r="9" spans="1:6" x14ac:dyDescent="0.25">
      <c r="A9" s="109">
        <v>822</v>
      </c>
      <c r="B9" t="s">
        <v>692</v>
      </c>
      <c r="C9" t="s">
        <v>688</v>
      </c>
      <c r="D9" s="110">
        <v>-12</v>
      </c>
      <c r="E9" t="str">
        <f t="shared" si="0"/>
        <v>1</v>
      </c>
      <c r="F9" t="str">
        <f t="shared" si="1"/>
        <v>1</v>
      </c>
    </row>
    <row r="10" spans="1:6" x14ac:dyDescent="0.25">
      <c r="A10" s="109">
        <v>828</v>
      </c>
      <c r="B10" t="s">
        <v>693</v>
      </c>
      <c r="C10" t="s">
        <v>688</v>
      </c>
      <c r="D10" s="110">
        <v>-12</v>
      </c>
      <c r="E10" t="str">
        <f t="shared" si="0"/>
        <v>1</v>
      </c>
      <c r="F10" t="str">
        <f t="shared" si="1"/>
        <v>1</v>
      </c>
    </row>
    <row r="11" spans="1:6" x14ac:dyDescent="0.25">
      <c r="A11" s="109">
        <v>830</v>
      </c>
      <c r="B11" t="s">
        <v>694</v>
      </c>
      <c r="C11" t="s">
        <v>688</v>
      </c>
      <c r="D11" s="110">
        <v>-12</v>
      </c>
      <c r="E11" t="str">
        <f t="shared" si="0"/>
        <v>1</v>
      </c>
      <c r="F11" t="str">
        <f t="shared" si="1"/>
        <v>1</v>
      </c>
    </row>
    <row r="12" spans="1:6" x14ac:dyDescent="0.25">
      <c r="A12" s="109">
        <v>832</v>
      </c>
      <c r="B12" t="s">
        <v>695</v>
      </c>
      <c r="C12" t="s">
        <v>688</v>
      </c>
      <c r="D12" s="111">
        <v>-12</v>
      </c>
      <c r="E12" t="str">
        <f t="shared" si="0"/>
        <v>1</v>
      </c>
      <c r="F12" t="str">
        <f t="shared" si="1"/>
        <v>1</v>
      </c>
    </row>
    <row r="13" spans="1:6" x14ac:dyDescent="0.25">
      <c r="A13" s="109">
        <v>835</v>
      </c>
      <c r="B13" t="s">
        <v>696</v>
      </c>
      <c r="C13" t="s">
        <v>688</v>
      </c>
      <c r="D13" s="110">
        <v>-12</v>
      </c>
      <c r="E13" t="str">
        <f t="shared" si="0"/>
        <v>1</v>
      </c>
      <c r="F13" t="str">
        <f t="shared" si="1"/>
        <v>1</v>
      </c>
    </row>
    <row r="14" spans="1:6" x14ac:dyDescent="0.25">
      <c r="A14" s="109">
        <v>836</v>
      </c>
      <c r="B14" t="s">
        <v>697</v>
      </c>
      <c r="C14" t="s">
        <v>688</v>
      </c>
      <c r="D14" s="110">
        <v>-12</v>
      </c>
      <c r="E14" t="str">
        <f t="shared" si="0"/>
        <v>1</v>
      </c>
      <c r="F14" t="str">
        <f t="shared" si="1"/>
        <v>1</v>
      </c>
    </row>
    <row r="15" spans="1:6" x14ac:dyDescent="0.25">
      <c r="A15" s="109">
        <v>837</v>
      </c>
      <c r="B15" t="s">
        <v>698</v>
      </c>
      <c r="C15" t="s">
        <v>688</v>
      </c>
      <c r="D15" s="110">
        <v>-12</v>
      </c>
      <c r="E15" t="str">
        <f t="shared" si="0"/>
        <v>1</v>
      </c>
      <c r="F15" t="str">
        <f t="shared" si="1"/>
        <v>1</v>
      </c>
    </row>
    <row r="16" spans="1:6" x14ac:dyDescent="0.25">
      <c r="A16" s="109">
        <v>840</v>
      </c>
      <c r="B16" t="s">
        <v>699</v>
      </c>
      <c r="C16" t="s">
        <v>688</v>
      </c>
      <c r="D16" s="111">
        <v>-12</v>
      </c>
      <c r="E16" t="str">
        <f t="shared" si="0"/>
        <v>1</v>
      </c>
      <c r="F16" t="str">
        <f t="shared" si="1"/>
        <v>1</v>
      </c>
    </row>
    <row r="17" spans="1:6" x14ac:dyDescent="0.25">
      <c r="A17" s="109">
        <v>880</v>
      </c>
      <c r="B17" t="s">
        <v>700</v>
      </c>
      <c r="C17" t="s">
        <v>688</v>
      </c>
      <c r="D17" s="110">
        <v>-12</v>
      </c>
      <c r="E17" t="str">
        <f t="shared" si="0"/>
        <v>1</v>
      </c>
      <c r="F17" t="str">
        <f t="shared" si="1"/>
        <v>1</v>
      </c>
    </row>
    <row r="18" spans="1:6" x14ac:dyDescent="0.25">
      <c r="A18" s="109">
        <v>886</v>
      </c>
      <c r="B18" t="s">
        <v>701</v>
      </c>
      <c r="C18" t="s">
        <v>688</v>
      </c>
      <c r="D18" s="110">
        <v>-12</v>
      </c>
      <c r="E18" t="str">
        <f t="shared" si="0"/>
        <v>1</v>
      </c>
      <c r="F18" t="str">
        <f t="shared" si="1"/>
        <v>1</v>
      </c>
    </row>
    <row r="19" spans="1:6" x14ac:dyDescent="0.25">
      <c r="A19" s="109">
        <v>4874</v>
      </c>
      <c r="B19" t="s">
        <v>702</v>
      </c>
      <c r="C19" t="s">
        <v>683</v>
      </c>
      <c r="D19" s="110">
        <v>-12</v>
      </c>
      <c r="E19" t="str">
        <f t="shared" si="0"/>
        <v>1</v>
      </c>
      <c r="F19" t="str">
        <f t="shared" si="1"/>
        <v>1</v>
      </c>
    </row>
    <row r="20" spans="1:6" x14ac:dyDescent="0.25">
      <c r="A20" s="109">
        <v>6799</v>
      </c>
      <c r="B20" t="s">
        <v>703</v>
      </c>
      <c r="C20" t="s">
        <v>686</v>
      </c>
      <c r="D20" s="110">
        <v>-12</v>
      </c>
      <c r="E20" t="str">
        <f t="shared" si="0"/>
        <v>1</v>
      </c>
      <c r="F20" t="str">
        <f t="shared" si="1"/>
        <v>1</v>
      </c>
    </row>
    <row r="21" spans="1:6" x14ac:dyDescent="0.25">
      <c r="A21" s="109">
        <v>845</v>
      </c>
      <c r="B21" t="s">
        <v>704</v>
      </c>
      <c r="C21" t="s">
        <v>688</v>
      </c>
      <c r="D21" s="111">
        <v>-13</v>
      </c>
      <c r="E21" t="str">
        <f t="shared" si="0"/>
        <v>1</v>
      </c>
      <c r="F21" t="str">
        <f t="shared" si="1"/>
        <v>1</v>
      </c>
    </row>
    <row r="22" spans="1:6" x14ac:dyDescent="0.25">
      <c r="A22" s="109">
        <v>846</v>
      </c>
      <c r="B22" t="s">
        <v>705</v>
      </c>
      <c r="C22" t="s">
        <v>688</v>
      </c>
      <c r="D22" s="110">
        <v>-13</v>
      </c>
      <c r="E22" t="str">
        <f t="shared" si="0"/>
        <v>1</v>
      </c>
      <c r="F22" t="str">
        <f t="shared" si="1"/>
        <v>1</v>
      </c>
    </row>
    <row r="23" spans="1:6" x14ac:dyDescent="0.25">
      <c r="A23" s="109">
        <v>885</v>
      </c>
      <c r="B23" t="s">
        <v>706</v>
      </c>
      <c r="C23" t="s">
        <v>688</v>
      </c>
      <c r="D23" s="110">
        <v>-13</v>
      </c>
      <c r="E23" t="str">
        <f t="shared" si="0"/>
        <v>1</v>
      </c>
      <c r="F23" t="str">
        <f t="shared" si="1"/>
        <v>1</v>
      </c>
    </row>
    <row r="24" spans="1:6" x14ac:dyDescent="0.25">
      <c r="A24" s="109">
        <v>847</v>
      </c>
      <c r="B24" t="s">
        <v>707</v>
      </c>
      <c r="C24" t="s">
        <v>688</v>
      </c>
      <c r="D24" s="110">
        <v>-14</v>
      </c>
      <c r="E24" t="str">
        <f t="shared" si="0"/>
        <v>1</v>
      </c>
      <c r="F24" t="str">
        <f t="shared" si="1"/>
        <v>1</v>
      </c>
    </row>
    <row r="25" spans="1:6" x14ac:dyDescent="0.25">
      <c r="A25" s="109">
        <v>850</v>
      </c>
      <c r="B25" t="s">
        <v>708</v>
      </c>
      <c r="C25" t="s">
        <v>688</v>
      </c>
      <c r="D25" s="110">
        <v>-14</v>
      </c>
      <c r="E25" t="str">
        <f t="shared" si="0"/>
        <v>1</v>
      </c>
      <c r="F25" t="str">
        <f t="shared" si="1"/>
        <v>1</v>
      </c>
    </row>
    <row r="26" spans="1:6" x14ac:dyDescent="0.25">
      <c r="A26" s="109">
        <v>852</v>
      </c>
      <c r="B26" t="s">
        <v>709</v>
      </c>
      <c r="C26" t="s">
        <v>688</v>
      </c>
      <c r="D26" s="110">
        <v>-14</v>
      </c>
      <c r="E26" t="str">
        <f t="shared" si="0"/>
        <v>1</v>
      </c>
      <c r="F26" t="str">
        <f t="shared" si="1"/>
        <v>1</v>
      </c>
    </row>
    <row r="27" spans="1:6" x14ac:dyDescent="0.25">
      <c r="A27" s="109">
        <v>853</v>
      </c>
      <c r="B27" t="s">
        <v>710</v>
      </c>
      <c r="C27" t="s">
        <v>688</v>
      </c>
      <c r="D27" s="110">
        <v>-14</v>
      </c>
      <c r="E27" t="str">
        <f t="shared" si="0"/>
        <v>1</v>
      </c>
      <c r="F27" t="str">
        <f t="shared" si="1"/>
        <v>1</v>
      </c>
    </row>
    <row r="28" spans="1:6" x14ac:dyDescent="0.25">
      <c r="A28" s="109">
        <v>6743</v>
      </c>
      <c r="B28" t="s">
        <v>711</v>
      </c>
      <c r="C28" t="s">
        <v>686</v>
      </c>
      <c r="D28" s="110">
        <v>-15</v>
      </c>
      <c r="E28" t="str">
        <f t="shared" si="0"/>
        <v>1</v>
      </c>
      <c r="F28" t="str">
        <f t="shared" si="1"/>
        <v>1</v>
      </c>
    </row>
    <row r="29" spans="1:6" x14ac:dyDescent="0.25">
      <c r="A29" s="109">
        <v>854</v>
      </c>
      <c r="B29" t="s">
        <v>712</v>
      </c>
      <c r="C29" t="s">
        <v>688</v>
      </c>
      <c r="D29" s="110">
        <v>-16</v>
      </c>
      <c r="E29" t="str">
        <f t="shared" si="0"/>
        <v>1</v>
      </c>
      <c r="F29" t="str">
        <f t="shared" si="1"/>
        <v>1</v>
      </c>
    </row>
    <row r="30" spans="1:6" x14ac:dyDescent="0.25">
      <c r="A30" s="109">
        <v>862</v>
      </c>
      <c r="B30" t="s">
        <v>713</v>
      </c>
      <c r="C30" t="s">
        <v>688</v>
      </c>
      <c r="D30" s="110">
        <v>-16</v>
      </c>
      <c r="E30" t="str">
        <f t="shared" si="0"/>
        <v>1</v>
      </c>
      <c r="F30" t="str">
        <f t="shared" si="1"/>
        <v>1</v>
      </c>
    </row>
    <row r="31" spans="1:6" x14ac:dyDescent="0.25">
      <c r="A31" s="109">
        <v>4868</v>
      </c>
      <c r="B31" t="s">
        <v>714</v>
      </c>
      <c r="C31" t="s">
        <v>683</v>
      </c>
      <c r="D31" s="110">
        <v>-16</v>
      </c>
      <c r="E31" t="str">
        <f t="shared" si="0"/>
        <v>1</v>
      </c>
      <c r="F31" t="str">
        <f t="shared" si="1"/>
        <v>1</v>
      </c>
    </row>
    <row r="32" spans="1:6" x14ac:dyDescent="0.25">
      <c r="A32" s="109">
        <v>4870</v>
      </c>
      <c r="B32" t="s">
        <v>715</v>
      </c>
      <c r="C32" t="s">
        <v>683</v>
      </c>
      <c r="D32" s="110">
        <v>-16</v>
      </c>
      <c r="E32" t="str">
        <f t="shared" si="0"/>
        <v>1</v>
      </c>
      <c r="F32" t="str">
        <f t="shared" si="1"/>
        <v>1</v>
      </c>
    </row>
    <row r="33" spans="1:6" x14ac:dyDescent="0.25">
      <c r="A33" s="109">
        <v>4873</v>
      </c>
      <c r="B33" t="s">
        <v>716</v>
      </c>
      <c r="C33" t="s">
        <v>683</v>
      </c>
      <c r="D33" s="110">
        <v>-16</v>
      </c>
      <c r="E33" t="str">
        <f t="shared" si="0"/>
        <v>1</v>
      </c>
      <c r="F33" t="str">
        <f t="shared" si="1"/>
        <v>1</v>
      </c>
    </row>
    <row r="34" spans="1:6" x14ac:dyDescent="0.25">
      <c r="A34" s="109">
        <v>4878</v>
      </c>
      <c r="B34" t="s">
        <v>717</v>
      </c>
      <c r="C34" t="s">
        <v>683</v>
      </c>
      <c r="D34" s="110">
        <v>-16</v>
      </c>
      <c r="E34" t="str">
        <f t="shared" si="0"/>
        <v>1</v>
      </c>
      <c r="F34" t="str">
        <f t="shared" si="1"/>
        <v>1</v>
      </c>
    </row>
    <row r="35" spans="1:6" x14ac:dyDescent="0.25">
      <c r="A35" s="109">
        <v>4879</v>
      </c>
      <c r="B35" t="s">
        <v>718</v>
      </c>
      <c r="C35" t="s">
        <v>683</v>
      </c>
      <c r="D35" s="110">
        <v>-16</v>
      </c>
      <c r="E35" t="str">
        <f t="shared" si="0"/>
        <v>1</v>
      </c>
      <c r="F35" t="str">
        <f t="shared" si="1"/>
        <v>1</v>
      </c>
    </row>
    <row r="36" spans="1:6" x14ac:dyDescent="0.25">
      <c r="A36" s="109">
        <v>6721</v>
      </c>
      <c r="B36" t="s">
        <v>719</v>
      </c>
      <c r="C36" t="s">
        <v>686</v>
      </c>
      <c r="D36" s="110">
        <v>-16</v>
      </c>
      <c r="E36" t="str">
        <f t="shared" si="0"/>
        <v>1</v>
      </c>
      <c r="F36" t="str">
        <f t="shared" si="1"/>
        <v>1</v>
      </c>
    </row>
    <row r="37" spans="1:6" x14ac:dyDescent="0.25">
      <c r="A37" s="109">
        <v>6733</v>
      </c>
      <c r="B37" t="s">
        <v>720</v>
      </c>
      <c r="C37" t="s">
        <v>686</v>
      </c>
      <c r="D37" s="110">
        <v>-16</v>
      </c>
      <c r="E37" t="str">
        <f t="shared" si="0"/>
        <v>1</v>
      </c>
      <c r="F37" t="str">
        <f t="shared" si="1"/>
        <v>1</v>
      </c>
    </row>
    <row r="38" spans="1:6" x14ac:dyDescent="0.25">
      <c r="A38" s="109">
        <v>6740</v>
      </c>
      <c r="B38" t="s">
        <v>721</v>
      </c>
      <c r="C38" t="s">
        <v>686</v>
      </c>
      <c r="D38" s="110">
        <v>-16</v>
      </c>
      <c r="E38" t="str">
        <f t="shared" si="0"/>
        <v>1</v>
      </c>
      <c r="F38" t="str">
        <f t="shared" si="1"/>
        <v>1</v>
      </c>
    </row>
    <row r="39" spans="1:6" x14ac:dyDescent="0.25">
      <c r="A39" s="109">
        <v>4830</v>
      </c>
      <c r="B39" t="s">
        <v>722</v>
      </c>
      <c r="C39" t="s">
        <v>683</v>
      </c>
      <c r="D39" s="110">
        <v>-17</v>
      </c>
      <c r="E39" t="str">
        <f t="shared" si="0"/>
        <v>1</v>
      </c>
      <c r="F39" t="str">
        <f t="shared" si="1"/>
        <v>1</v>
      </c>
    </row>
    <row r="40" spans="1:6" x14ac:dyDescent="0.25">
      <c r="A40" s="109">
        <v>4854</v>
      </c>
      <c r="B40" t="s">
        <v>723</v>
      </c>
      <c r="C40" t="s">
        <v>683</v>
      </c>
      <c r="D40" s="110">
        <v>-17</v>
      </c>
      <c r="E40" t="str">
        <f t="shared" si="0"/>
        <v>1</v>
      </c>
      <c r="F40" t="str">
        <f t="shared" si="1"/>
        <v>1</v>
      </c>
    </row>
    <row r="41" spans="1:6" x14ac:dyDescent="0.25">
      <c r="A41" s="109">
        <v>4855</v>
      </c>
      <c r="B41" t="s">
        <v>724</v>
      </c>
      <c r="C41" t="s">
        <v>683</v>
      </c>
      <c r="D41" s="110">
        <v>-17</v>
      </c>
      <c r="E41" t="str">
        <f t="shared" si="0"/>
        <v>1</v>
      </c>
      <c r="F41" t="str">
        <f t="shared" si="1"/>
        <v>1</v>
      </c>
    </row>
    <row r="42" spans="1:6" x14ac:dyDescent="0.25">
      <c r="A42" s="109">
        <v>4856</v>
      </c>
      <c r="B42" t="s">
        <v>725</v>
      </c>
      <c r="C42" t="s">
        <v>683</v>
      </c>
      <c r="D42" s="110">
        <v>-17</v>
      </c>
      <c r="E42" t="str">
        <f t="shared" si="0"/>
        <v>1</v>
      </c>
      <c r="F42" t="str">
        <f t="shared" si="1"/>
        <v>1</v>
      </c>
    </row>
    <row r="43" spans="1:6" x14ac:dyDescent="0.25">
      <c r="A43" s="109">
        <v>4857</v>
      </c>
      <c r="B43" t="s">
        <v>726</v>
      </c>
      <c r="C43" t="s">
        <v>683</v>
      </c>
      <c r="D43" s="110">
        <v>-17</v>
      </c>
      <c r="E43" t="str">
        <f t="shared" si="0"/>
        <v>1</v>
      </c>
      <c r="F43" t="str">
        <f t="shared" si="1"/>
        <v>1</v>
      </c>
    </row>
    <row r="44" spans="1:6" x14ac:dyDescent="0.25">
      <c r="A44" s="109">
        <v>4858</v>
      </c>
      <c r="B44" t="s">
        <v>727</v>
      </c>
      <c r="C44" t="s">
        <v>683</v>
      </c>
      <c r="D44" s="110">
        <v>-17</v>
      </c>
      <c r="E44" t="str">
        <f t="shared" si="0"/>
        <v>1</v>
      </c>
      <c r="F44" t="str">
        <f t="shared" si="1"/>
        <v>1</v>
      </c>
    </row>
    <row r="45" spans="1:6" x14ac:dyDescent="0.25">
      <c r="A45" s="109">
        <v>4859</v>
      </c>
      <c r="B45" t="s">
        <v>728</v>
      </c>
      <c r="C45" t="s">
        <v>683</v>
      </c>
      <c r="D45" s="110">
        <v>-17</v>
      </c>
      <c r="E45" t="str">
        <f t="shared" si="0"/>
        <v>1</v>
      </c>
      <c r="F45" t="str">
        <f t="shared" si="1"/>
        <v>1</v>
      </c>
    </row>
    <row r="46" spans="1:6" x14ac:dyDescent="0.25">
      <c r="A46" s="109">
        <v>4860</v>
      </c>
      <c r="B46" t="s">
        <v>729</v>
      </c>
      <c r="C46" t="s">
        <v>683</v>
      </c>
      <c r="D46" s="110">
        <v>-17</v>
      </c>
      <c r="E46" t="str">
        <f t="shared" si="0"/>
        <v>1</v>
      </c>
      <c r="F46" t="str">
        <f t="shared" si="1"/>
        <v>1</v>
      </c>
    </row>
    <row r="47" spans="1:6" x14ac:dyDescent="0.25">
      <c r="A47" s="109">
        <v>4861</v>
      </c>
      <c r="B47" t="s">
        <v>730</v>
      </c>
      <c r="C47" t="s">
        <v>683</v>
      </c>
      <c r="D47" s="110">
        <v>-17</v>
      </c>
      <c r="E47" t="str">
        <f t="shared" si="0"/>
        <v>1</v>
      </c>
      <c r="F47" t="str">
        <f t="shared" si="1"/>
        <v>1</v>
      </c>
    </row>
    <row r="48" spans="1:6" x14ac:dyDescent="0.25">
      <c r="A48" s="109">
        <v>4865</v>
      </c>
      <c r="B48" t="s">
        <v>731</v>
      </c>
      <c r="C48" t="s">
        <v>683</v>
      </c>
      <c r="D48" s="110">
        <v>-17</v>
      </c>
      <c r="E48" t="str">
        <f t="shared" si="0"/>
        <v>1</v>
      </c>
      <c r="F48" t="str">
        <f t="shared" si="1"/>
        <v>1</v>
      </c>
    </row>
    <row r="49" spans="1:6" x14ac:dyDescent="0.25">
      <c r="A49" s="109">
        <v>4869</v>
      </c>
      <c r="B49" t="s">
        <v>732</v>
      </c>
      <c r="C49" t="s">
        <v>683</v>
      </c>
      <c r="D49" s="110">
        <v>-17</v>
      </c>
      <c r="E49" t="str">
        <f t="shared" si="0"/>
        <v>1</v>
      </c>
      <c r="F49" t="str">
        <f t="shared" si="1"/>
        <v>1</v>
      </c>
    </row>
    <row r="50" spans="1:6" x14ac:dyDescent="0.25">
      <c r="A50" s="109">
        <v>4880</v>
      </c>
      <c r="B50" t="s">
        <v>733</v>
      </c>
      <c r="C50" t="s">
        <v>683</v>
      </c>
      <c r="D50" s="110">
        <v>-17</v>
      </c>
      <c r="E50" t="str">
        <f t="shared" si="0"/>
        <v>1</v>
      </c>
      <c r="F50" t="str">
        <f t="shared" si="1"/>
        <v>1</v>
      </c>
    </row>
    <row r="51" spans="1:6" x14ac:dyDescent="0.25">
      <c r="A51" s="109">
        <v>4882</v>
      </c>
      <c r="B51" t="s">
        <v>734</v>
      </c>
      <c r="C51" t="s">
        <v>683</v>
      </c>
      <c r="D51" s="110">
        <v>-17</v>
      </c>
      <c r="E51" t="str">
        <f t="shared" si="0"/>
        <v>1</v>
      </c>
      <c r="F51" t="str">
        <f t="shared" si="1"/>
        <v>1</v>
      </c>
    </row>
    <row r="52" spans="1:6" x14ac:dyDescent="0.25">
      <c r="A52" s="109">
        <v>4883</v>
      </c>
      <c r="B52" t="s">
        <v>735</v>
      </c>
      <c r="C52" t="s">
        <v>683</v>
      </c>
      <c r="D52" s="110">
        <v>-17</v>
      </c>
      <c r="E52" t="str">
        <f t="shared" si="0"/>
        <v>1</v>
      </c>
      <c r="F52" t="str">
        <f t="shared" si="1"/>
        <v>1</v>
      </c>
    </row>
    <row r="53" spans="1:6" x14ac:dyDescent="0.25">
      <c r="A53" s="109">
        <v>4885</v>
      </c>
      <c r="B53" t="s">
        <v>736</v>
      </c>
      <c r="C53" t="s">
        <v>683</v>
      </c>
      <c r="D53" s="110">
        <v>-17</v>
      </c>
      <c r="E53" t="str">
        <f t="shared" si="0"/>
        <v>1</v>
      </c>
      <c r="F53" t="str">
        <f t="shared" si="1"/>
        <v>1</v>
      </c>
    </row>
    <row r="54" spans="1:6" x14ac:dyDescent="0.25">
      <c r="A54" s="109">
        <v>4886</v>
      </c>
      <c r="B54" t="s">
        <v>737</v>
      </c>
      <c r="C54" t="s">
        <v>683</v>
      </c>
      <c r="D54" s="110">
        <v>-17</v>
      </c>
      <c r="E54" t="str">
        <f t="shared" si="0"/>
        <v>1</v>
      </c>
      <c r="F54" t="str">
        <f t="shared" si="1"/>
        <v>1</v>
      </c>
    </row>
    <row r="55" spans="1:6" x14ac:dyDescent="0.25">
      <c r="A55" s="109">
        <v>4890</v>
      </c>
      <c r="B55" t="s">
        <v>738</v>
      </c>
      <c r="C55" t="s">
        <v>683</v>
      </c>
      <c r="D55" s="110">
        <v>-17</v>
      </c>
      <c r="E55" t="str">
        <f t="shared" si="0"/>
        <v>1</v>
      </c>
      <c r="F55" t="str">
        <f t="shared" si="1"/>
        <v>1</v>
      </c>
    </row>
    <row r="56" spans="1:6" x14ac:dyDescent="0.25">
      <c r="A56" s="109">
        <v>4891</v>
      </c>
      <c r="B56" t="s">
        <v>739</v>
      </c>
      <c r="C56" t="s">
        <v>683</v>
      </c>
      <c r="D56" s="110">
        <v>-17</v>
      </c>
      <c r="E56" t="str">
        <f t="shared" si="0"/>
        <v>1</v>
      </c>
      <c r="F56" t="str">
        <f t="shared" si="1"/>
        <v>1</v>
      </c>
    </row>
    <row r="57" spans="1:6" x14ac:dyDescent="0.25">
      <c r="A57" s="109">
        <v>6725</v>
      </c>
      <c r="B57" t="s">
        <v>740</v>
      </c>
      <c r="C57" t="s">
        <v>686</v>
      </c>
      <c r="D57" s="110">
        <v>-17</v>
      </c>
      <c r="E57" t="str">
        <f t="shared" si="0"/>
        <v>1</v>
      </c>
      <c r="F57" t="str">
        <f t="shared" si="1"/>
        <v>1</v>
      </c>
    </row>
    <row r="58" spans="1:6" x14ac:dyDescent="0.25">
      <c r="A58" s="109">
        <v>6770</v>
      </c>
      <c r="B58" t="s">
        <v>741</v>
      </c>
      <c r="C58" t="s">
        <v>686</v>
      </c>
      <c r="D58" s="110">
        <v>-17</v>
      </c>
      <c r="E58" t="str">
        <f t="shared" si="0"/>
        <v>1</v>
      </c>
      <c r="F58" t="str">
        <f t="shared" si="1"/>
        <v>1</v>
      </c>
    </row>
    <row r="59" spans="1:6" x14ac:dyDescent="0.25">
      <c r="A59" s="109">
        <v>4816</v>
      </c>
      <c r="B59" t="s">
        <v>742</v>
      </c>
      <c r="C59" t="s">
        <v>683</v>
      </c>
      <c r="D59" s="110">
        <v>-18</v>
      </c>
      <c r="E59" t="str">
        <f t="shared" si="0"/>
        <v>1</v>
      </c>
      <c r="F59" t="str">
        <f t="shared" si="1"/>
        <v>1</v>
      </c>
    </row>
    <row r="60" spans="1:6" x14ac:dyDescent="0.25">
      <c r="A60" s="109">
        <v>4850</v>
      </c>
      <c r="B60" t="s">
        <v>743</v>
      </c>
      <c r="C60" t="s">
        <v>683</v>
      </c>
      <c r="D60" s="110">
        <v>-18</v>
      </c>
      <c r="E60" t="str">
        <f t="shared" si="0"/>
        <v>1</v>
      </c>
      <c r="F60" t="str">
        <f t="shared" si="1"/>
        <v>1</v>
      </c>
    </row>
    <row r="61" spans="1:6" x14ac:dyDescent="0.25">
      <c r="A61" s="109">
        <v>4872</v>
      </c>
      <c r="B61" t="s">
        <v>744</v>
      </c>
      <c r="C61" t="s">
        <v>683</v>
      </c>
      <c r="D61" s="110">
        <v>-18</v>
      </c>
      <c r="E61" t="str">
        <f t="shared" si="0"/>
        <v>1</v>
      </c>
      <c r="F61" t="str">
        <f t="shared" si="1"/>
        <v>1</v>
      </c>
    </row>
    <row r="62" spans="1:6" x14ac:dyDescent="0.25">
      <c r="A62" s="109">
        <v>6765</v>
      </c>
      <c r="B62" t="s">
        <v>745</v>
      </c>
      <c r="C62" t="s">
        <v>686</v>
      </c>
      <c r="D62" s="110">
        <v>-18</v>
      </c>
      <c r="E62" t="str">
        <f t="shared" si="0"/>
        <v>1</v>
      </c>
      <c r="F62" t="str">
        <f t="shared" si="1"/>
        <v>1</v>
      </c>
    </row>
    <row r="63" spans="1:6" x14ac:dyDescent="0.25">
      <c r="A63" s="109">
        <v>860</v>
      </c>
      <c r="B63" t="s">
        <v>746</v>
      </c>
      <c r="C63" t="s">
        <v>688</v>
      </c>
      <c r="D63" s="110">
        <v>-19</v>
      </c>
      <c r="E63" t="str">
        <f t="shared" si="0"/>
        <v>2</v>
      </c>
      <c r="F63" t="str">
        <f t="shared" si="1"/>
        <v>1.2</v>
      </c>
    </row>
    <row r="64" spans="1:6" x14ac:dyDescent="0.25">
      <c r="A64" s="109">
        <v>4805</v>
      </c>
      <c r="B64" t="s">
        <v>747</v>
      </c>
      <c r="C64" t="s">
        <v>683</v>
      </c>
      <c r="D64" s="110">
        <v>-19</v>
      </c>
      <c r="E64" t="str">
        <f t="shared" si="0"/>
        <v>2</v>
      </c>
      <c r="F64" t="str">
        <f t="shared" si="1"/>
        <v>1.2</v>
      </c>
    </row>
    <row r="65" spans="1:6" x14ac:dyDescent="0.25">
      <c r="A65" s="109">
        <v>4806</v>
      </c>
      <c r="B65" t="s">
        <v>748</v>
      </c>
      <c r="C65" t="s">
        <v>683</v>
      </c>
      <c r="D65" s="110">
        <v>-19</v>
      </c>
      <c r="E65" t="str">
        <f t="shared" si="0"/>
        <v>2</v>
      </c>
      <c r="F65" t="str">
        <f t="shared" si="1"/>
        <v>1.2</v>
      </c>
    </row>
    <row r="66" spans="1:6" x14ac:dyDescent="0.25">
      <c r="A66" s="109">
        <v>4808</v>
      </c>
      <c r="B66" t="s">
        <v>749</v>
      </c>
      <c r="C66" t="s">
        <v>683</v>
      </c>
      <c r="D66" s="110">
        <v>-19</v>
      </c>
      <c r="E66" t="str">
        <f t="shared" si="0"/>
        <v>2</v>
      </c>
      <c r="F66" t="str">
        <f t="shared" si="1"/>
        <v>1.2</v>
      </c>
    </row>
    <row r="67" spans="1:6" x14ac:dyDescent="0.25">
      <c r="A67" s="109">
        <v>4809</v>
      </c>
      <c r="B67" t="s">
        <v>750</v>
      </c>
      <c r="C67" t="s">
        <v>683</v>
      </c>
      <c r="D67" s="110">
        <v>-19</v>
      </c>
      <c r="E67" t="str">
        <f t="shared" ref="E67:E130" si="2">IF(D67&lt;-34,"4",IF(D67&lt;-26,"3",IF(D67&lt;-18,"2",IF(D67&lt;-8,"1","lits"))))</f>
        <v>2</v>
      </c>
      <c r="F67" t="str">
        <f t="shared" ref="F67:F130" si="3">IF(D67&lt;-34,"1.6",IF(D67&lt;-26,"1.4",IF(D67&lt;-18,"1.2",IF(D67&lt;-8,"1","lits"))))</f>
        <v>1.2</v>
      </c>
    </row>
    <row r="68" spans="1:6" x14ac:dyDescent="0.25">
      <c r="A68" s="109">
        <v>4810</v>
      </c>
      <c r="B68" t="s">
        <v>751</v>
      </c>
      <c r="C68" t="s">
        <v>683</v>
      </c>
      <c r="D68" s="110">
        <v>-19</v>
      </c>
      <c r="E68" t="str">
        <f t="shared" si="2"/>
        <v>2</v>
      </c>
      <c r="F68" t="str">
        <f t="shared" si="3"/>
        <v>1.2</v>
      </c>
    </row>
    <row r="69" spans="1:6" x14ac:dyDescent="0.25">
      <c r="A69" s="109">
        <v>4811</v>
      </c>
      <c r="B69" t="s">
        <v>752</v>
      </c>
      <c r="C69" t="s">
        <v>683</v>
      </c>
      <c r="D69" s="110">
        <v>-19</v>
      </c>
      <c r="E69" t="str">
        <f t="shared" si="2"/>
        <v>2</v>
      </c>
      <c r="F69" t="str">
        <f t="shared" si="3"/>
        <v>1.2</v>
      </c>
    </row>
    <row r="70" spans="1:6" x14ac:dyDescent="0.25">
      <c r="A70" s="109">
        <v>4812</v>
      </c>
      <c r="B70" t="s">
        <v>753</v>
      </c>
      <c r="C70" t="s">
        <v>683</v>
      </c>
      <c r="D70" s="110">
        <v>-19</v>
      </c>
      <c r="E70" t="str">
        <f t="shared" si="2"/>
        <v>2</v>
      </c>
      <c r="F70" t="str">
        <f t="shared" si="3"/>
        <v>1.2</v>
      </c>
    </row>
    <row r="71" spans="1:6" x14ac:dyDescent="0.25">
      <c r="A71" s="109">
        <v>4813</v>
      </c>
      <c r="B71" t="s">
        <v>754</v>
      </c>
      <c r="C71" t="s">
        <v>683</v>
      </c>
      <c r="D71" s="110">
        <v>-19</v>
      </c>
      <c r="E71" t="str">
        <f t="shared" si="2"/>
        <v>2</v>
      </c>
      <c r="F71" t="str">
        <f t="shared" si="3"/>
        <v>1.2</v>
      </c>
    </row>
    <row r="72" spans="1:6" x14ac:dyDescent="0.25">
      <c r="A72" s="109">
        <v>4814</v>
      </c>
      <c r="B72" t="s">
        <v>755</v>
      </c>
      <c r="C72" t="s">
        <v>683</v>
      </c>
      <c r="D72" s="110">
        <v>-19</v>
      </c>
      <c r="E72" t="str">
        <f t="shared" si="2"/>
        <v>2</v>
      </c>
      <c r="F72" t="str">
        <f t="shared" si="3"/>
        <v>1.2</v>
      </c>
    </row>
    <row r="73" spans="1:6" x14ac:dyDescent="0.25">
      <c r="A73" s="109">
        <v>4815</v>
      </c>
      <c r="B73" t="s">
        <v>756</v>
      </c>
      <c r="C73" t="s">
        <v>683</v>
      </c>
      <c r="D73" s="110">
        <v>-19</v>
      </c>
      <c r="E73" t="str">
        <f t="shared" si="2"/>
        <v>2</v>
      </c>
      <c r="F73" t="str">
        <f t="shared" si="3"/>
        <v>1.2</v>
      </c>
    </row>
    <row r="74" spans="1:6" x14ac:dyDescent="0.25">
      <c r="A74" s="109">
        <v>4817</v>
      </c>
      <c r="B74" t="s">
        <v>757</v>
      </c>
      <c r="C74" t="s">
        <v>683</v>
      </c>
      <c r="D74" s="110">
        <v>-19</v>
      </c>
      <c r="E74" t="str">
        <f t="shared" si="2"/>
        <v>2</v>
      </c>
      <c r="F74" t="str">
        <f t="shared" si="3"/>
        <v>1.2</v>
      </c>
    </row>
    <row r="75" spans="1:6" x14ac:dyDescent="0.25">
      <c r="A75" s="109">
        <v>4818</v>
      </c>
      <c r="B75" t="s">
        <v>758</v>
      </c>
      <c r="C75" t="s">
        <v>683</v>
      </c>
      <c r="D75" s="110">
        <v>-19</v>
      </c>
      <c r="E75" t="str">
        <f t="shared" si="2"/>
        <v>2</v>
      </c>
      <c r="F75" t="str">
        <f t="shared" si="3"/>
        <v>1.2</v>
      </c>
    </row>
    <row r="76" spans="1:6" x14ac:dyDescent="0.25">
      <c r="A76" s="109">
        <v>4819</v>
      </c>
      <c r="B76" t="s">
        <v>759</v>
      </c>
      <c r="C76" t="s">
        <v>683</v>
      </c>
      <c r="D76" s="110">
        <v>-19</v>
      </c>
      <c r="E76" t="str">
        <f t="shared" si="2"/>
        <v>2</v>
      </c>
      <c r="F76" t="str">
        <f t="shared" si="3"/>
        <v>1.2</v>
      </c>
    </row>
    <row r="77" spans="1:6" x14ac:dyDescent="0.25">
      <c r="A77" s="109">
        <v>4825</v>
      </c>
      <c r="B77" t="s">
        <v>760</v>
      </c>
      <c r="C77" t="s">
        <v>683</v>
      </c>
      <c r="D77" s="110">
        <v>-19</v>
      </c>
      <c r="E77" t="str">
        <f t="shared" si="2"/>
        <v>2</v>
      </c>
      <c r="F77" t="str">
        <f t="shared" si="3"/>
        <v>1.2</v>
      </c>
    </row>
    <row r="78" spans="1:6" x14ac:dyDescent="0.25">
      <c r="A78" s="109">
        <v>4828</v>
      </c>
      <c r="B78" t="s">
        <v>761</v>
      </c>
      <c r="C78" t="s">
        <v>683</v>
      </c>
      <c r="D78" s="110">
        <v>-19</v>
      </c>
      <c r="E78" t="str">
        <f t="shared" si="2"/>
        <v>2</v>
      </c>
      <c r="F78" t="str">
        <f t="shared" si="3"/>
        <v>1.2</v>
      </c>
    </row>
    <row r="79" spans="1:6" x14ac:dyDescent="0.25">
      <c r="A79" s="109">
        <v>4871</v>
      </c>
      <c r="B79" t="s">
        <v>762</v>
      </c>
      <c r="C79" t="s">
        <v>683</v>
      </c>
      <c r="D79" s="110">
        <v>-19</v>
      </c>
      <c r="E79" t="str">
        <f t="shared" si="2"/>
        <v>2</v>
      </c>
      <c r="F79" t="str">
        <f t="shared" si="3"/>
        <v>1.2</v>
      </c>
    </row>
    <row r="80" spans="1:6" x14ac:dyDescent="0.25">
      <c r="A80" s="109">
        <v>6723</v>
      </c>
      <c r="B80" t="s">
        <v>763</v>
      </c>
      <c r="C80" t="s">
        <v>686</v>
      </c>
      <c r="D80" s="110">
        <v>-19</v>
      </c>
      <c r="E80" t="str">
        <f t="shared" si="2"/>
        <v>2</v>
      </c>
      <c r="F80" t="str">
        <f t="shared" si="3"/>
        <v>1.2</v>
      </c>
    </row>
    <row r="81" spans="1:6" x14ac:dyDescent="0.25">
      <c r="A81" s="109">
        <v>4798</v>
      </c>
      <c r="B81" t="s">
        <v>764</v>
      </c>
      <c r="C81" t="s">
        <v>683</v>
      </c>
      <c r="D81" s="110">
        <v>-20</v>
      </c>
      <c r="E81" t="str">
        <f t="shared" si="2"/>
        <v>2</v>
      </c>
      <c r="F81" t="str">
        <f t="shared" si="3"/>
        <v>1.2</v>
      </c>
    </row>
    <row r="82" spans="1:6" x14ac:dyDescent="0.25">
      <c r="A82" s="109">
        <v>4799</v>
      </c>
      <c r="B82" t="s">
        <v>765</v>
      </c>
      <c r="C82" t="s">
        <v>683</v>
      </c>
      <c r="D82" s="110">
        <v>-20</v>
      </c>
      <c r="E82" t="str">
        <f t="shared" si="2"/>
        <v>2</v>
      </c>
      <c r="F82" t="str">
        <f t="shared" si="3"/>
        <v>1.2</v>
      </c>
    </row>
    <row r="83" spans="1:6" x14ac:dyDescent="0.25">
      <c r="A83" s="109">
        <v>4800</v>
      </c>
      <c r="B83" t="s">
        <v>766</v>
      </c>
      <c r="C83" t="s">
        <v>683</v>
      </c>
      <c r="D83" s="110">
        <v>-20</v>
      </c>
      <c r="E83" t="str">
        <f t="shared" si="2"/>
        <v>2</v>
      </c>
      <c r="F83" t="str">
        <f t="shared" si="3"/>
        <v>1.2</v>
      </c>
    </row>
    <row r="84" spans="1:6" x14ac:dyDescent="0.25">
      <c r="A84" s="109">
        <v>4801</v>
      </c>
      <c r="B84" t="s">
        <v>767</v>
      </c>
      <c r="C84" t="s">
        <v>683</v>
      </c>
      <c r="D84" s="110">
        <v>-20</v>
      </c>
      <c r="E84" t="str">
        <f t="shared" si="2"/>
        <v>2</v>
      </c>
      <c r="F84" t="str">
        <f t="shared" si="3"/>
        <v>1.2</v>
      </c>
    </row>
    <row r="85" spans="1:6" x14ac:dyDescent="0.25">
      <c r="A85" s="109">
        <v>4802</v>
      </c>
      <c r="B85" t="s">
        <v>768</v>
      </c>
      <c r="C85" t="s">
        <v>683</v>
      </c>
      <c r="D85" s="110">
        <v>-20</v>
      </c>
      <c r="E85" t="str">
        <f t="shared" si="2"/>
        <v>2</v>
      </c>
      <c r="F85" t="str">
        <f t="shared" si="3"/>
        <v>1.2</v>
      </c>
    </row>
    <row r="86" spans="1:6" x14ac:dyDescent="0.25">
      <c r="A86" s="109">
        <v>4803</v>
      </c>
      <c r="B86" t="s">
        <v>769</v>
      </c>
      <c r="C86" t="s">
        <v>683</v>
      </c>
      <c r="D86" s="110">
        <v>-20</v>
      </c>
      <c r="E86" t="str">
        <f t="shared" si="2"/>
        <v>2</v>
      </c>
      <c r="F86" t="str">
        <f t="shared" si="3"/>
        <v>1.2</v>
      </c>
    </row>
    <row r="87" spans="1:6" x14ac:dyDescent="0.25">
      <c r="A87" s="109">
        <v>4804</v>
      </c>
      <c r="B87" t="s">
        <v>770</v>
      </c>
      <c r="C87" t="s">
        <v>683</v>
      </c>
      <c r="D87" s="110">
        <v>-20</v>
      </c>
      <c r="E87" t="str">
        <f t="shared" si="2"/>
        <v>2</v>
      </c>
      <c r="F87" t="str">
        <f t="shared" si="3"/>
        <v>1.2</v>
      </c>
    </row>
    <row r="88" spans="1:6" x14ac:dyDescent="0.25">
      <c r="A88" s="109">
        <v>4807</v>
      </c>
      <c r="B88" t="s">
        <v>771</v>
      </c>
      <c r="C88" t="s">
        <v>683</v>
      </c>
      <c r="D88" s="110">
        <v>-20</v>
      </c>
      <c r="E88" t="str">
        <f t="shared" si="2"/>
        <v>2</v>
      </c>
      <c r="F88" t="str">
        <f t="shared" si="3"/>
        <v>1.2</v>
      </c>
    </row>
    <row r="89" spans="1:6" x14ac:dyDescent="0.25">
      <c r="A89" s="109">
        <v>4821</v>
      </c>
      <c r="B89" t="s">
        <v>772</v>
      </c>
      <c r="C89" t="s">
        <v>683</v>
      </c>
      <c r="D89" s="110">
        <v>-20</v>
      </c>
      <c r="E89" t="str">
        <f t="shared" si="2"/>
        <v>2</v>
      </c>
      <c r="F89" t="str">
        <f t="shared" si="3"/>
        <v>1.2</v>
      </c>
    </row>
    <row r="90" spans="1:6" x14ac:dyDescent="0.25">
      <c r="A90" s="109">
        <v>4824</v>
      </c>
      <c r="B90" t="s">
        <v>773</v>
      </c>
      <c r="C90" t="s">
        <v>683</v>
      </c>
      <c r="D90" s="110">
        <v>-20</v>
      </c>
      <c r="E90" t="str">
        <f t="shared" si="2"/>
        <v>2</v>
      </c>
      <c r="F90" t="str">
        <f t="shared" si="3"/>
        <v>1.2</v>
      </c>
    </row>
    <row r="91" spans="1:6" x14ac:dyDescent="0.25">
      <c r="A91" s="109">
        <v>6712</v>
      </c>
      <c r="B91" t="s">
        <v>774</v>
      </c>
      <c r="C91" t="s">
        <v>686</v>
      </c>
      <c r="D91" s="110">
        <v>-20</v>
      </c>
      <c r="E91" t="str">
        <f t="shared" si="2"/>
        <v>2</v>
      </c>
      <c r="F91" t="str">
        <f t="shared" si="3"/>
        <v>1.2</v>
      </c>
    </row>
    <row r="92" spans="1:6" x14ac:dyDescent="0.25">
      <c r="A92" s="109">
        <v>6713</v>
      </c>
      <c r="B92" t="s">
        <v>775</v>
      </c>
      <c r="C92" t="s">
        <v>686</v>
      </c>
      <c r="D92" s="110">
        <v>-20</v>
      </c>
      <c r="E92" t="str">
        <f t="shared" si="2"/>
        <v>2</v>
      </c>
      <c r="F92" t="str">
        <f t="shared" si="3"/>
        <v>1.2</v>
      </c>
    </row>
    <row r="93" spans="1:6" x14ac:dyDescent="0.25">
      <c r="A93" s="109">
        <v>6720</v>
      </c>
      <c r="B93" t="s">
        <v>776</v>
      </c>
      <c r="C93" t="s">
        <v>686</v>
      </c>
      <c r="D93" s="110">
        <v>-20</v>
      </c>
      <c r="E93" t="str">
        <f t="shared" si="2"/>
        <v>2</v>
      </c>
      <c r="F93" t="str">
        <f t="shared" si="3"/>
        <v>1.2</v>
      </c>
    </row>
    <row r="94" spans="1:6" x14ac:dyDescent="0.25">
      <c r="A94" s="109">
        <v>6722</v>
      </c>
      <c r="B94" t="s">
        <v>777</v>
      </c>
      <c r="C94" t="s">
        <v>686</v>
      </c>
      <c r="D94" s="110">
        <v>-20</v>
      </c>
      <c r="E94" t="str">
        <f t="shared" si="2"/>
        <v>2</v>
      </c>
      <c r="F94" t="str">
        <f t="shared" si="3"/>
        <v>1.2</v>
      </c>
    </row>
    <row r="95" spans="1:6" x14ac:dyDescent="0.25">
      <c r="A95" s="109">
        <v>6761</v>
      </c>
      <c r="B95" t="s">
        <v>778</v>
      </c>
      <c r="C95" t="s">
        <v>686</v>
      </c>
      <c r="D95" s="110">
        <v>-20</v>
      </c>
      <c r="E95" t="str">
        <f t="shared" si="2"/>
        <v>2</v>
      </c>
      <c r="F95" t="str">
        <f t="shared" si="3"/>
        <v>1.2</v>
      </c>
    </row>
    <row r="96" spans="1:6" x14ac:dyDescent="0.25">
      <c r="A96" s="109">
        <v>4737</v>
      </c>
      <c r="B96" t="s">
        <v>779</v>
      </c>
      <c r="C96" t="s">
        <v>683</v>
      </c>
      <c r="D96" s="110">
        <v>-21</v>
      </c>
      <c r="E96" t="str">
        <f t="shared" si="2"/>
        <v>2</v>
      </c>
      <c r="F96" t="str">
        <f t="shared" si="3"/>
        <v>1.2</v>
      </c>
    </row>
    <row r="97" spans="1:6" x14ac:dyDescent="0.25">
      <c r="A97" s="109">
        <v>4738</v>
      </c>
      <c r="B97" t="s">
        <v>780</v>
      </c>
      <c r="C97" t="s">
        <v>683</v>
      </c>
      <c r="D97" s="110">
        <v>-21</v>
      </c>
      <c r="E97" t="str">
        <f t="shared" si="2"/>
        <v>2</v>
      </c>
      <c r="F97" t="str">
        <f t="shared" si="3"/>
        <v>1.2</v>
      </c>
    </row>
    <row r="98" spans="1:6" x14ac:dyDescent="0.25">
      <c r="A98" s="109">
        <v>4739</v>
      </c>
      <c r="B98" t="s">
        <v>781</v>
      </c>
      <c r="C98" t="s">
        <v>683</v>
      </c>
      <c r="D98" s="110">
        <v>-21</v>
      </c>
      <c r="E98" t="str">
        <f t="shared" si="2"/>
        <v>2</v>
      </c>
      <c r="F98" t="str">
        <f t="shared" si="3"/>
        <v>1.2</v>
      </c>
    </row>
    <row r="99" spans="1:6" x14ac:dyDescent="0.25">
      <c r="A99" s="109">
        <v>4740</v>
      </c>
      <c r="B99" t="s">
        <v>782</v>
      </c>
      <c r="C99" t="s">
        <v>683</v>
      </c>
      <c r="D99" s="110">
        <v>-21</v>
      </c>
      <c r="E99" t="str">
        <f t="shared" si="2"/>
        <v>2</v>
      </c>
      <c r="F99" t="str">
        <f t="shared" si="3"/>
        <v>1.2</v>
      </c>
    </row>
    <row r="100" spans="1:6" x14ac:dyDescent="0.25">
      <c r="A100" s="109">
        <v>4741</v>
      </c>
      <c r="B100" t="s">
        <v>783</v>
      </c>
      <c r="C100" t="s">
        <v>683</v>
      </c>
      <c r="D100" s="110">
        <v>-21</v>
      </c>
      <c r="E100" t="str">
        <f t="shared" si="2"/>
        <v>2</v>
      </c>
      <c r="F100" t="str">
        <f t="shared" si="3"/>
        <v>1.2</v>
      </c>
    </row>
    <row r="101" spans="1:6" x14ac:dyDescent="0.25">
      <c r="A101" s="109">
        <v>4742</v>
      </c>
      <c r="B101" t="s">
        <v>784</v>
      </c>
      <c r="C101" t="s">
        <v>683</v>
      </c>
      <c r="D101" s="110">
        <v>-21</v>
      </c>
      <c r="E101" t="str">
        <f t="shared" si="2"/>
        <v>2</v>
      </c>
      <c r="F101" t="str">
        <f t="shared" si="3"/>
        <v>1.2</v>
      </c>
    </row>
    <row r="102" spans="1:6" x14ac:dyDescent="0.25">
      <c r="A102" s="109">
        <v>4743</v>
      </c>
      <c r="B102" t="s">
        <v>785</v>
      </c>
      <c r="C102" t="s">
        <v>683</v>
      </c>
      <c r="D102" s="110">
        <v>-21</v>
      </c>
      <c r="E102" t="str">
        <f t="shared" si="2"/>
        <v>2</v>
      </c>
      <c r="F102" t="str">
        <f t="shared" si="3"/>
        <v>1.2</v>
      </c>
    </row>
    <row r="103" spans="1:6" x14ac:dyDescent="0.25">
      <c r="A103" s="109">
        <v>4744</v>
      </c>
      <c r="B103" t="s">
        <v>786</v>
      </c>
      <c r="C103" t="s">
        <v>683</v>
      </c>
      <c r="D103" s="110">
        <v>-21</v>
      </c>
      <c r="E103" t="str">
        <f t="shared" si="2"/>
        <v>2</v>
      </c>
      <c r="F103" t="str">
        <f t="shared" si="3"/>
        <v>1.2</v>
      </c>
    </row>
    <row r="104" spans="1:6" x14ac:dyDescent="0.25">
      <c r="A104" s="109">
        <v>4750</v>
      </c>
      <c r="B104" t="s">
        <v>787</v>
      </c>
      <c r="C104" t="s">
        <v>683</v>
      </c>
      <c r="D104" s="110">
        <v>-21</v>
      </c>
      <c r="E104" t="str">
        <f t="shared" si="2"/>
        <v>2</v>
      </c>
      <c r="F104" t="str">
        <f t="shared" si="3"/>
        <v>1.2</v>
      </c>
    </row>
    <row r="105" spans="1:6" x14ac:dyDescent="0.25">
      <c r="A105" s="109">
        <v>4751</v>
      </c>
      <c r="B105" t="s">
        <v>788</v>
      </c>
      <c r="C105" t="s">
        <v>683</v>
      </c>
      <c r="D105" s="110">
        <v>-21</v>
      </c>
      <c r="E105" t="str">
        <f t="shared" si="2"/>
        <v>2</v>
      </c>
      <c r="F105" t="str">
        <f t="shared" si="3"/>
        <v>1.2</v>
      </c>
    </row>
    <row r="106" spans="1:6" x14ac:dyDescent="0.25">
      <c r="A106" s="109">
        <v>4753</v>
      </c>
      <c r="B106" t="s">
        <v>789</v>
      </c>
      <c r="C106" t="s">
        <v>683</v>
      </c>
      <c r="D106" s="110">
        <v>-21</v>
      </c>
      <c r="E106" t="str">
        <f t="shared" si="2"/>
        <v>2</v>
      </c>
      <c r="F106" t="str">
        <f t="shared" si="3"/>
        <v>1.2</v>
      </c>
    </row>
    <row r="107" spans="1:6" x14ac:dyDescent="0.25">
      <c r="A107" s="109">
        <v>4754</v>
      </c>
      <c r="B107" t="s">
        <v>790</v>
      </c>
      <c r="C107" t="s">
        <v>683</v>
      </c>
      <c r="D107" s="110">
        <v>-21</v>
      </c>
      <c r="E107" t="str">
        <f t="shared" si="2"/>
        <v>2</v>
      </c>
      <c r="F107" t="str">
        <f t="shared" si="3"/>
        <v>1.2</v>
      </c>
    </row>
    <row r="108" spans="1:6" x14ac:dyDescent="0.25">
      <c r="A108" s="109">
        <v>4756</v>
      </c>
      <c r="B108" t="s">
        <v>791</v>
      </c>
      <c r="C108" t="s">
        <v>683</v>
      </c>
      <c r="D108" s="110">
        <v>-21</v>
      </c>
      <c r="E108" t="str">
        <f t="shared" si="2"/>
        <v>2</v>
      </c>
      <c r="F108" t="str">
        <f t="shared" si="3"/>
        <v>1.2</v>
      </c>
    </row>
    <row r="109" spans="1:6" x14ac:dyDescent="0.25">
      <c r="A109" s="109">
        <v>4757</v>
      </c>
      <c r="B109" t="s">
        <v>792</v>
      </c>
      <c r="C109" t="s">
        <v>683</v>
      </c>
      <c r="D109" s="110">
        <v>-21</v>
      </c>
      <c r="E109" t="str">
        <f t="shared" si="2"/>
        <v>2</v>
      </c>
      <c r="F109" t="str">
        <f t="shared" si="3"/>
        <v>1.2</v>
      </c>
    </row>
    <row r="110" spans="1:6" x14ac:dyDescent="0.25">
      <c r="A110" s="109">
        <v>4820</v>
      </c>
      <c r="B110" t="s">
        <v>793</v>
      </c>
      <c r="C110" t="s">
        <v>683</v>
      </c>
      <c r="D110" s="110">
        <v>-21</v>
      </c>
      <c r="E110" t="str">
        <f t="shared" si="2"/>
        <v>2</v>
      </c>
      <c r="F110" t="str">
        <f t="shared" si="3"/>
        <v>1.2</v>
      </c>
    </row>
    <row r="111" spans="1:6" x14ac:dyDescent="0.25">
      <c r="A111" s="109">
        <v>6711</v>
      </c>
      <c r="B111" t="s">
        <v>794</v>
      </c>
      <c r="C111" t="s">
        <v>686</v>
      </c>
      <c r="D111" s="110">
        <v>-21</v>
      </c>
      <c r="E111" t="str">
        <f t="shared" si="2"/>
        <v>2</v>
      </c>
      <c r="F111" t="str">
        <f t="shared" si="3"/>
        <v>1.2</v>
      </c>
    </row>
    <row r="112" spans="1:6" x14ac:dyDescent="0.25">
      <c r="A112" s="109">
        <v>6714</v>
      </c>
      <c r="B112" t="s">
        <v>795</v>
      </c>
      <c r="C112" t="s">
        <v>686</v>
      </c>
      <c r="D112" s="110">
        <v>-21</v>
      </c>
      <c r="E112" t="str">
        <f t="shared" si="2"/>
        <v>2</v>
      </c>
      <c r="F112" t="str">
        <f t="shared" si="3"/>
        <v>1.2</v>
      </c>
    </row>
    <row r="113" spans="1:6" x14ac:dyDescent="0.25">
      <c r="A113" s="109">
        <v>6716</v>
      </c>
      <c r="B113" t="s">
        <v>796</v>
      </c>
      <c r="C113" t="s">
        <v>686</v>
      </c>
      <c r="D113" s="110">
        <v>-21</v>
      </c>
      <c r="E113" t="str">
        <f t="shared" si="2"/>
        <v>2</v>
      </c>
      <c r="F113" t="str">
        <f t="shared" si="3"/>
        <v>1.2</v>
      </c>
    </row>
    <row r="114" spans="1:6" x14ac:dyDescent="0.25">
      <c r="A114" s="109">
        <v>6718</v>
      </c>
      <c r="B114" t="s">
        <v>797</v>
      </c>
      <c r="C114" t="s">
        <v>686</v>
      </c>
      <c r="D114" s="110">
        <v>-21</v>
      </c>
      <c r="E114" t="str">
        <f t="shared" si="2"/>
        <v>2</v>
      </c>
      <c r="F114" t="str">
        <f t="shared" si="3"/>
        <v>1.2</v>
      </c>
    </row>
    <row r="115" spans="1:6" x14ac:dyDescent="0.25">
      <c r="A115" s="109">
        <v>6751</v>
      </c>
      <c r="B115" t="s">
        <v>798</v>
      </c>
      <c r="C115" t="s">
        <v>686</v>
      </c>
      <c r="D115" s="110">
        <v>-21</v>
      </c>
      <c r="E115" t="str">
        <f t="shared" si="2"/>
        <v>2</v>
      </c>
      <c r="F115" t="str">
        <f t="shared" si="3"/>
        <v>1.2</v>
      </c>
    </row>
    <row r="116" spans="1:6" x14ac:dyDescent="0.25">
      <c r="A116" s="109">
        <v>6760</v>
      </c>
      <c r="B116" t="s">
        <v>799</v>
      </c>
      <c r="C116" t="s">
        <v>686</v>
      </c>
      <c r="D116" s="110">
        <v>-21</v>
      </c>
      <c r="E116" t="str">
        <f t="shared" si="2"/>
        <v>2</v>
      </c>
      <c r="F116" t="str">
        <f t="shared" si="3"/>
        <v>1.2</v>
      </c>
    </row>
    <row r="117" spans="1:6" x14ac:dyDescent="0.25">
      <c r="A117" s="109">
        <v>6762</v>
      </c>
      <c r="B117" t="s">
        <v>800</v>
      </c>
      <c r="C117" t="s">
        <v>686</v>
      </c>
      <c r="D117" s="110">
        <v>-21</v>
      </c>
      <c r="E117" t="str">
        <f t="shared" si="2"/>
        <v>2</v>
      </c>
      <c r="F117" t="str">
        <f t="shared" si="3"/>
        <v>1.2</v>
      </c>
    </row>
    <row r="118" spans="1:6" x14ac:dyDescent="0.25">
      <c r="A118" s="109">
        <v>4703</v>
      </c>
      <c r="B118" t="s">
        <v>801</v>
      </c>
      <c r="C118" t="s">
        <v>683</v>
      </c>
      <c r="D118" s="110">
        <v>-22</v>
      </c>
      <c r="E118" t="str">
        <f t="shared" si="2"/>
        <v>2</v>
      </c>
      <c r="F118" t="str">
        <f t="shared" si="3"/>
        <v>1.2</v>
      </c>
    </row>
    <row r="119" spans="1:6" x14ac:dyDescent="0.25">
      <c r="A119" s="109">
        <v>4705</v>
      </c>
      <c r="B119" t="s">
        <v>802</v>
      </c>
      <c r="C119" t="s">
        <v>683</v>
      </c>
      <c r="D119" s="110">
        <v>-22</v>
      </c>
      <c r="E119" t="str">
        <f t="shared" si="2"/>
        <v>2</v>
      </c>
      <c r="F119" t="str">
        <f t="shared" si="3"/>
        <v>1.2</v>
      </c>
    </row>
    <row r="120" spans="1:6" x14ac:dyDescent="0.25">
      <c r="A120" s="109">
        <v>4706</v>
      </c>
      <c r="B120" t="s">
        <v>803</v>
      </c>
      <c r="C120" t="s">
        <v>683</v>
      </c>
      <c r="D120" s="110">
        <v>-22</v>
      </c>
      <c r="E120" t="str">
        <f t="shared" si="2"/>
        <v>2</v>
      </c>
      <c r="F120" t="str">
        <f t="shared" si="3"/>
        <v>1.2</v>
      </c>
    </row>
    <row r="121" spans="1:6" x14ac:dyDescent="0.25">
      <c r="A121" s="109">
        <v>4707</v>
      </c>
      <c r="B121" t="s">
        <v>804</v>
      </c>
      <c r="C121" t="s">
        <v>683</v>
      </c>
      <c r="D121" s="110">
        <v>-22</v>
      </c>
      <c r="E121" t="str">
        <f t="shared" si="2"/>
        <v>2</v>
      </c>
      <c r="F121" t="str">
        <f t="shared" si="3"/>
        <v>1.2</v>
      </c>
    </row>
    <row r="122" spans="1:6" x14ac:dyDescent="0.25">
      <c r="A122" s="109">
        <v>4721</v>
      </c>
      <c r="B122" t="s">
        <v>805</v>
      </c>
      <c r="C122" t="s">
        <v>683</v>
      </c>
      <c r="D122" s="110">
        <v>-22</v>
      </c>
      <c r="E122" t="str">
        <f t="shared" si="2"/>
        <v>2</v>
      </c>
      <c r="F122" t="str">
        <f t="shared" si="3"/>
        <v>1.2</v>
      </c>
    </row>
    <row r="123" spans="1:6" x14ac:dyDescent="0.25">
      <c r="A123" s="109">
        <v>4726</v>
      </c>
      <c r="B123" t="s">
        <v>806</v>
      </c>
      <c r="C123" t="s">
        <v>683</v>
      </c>
      <c r="D123" s="111">
        <v>-22</v>
      </c>
      <c r="E123" t="str">
        <f t="shared" si="2"/>
        <v>2</v>
      </c>
      <c r="F123" t="str">
        <f t="shared" si="3"/>
        <v>1.2</v>
      </c>
    </row>
    <row r="124" spans="1:6" x14ac:dyDescent="0.25">
      <c r="A124" s="109">
        <v>4732</v>
      </c>
      <c r="B124" t="s">
        <v>807</v>
      </c>
      <c r="C124" t="s">
        <v>683</v>
      </c>
      <c r="D124" s="110">
        <v>-22</v>
      </c>
      <c r="E124" t="str">
        <f t="shared" si="2"/>
        <v>2</v>
      </c>
      <c r="F124" t="str">
        <f t="shared" si="3"/>
        <v>1.2</v>
      </c>
    </row>
    <row r="125" spans="1:6" x14ac:dyDescent="0.25">
      <c r="A125" s="109">
        <v>4733</v>
      </c>
      <c r="B125" t="s">
        <v>808</v>
      </c>
      <c r="C125" t="s">
        <v>683</v>
      </c>
      <c r="D125" s="110">
        <v>-22</v>
      </c>
      <c r="E125" t="str">
        <f t="shared" si="2"/>
        <v>2</v>
      </c>
      <c r="F125" t="str">
        <f t="shared" si="3"/>
        <v>1.2</v>
      </c>
    </row>
    <row r="126" spans="1:6" x14ac:dyDescent="0.25">
      <c r="A126" s="109">
        <v>4735</v>
      </c>
      <c r="B126" t="s">
        <v>809</v>
      </c>
      <c r="C126" t="s">
        <v>683</v>
      </c>
      <c r="D126" s="110">
        <v>-22</v>
      </c>
      <c r="E126" t="str">
        <f t="shared" si="2"/>
        <v>2</v>
      </c>
      <c r="F126" t="str">
        <f t="shared" si="3"/>
        <v>1.2</v>
      </c>
    </row>
    <row r="127" spans="1:6" x14ac:dyDescent="0.25">
      <c r="A127" s="109">
        <v>4745</v>
      </c>
      <c r="B127" t="s">
        <v>810</v>
      </c>
      <c r="C127" t="s">
        <v>683</v>
      </c>
      <c r="D127" s="110">
        <v>-22</v>
      </c>
      <c r="E127" t="str">
        <f t="shared" si="2"/>
        <v>2</v>
      </c>
      <c r="F127" t="str">
        <f t="shared" si="3"/>
        <v>1.2</v>
      </c>
    </row>
    <row r="128" spans="1:6" x14ac:dyDescent="0.25">
      <c r="A128" s="109">
        <v>4829</v>
      </c>
      <c r="B128" t="s">
        <v>811</v>
      </c>
      <c r="C128" t="s">
        <v>683</v>
      </c>
      <c r="D128" s="110">
        <v>-22</v>
      </c>
      <c r="E128" t="str">
        <f t="shared" si="2"/>
        <v>2</v>
      </c>
      <c r="F128" t="str">
        <f t="shared" si="3"/>
        <v>1.2</v>
      </c>
    </row>
    <row r="129" spans="1:6" x14ac:dyDescent="0.25">
      <c r="A129" s="109">
        <v>6707</v>
      </c>
      <c r="B129" t="s">
        <v>812</v>
      </c>
      <c r="C129" t="s">
        <v>686</v>
      </c>
      <c r="D129" s="110">
        <v>-22</v>
      </c>
      <c r="E129" t="str">
        <f t="shared" si="2"/>
        <v>2</v>
      </c>
      <c r="F129" t="str">
        <f t="shared" si="3"/>
        <v>1.2</v>
      </c>
    </row>
    <row r="130" spans="1:6" x14ac:dyDescent="0.25">
      <c r="A130" s="109">
        <v>6758</v>
      </c>
      <c r="B130" t="s">
        <v>813</v>
      </c>
      <c r="C130" t="s">
        <v>686</v>
      </c>
      <c r="D130" s="110">
        <v>-22</v>
      </c>
      <c r="E130" t="str">
        <f t="shared" si="2"/>
        <v>2</v>
      </c>
      <c r="F130" t="str">
        <f t="shared" si="3"/>
        <v>1.2</v>
      </c>
    </row>
    <row r="131" spans="1:6" x14ac:dyDescent="0.25">
      <c r="A131" s="109">
        <v>870</v>
      </c>
      <c r="B131" t="s">
        <v>814</v>
      </c>
      <c r="C131" t="s">
        <v>688</v>
      </c>
      <c r="D131" s="110">
        <v>-23</v>
      </c>
      <c r="E131" t="str">
        <f t="shared" ref="E131:E147" si="4">IF(D131&lt;-34,"4",IF(D131&lt;-26,"3",IF(D131&lt;-18,"2",IF(D131&lt;-8,"1","lits"))))</f>
        <v>2</v>
      </c>
      <c r="F131" t="str">
        <f t="shared" ref="F131:F194" si="5">IF(D131&lt;-34,"1.6",IF(D131&lt;-26,"1.4",IF(D131&lt;-18,"1.2",IF(D131&lt;-8,"1","lits"))))</f>
        <v>1.2</v>
      </c>
    </row>
    <row r="132" spans="1:6" x14ac:dyDescent="0.25">
      <c r="A132" s="109">
        <v>872</v>
      </c>
      <c r="B132" t="s">
        <v>815</v>
      </c>
      <c r="C132" t="s">
        <v>688</v>
      </c>
      <c r="D132" s="110">
        <v>-23</v>
      </c>
      <c r="E132" t="str">
        <f t="shared" si="4"/>
        <v>2</v>
      </c>
      <c r="F132" t="str">
        <f t="shared" si="5"/>
        <v>1.2</v>
      </c>
    </row>
    <row r="133" spans="1:6" x14ac:dyDescent="0.25">
      <c r="A133" s="109">
        <v>4680</v>
      </c>
      <c r="B133" t="s">
        <v>816</v>
      </c>
      <c r="C133" t="s">
        <v>683</v>
      </c>
      <c r="D133" s="110">
        <v>-23</v>
      </c>
      <c r="E133" t="str">
        <f t="shared" si="4"/>
        <v>2</v>
      </c>
      <c r="F133" t="str">
        <f t="shared" si="5"/>
        <v>1.2</v>
      </c>
    </row>
    <row r="134" spans="1:6" x14ac:dyDescent="0.25">
      <c r="A134" s="109">
        <v>4694</v>
      </c>
      <c r="B134" t="s">
        <v>817</v>
      </c>
      <c r="C134" t="s">
        <v>683</v>
      </c>
      <c r="D134" s="110">
        <v>-23</v>
      </c>
      <c r="E134" t="str">
        <f t="shared" si="4"/>
        <v>2</v>
      </c>
      <c r="F134" t="str">
        <f t="shared" si="5"/>
        <v>1.2</v>
      </c>
    </row>
    <row r="135" spans="1:6" x14ac:dyDescent="0.25">
      <c r="A135" s="109">
        <v>4695</v>
      </c>
      <c r="B135" t="s">
        <v>818</v>
      </c>
      <c r="C135" t="s">
        <v>683</v>
      </c>
      <c r="D135" s="110">
        <v>-23</v>
      </c>
      <c r="E135" t="str">
        <f t="shared" si="4"/>
        <v>2</v>
      </c>
      <c r="F135" t="str">
        <f t="shared" si="5"/>
        <v>1.2</v>
      </c>
    </row>
    <row r="136" spans="1:6" x14ac:dyDescent="0.25">
      <c r="A136" s="109">
        <v>4697</v>
      </c>
      <c r="B136" t="s">
        <v>819</v>
      </c>
      <c r="C136" t="s">
        <v>683</v>
      </c>
      <c r="D136" s="110">
        <v>-23</v>
      </c>
      <c r="E136" t="str">
        <f t="shared" si="4"/>
        <v>2</v>
      </c>
      <c r="F136" t="str">
        <f t="shared" si="5"/>
        <v>1.2</v>
      </c>
    </row>
    <row r="137" spans="1:6" x14ac:dyDescent="0.25">
      <c r="A137" s="109">
        <v>4699</v>
      </c>
      <c r="B137" t="s">
        <v>820</v>
      </c>
      <c r="C137" t="s">
        <v>683</v>
      </c>
      <c r="D137" s="110">
        <v>-23</v>
      </c>
      <c r="E137" t="str">
        <f t="shared" si="4"/>
        <v>2</v>
      </c>
      <c r="F137" t="str">
        <f t="shared" si="5"/>
        <v>1.2</v>
      </c>
    </row>
    <row r="138" spans="1:6" x14ac:dyDescent="0.25">
      <c r="A138" s="109">
        <v>4700</v>
      </c>
      <c r="B138" t="s">
        <v>821</v>
      </c>
      <c r="C138" t="s">
        <v>683</v>
      </c>
      <c r="D138" s="110">
        <v>-23</v>
      </c>
      <c r="E138" t="str">
        <f t="shared" si="4"/>
        <v>2</v>
      </c>
      <c r="F138" t="str">
        <f t="shared" si="5"/>
        <v>1.2</v>
      </c>
    </row>
    <row r="139" spans="1:6" x14ac:dyDescent="0.25">
      <c r="A139" s="109">
        <v>4701</v>
      </c>
      <c r="B139" t="s">
        <v>822</v>
      </c>
      <c r="C139" t="s">
        <v>683</v>
      </c>
      <c r="D139" s="110">
        <v>-23</v>
      </c>
      <c r="E139" t="str">
        <f t="shared" si="4"/>
        <v>2</v>
      </c>
      <c r="F139" t="str">
        <f t="shared" si="5"/>
        <v>1.2</v>
      </c>
    </row>
    <row r="140" spans="1:6" x14ac:dyDescent="0.25">
      <c r="A140" s="109">
        <v>4702</v>
      </c>
      <c r="B140" t="s">
        <v>823</v>
      </c>
      <c r="C140" t="s">
        <v>683</v>
      </c>
      <c r="D140" s="110">
        <v>-23</v>
      </c>
      <c r="E140" t="str">
        <f t="shared" si="4"/>
        <v>2</v>
      </c>
      <c r="F140" t="str">
        <f t="shared" si="5"/>
        <v>1.2</v>
      </c>
    </row>
    <row r="141" spans="1:6" x14ac:dyDescent="0.25">
      <c r="A141" s="109">
        <v>4704</v>
      </c>
      <c r="B141" t="s">
        <v>824</v>
      </c>
      <c r="C141" t="s">
        <v>683</v>
      </c>
      <c r="D141" s="110">
        <v>-23</v>
      </c>
      <c r="E141" t="str">
        <f t="shared" si="4"/>
        <v>2</v>
      </c>
      <c r="F141" t="str">
        <f t="shared" si="5"/>
        <v>1.2</v>
      </c>
    </row>
    <row r="142" spans="1:6" x14ac:dyDescent="0.25">
      <c r="A142" s="109">
        <v>4709</v>
      </c>
      <c r="B142" t="s">
        <v>825</v>
      </c>
      <c r="C142" t="s">
        <v>683</v>
      </c>
      <c r="D142" s="110">
        <v>-23</v>
      </c>
      <c r="E142" t="str">
        <f t="shared" si="4"/>
        <v>2</v>
      </c>
      <c r="F142" t="str">
        <f t="shared" si="5"/>
        <v>1.2</v>
      </c>
    </row>
    <row r="143" spans="1:6" x14ac:dyDescent="0.25">
      <c r="A143" s="109">
        <v>4714</v>
      </c>
      <c r="B143" t="s">
        <v>826</v>
      </c>
      <c r="C143" t="s">
        <v>683</v>
      </c>
      <c r="D143" s="110">
        <v>-23</v>
      </c>
      <c r="E143" t="str">
        <f t="shared" si="4"/>
        <v>2</v>
      </c>
      <c r="F143" t="str">
        <f t="shared" si="5"/>
        <v>1.2</v>
      </c>
    </row>
    <row r="144" spans="1:6" x14ac:dyDescent="0.25">
      <c r="A144" s="109">
        <v>4717</v>
      </c>
      <c r="B144" t="s">
        <v>827</v>
      </c>
      <c r="C144" t="s">
        <v>683</v>
      </c>
      <c r="D144" s="110">
        <v>-23</v>
      </c>
      <c r="E144" t="str">
        <f t="shared" si="4"/>
        <v>2</v>
      </c>
      <c r="F144" t="str">
        <f t="shared" si="5"/>
        <v>1.2</v>
      </c>
    </row>
    <row r="145" spans="1:6" x14ac:dyDescent="0.25">
      <c r="A145" s="109">
        <v>4720</v>
      </c>
      <c r="B145" t="s">
        <v>828</v>
      </c>
      <c r="C145" t="s">
        <v>683</v>
      </c>
      <c r="D145" s="110">
        <v>-23</v>
      </c>
      <c r="E145" t="str">
        <f t="shared" si="4"/>
        <v>2</v>
      </c>
      <c r="F145" t="str">
        <f t="shared" si="5"/>
        <v>1.2</v>
      </c>
    </row>
    <row r="146" spans="1:6" x14ac:dyDescent="0.25">
      <c r="A146" s="109">
        <v>4746</v>
      </c>
      <c r="B146" t="s">
        <v>829</v>
      </c>
      <c r="C146" t="s">
        <v>683</v>
      </c>
      <c r="D146" s="110">
        <v>-23</v>
      </c>
      <c r="E146" t="str">
        <f t="shared" si="4"/>
        <v>2</v>
      </c>
      <c r="F146" t="str">
        <f t="shared" si="5"/>
        <v>1.2</v>
      </c>
    </row>
    <row r="147" spans="1:6" x14ac:dyDescent="0.25">
      <c r="A147" s="109">
        <v>6753</v>
      </c>
      <c r="B147" t="s">
        <v>830</v>
      </c>
      <c r="C147" t="s">
        <v>686</v>
      </c>
      <c r="D147" s="110">
        <v>-23</v>
      </c>
      <c r="E147" t="str">
        <f t="shared" si="4"/>
        <v>2</v>
      </c>
      <c r="F147" t="str">
        <f t="shared" si="5"/>
        <v>1.2</v>
      </c>
    </row>
    <row r="148" spans="1:6" x14ac:dyDescent="0.25">
      <c r="A148" s="109">
        <v>6754</v>
      </c>
      <c r="B148" t="s">
        <v>831</v>
      </c>
      <c r="C148" t="s">
        <v>686</v>
      </c>
      <c r="D148" s="110">
        <v>-23</v>
      </c>
      <c r="E148" t="str">
        <f t="shared" ref="E148" si="6">IF(D148&lt;-8,"1",IF(D148&lt;-18,"2",IF(D148&lt;-26,"3",IF(D148&lt;-34,"4","lits"))))</f>
        <v>1</v>
      </c>
      <c r="F148" t="str">
        <f t="shared" si="5"/>
        <v>1.2</v>
      </c>
    </row>
    <row r="149" spans="1:6" x14ac:dyDescent="0.25">
      <c r="A149" s="109">
        <v>4472</v>
      </c>
      <c r="B149" t="s">
        <v>832</v>
      </c>
      <c r="C149" t="s">
        <v>683</v>
      </c>
      <c r="D149" s="110">
        <v>-24</v>
      </c>
      <c r="E149" t="str">
        <f>IF(D149&lt;-34,"4",IF(D149&lt;-26,"3",IF(D149&lt;-18,"2",IF(D149&lt;-8,"1","lits"))))</f>
        <v>2</v>
      </c>
      <c r="F149" t="str">
        <f t="shared" si="5"/>
        <v>1.2</v>
      </c>
    </row>
    <row r="150" spans="1:6" x14ac:dyDescent="0.25">
      <c r="A150" s="109">
        <v>4478</v>
      </c>
      <c r="B150" t="s">
        <v>833</v>
      </c>
      <c r="C150" t="s">
        <v>683</v>
      </c>
      <c r="D150" s="110">
        <v>-24</v>
      </c>
      <c r="E150" t="str">
        <f t="shared" ref="E150:E213" si="7">IF(D150&lt;-34,"4",IF(D150&lt;-26,"3",IF(D150&lt;-18,"2",IF(D150&lt;-8,"1","lits"))))</f>
        <v>2</v>
      </c>
      <c r="F150" t="str">
        <f t="shared" si="5"/>
        <v>1.2</v>
      </c>
    </row>
    <row r="151" spans="1:6" x14ac:dyDescent="0.25">
      <c r="A151" s="109">
        <v>4670</v>
      </c>
      <c r="B151" t="s">
        <v>834</v>
      </c>
      <c r="C151" t="s">
        <v>683</v>
      </c>
      <c r="D151" s="110">
        <v>-24</v>
      </c>
      <c r="E151" t="str">
        <f t="shared" si="7"/>
        <v>2</v>
      </c>
      <c r="F151" t="str">
        <f t="shared" si="5"/>
        <v>1.2</v>
      </c>
    </row>
    <row r="152" spans="1:6" x14ac:dyDescent="0.25">
      <c r="A152" s="109">
        <v>4674</v>
      </c>
      <c r="B152" t="s">
        <v>835</v>
      </c>
      <c r="C152" t="s">
        <v>683</v>
      </c>
      <c r="D152" s="110">
        <v>-24</v>
      </c>
      <c r="E152" t="str">
        <f t="shared" si="7"/>
        <v>2</v>
      </c>
      <c r="F152" t="str">
        <f t="shared" si="5"/>
        <v>1.2</v>
      </c>
    </row>
    <row r="153" spans="1:6" x14ac:dyDescent="0.25">
      <c r="A153" s="109">
        <v>4676</v>
      </c>
      <c r="B153" t="s">
        <v>836</v>
      </c>
      <c r="C153" t="s">
        <v>683</v>
      </c>
      <c r="D153" s="110">
        <v>-24</v>
      </c>
      <c r="E153" t="str">
        <f t="shared" si="7"/>
        <v>2</v>
      </c>
      <c r="F153" t="str">
        <f t="shared" si="5"/>
        <v>1.2</v>
      </c>
    </row>
    <row r="154" spans="1:6" x14ac:dyDescent="0.25">
      <c r="A154" s="109">
        <v>4677</v>
      </c>
      <c r="B154" t="s">
        <v>837</v>
      </c>
      <c r="C154" t="s">
        <v>683</v>
      </c>
      <c r="D154" s="110">
        <v>-24</v>
      </c>
      <c r="E154" t="str">
        <f t="shared" si="7"/>
        <v>2</v>
      </c>
      <c r="F154" t="str">
        <f t="shared" si="5"/>
        <v>1.2</v>
      </c>
    </row>
    <row r="155" spans="1:6" x14ac:dyDescent="0.25">
      <c r="A155" s="109">
        <v>4678</v>
      </c>
      <c r="B155" t="s">
        <v>838</v>
      </c>
      <c r="C155" t="s">
        <v>683</v>
      </c>
      <c r="D155" s="110">
        <v>-24</v>
      </c>
      <c r="E155" t="str">
        <f t="shared" si="7"/>
        <v>2</v>
      </c>
      <c r="F155" t="str">
        <f t="shared" si="5"/>
        <v>1.2</v>
      </c>
    </row>
    <row r="156" spans="1:6" x14ac:dyDescent="0.25">
      <c r="A156" s="109">
        <v>4715</v>
      </c>
      <c r="B156" t="s">
        <v>839</v>
      </c>
      <c r="C156" t="s">
        <v>683</v>
      </c>
      <c r="D156" s="110">
        <v>-24</v>
      </c>
      <c r="E156" t="str">
        <f t="shared" si="7"/>
        <v>2</v>
      </c>
      <c r="F156" t="str">
        <f t="shared" si="5"/>
        <v>1.2</v>
      </c>
    </row>
    <row r="157" spans="1:6" x14ac:dyDescent="0.25">
      <c r="A157" s="109">
        <v>4716</v>
      </c>
      <c r="B157" t="s">
        <v>840</v>
      </c>
      <c r="C157" t="s">
        <v>683</v>
      </c>
      <c r="D157" s="110">
        <v>-24</v>
      </c>
      <c r="E157" t="str">
        <f t="shared" si="7"/>
        <v>2</v>
      </c>
      <c r="F157" t="str">
        <f t="shared" si="5"/>
        <v>1.2</v>
      </c>
    </row>
    <row r="158" spans="1:6" x14ac:dyDescent="0.25">
      <c r="A158" s="109">
        <v>4718</v>
      </c>
      <c r="B158" t="s">
        <v>841</v>
      </c>
      <c r="C158" t="s">
        <v>683</v>
      </c>
      <c r="D158" s="110">
        <v>-24</v>
      </c>
      <c r="E158" t="str">
        <f t="shared" si="7"/>
        <v>2</v>
      </c>
      <c r="F158" t="str">
        <f t="shared" si="5"/>
        <v>1.2</v>
      </c>
    </row>
    <row r="159" spans="1:6" x14ac:dyDescent="0.25">
      <c r="A159" s="109">
        <v>4719</v>
      </c>
      <c r="B159" t="s">
        <v>842</v>
      </c>
      <c r="C159" t="s">
        <v>683</v>
      </c>
      <c r="D159" s="110">
        <v>-24</v>
      </c>
      <c r="E159" t="str">
        <f t="shared" si="7"/>
        <v>2</v>
      </c>
      <c r="F159" t="str">
        <f t="shared" si="5"/>
        <v>1.2</v>
      </c>
    </row>
    <row r="160" spans="1:6" x14ac:dyDescent="0.25">
      <c r="A160" s="109">
        <v>4722</v>
      </c>
      <c r="B160" t="s">
        <v>843</v>
      </c>
      <c r="C160" t="s">
        <v>683</v>
      </c>
      <c r="D160" s="110">
        <v>-24</v>
      </c>
      <c r="E160" t="str">
        <f t="shared" si="7"/>
        <v>2</v>
      </c>
      <c r="F160" t="str">
        <f t="shared" si="5"/>
        <v>1.2</v>
      </c>
    </row>
    <row r="161" spans="1:6" x14ac:dyDescent="0.25">
      <c r="A161" s="109">
        <v>4724</v>
      </c>
      <c r="B161" t="s">
        <v>844</v>
      </c>
      <c r="C161" t="s">
        <v>683</v>
      </c>
      <c r="D161" s="110">
        <v>-24</v>
      </c>
      <c r="E161" t="str">
        <f t="shared" si="7"/>
        <v>2</v>
      </c>
      <c r="F161" t="str">
        <f t="shared" si="5"/>
        <v>1.2</v>
      </c>
    </row>
    <row r="162" spans="1:6" x14ac:dyDescent="0.25">
      <c r="A162" s="109">
        <v>4725</v>
      </c>
      <c r="B162" t="s">
        <v>845</v>
      </c>
      <c r="C162" t="s">
        <v>683</v>
      </c>
      <c r="D162" s="110">
        <v>-24</v>
      </c>
      <c r="E162" t="str">
        <f t="shared" si="7"/>
        <v>2</v>
      </c>
      <c r="F162" t="str">
        <f t="shared" si="5"/>
        <v>1.2</v>
      </c>
    </row>
    <row r="163" spans="1:6" x14ac:dyDescent="0.25">
      <c r="A163" s="109">
        <v>4731</v>
      </c>
      <c r="B163" t="s">
        <v>846</v>
      </c>
      <c r="C163" t="s">
        <v>683</v>
      </c>
      <c r="D163" s="110">
        <v>-24</v>
      </c>
      <c r="E163" t="str">
        <f t="shared" si="7"/>
        <v>2</v>
      </c>
      <c r="F163" t="str">
        <f t="shared" si="5"/>
        <v>1.2</v>
      </c>
    </row>
    <row r="164" spans="1:6" x14ac:dyDescent="0.25">
      <c r="A164" s="109">
        <v>6710</v>
      </c>
      <c r="B164" t="s">
        <v>847</v>
      </c>
      <c r="C164" t="s">
        <v>686</v>
      </c>
      <c r="D164" s="110">
        <v>-24</v>
      </c>
      <c r="E164" t="str">
        <f t="shared" si="7"/>
        <v>2</v>
      </c>
      <c r="F164" t="str">
        <f t="shared" si="5"/>
        <v>1.2</v>
      </c>
    </row>
    <row r="165" spans="1:6" x14ac:dyDescent="0.25">
      <c r="A165" s="109">
        <v>4413</v>
      </c>
      <c r="B165" t="s">
        <v>848</v>
      </c>
      <c r="C165" t="s">
        <v>683</v>
      </c>
      <c r="D165" s="110">
        <v>-25</v>
      </c>
      <c r="E165" t="str">
        <f t="shared" si="7"/>
        <v>2</v>
      </c>
      <c r="F165" t="str">
        <f t="shared" si="5"/>
        <v>1.2</v>
      </c>
    </row>
    <row r="166" spans="1:6" x14ac:dyDescent="0.25">
      <c r="A166" s="109">
        <v>4420</v>
      </c>
      <c r="B166" t="s">
        <v>849</v>
      </c>
      <c r="C166" t="s">
        <v>683</v>
      </c>
      <c r="D166" s="110">
        <v>-25</v>
      </c>
      <c r="E166" t="str">
        <f t="shared" si="7"/>
        <v>2</v>
      </c>
      <c r="F166" t="str">
        <f t="shared" si="5"/>
        <v>1.2</v>
      </c>
    </row>
    <row r="167" spans="1:6" x14ac:dyDescent="0.25">
      <c r="A167" s="109">
        <v>4454</v>
      </c>
      <c r="B167" t="s">
        <v>850</v>
      </c>
      <c r="C167" t="s">
        <v>683</v>
      </c>
      <c r="D167" s="110">
        <v>-25</v>
      </c>
      <c r="E167" t="str">
        <f t="shared" si="7"/>
        <v>2</v>
      </c>
      <c r="F167" t="str">
        <f t="shared" si="5"/>
        <v>1.2</v>
      </c>
    </row>
    <row r="168" spans="1:6" x14ac:dyDescent="0.25">
      <c r="A168" s="109">
        <v>4467</v>
      </c>
      <c r="B168" t="s">
        <v>851</v>
      </c>
      <c r="C168" t="s">
        <v>683</v>
      </c>
      <c r="D168" s="110">
        <v>-25</v>
      </c>
      <c r="E168" t="str">
        <f t="shared" si="7"/>
        <v>2</v>
      </c>
      <c r="F168" t="str">
        <f t="shared" si="5"/>
        <v>1.2</v>
      </c>
    </row>
    <row r="169" spans="1:6" x14ac:dyDescent="0.25">
      <c r="A169" s="109">
        <v>4474</v>
      </c>
      <c r="B169" t="s">
        <v>852</v>
      </c>
      <c r="C169" t="s">
        <v>683</v>
      </c>
      <c r="D169" s="110">
        <v>-25</v>
      </c>
      <c r="E169" t="str">
        <f t="shared" si="7"/>
        <v>2</v>
      </c>
      <c r="F169" t="str">
        <f t="shared" si="5"/>
        <v>1.2</v>
      </c>
    </row>
    <row r="170" spans="1:6" x14ac:dyDescent="0.25">
      <c r="A170" s="109">
        <v>4477</v>
      </c>
      <c r="B170" t="s">
        <v>853</v>
      </c>
      <c r="C170" t="s">
        <v>683</v>
      </c>
      <c r="D170" s="110">
        <v>-25</v>
      </c>
      <c r="E170" t="str">
        <f t="shared" si="7"/>
        <v>2</v>
      </c>
      <c r="F170" t="str">
        <f t="shared" si="5"/>
        <v>1.2</v>
      </c>
    </row>
    <row r="171" spans="1:6" x14ac:dyDescent="0.25">
      <c r="A171" s="109">
        <v>4481</v>
      </c>
      <c r="B171" t="s">
        <v>854</v>
      </c>
      <c r="C171" t="s">
        <v>683</v>
      </c>
      <c r="D171" s="110">
        <v>-25</v>
      </c>
      <c r="E171" t="str">
        <f t="shared" si="7"/>
        <v>2</v>
      </c>
      <c r="F171" t="str">
        <f t="shared" si="5"/>
        <v>1.2</v>
      </c>
    </row>
    <row r="172" spans="1:6" x14ac:dyDescent="0.25">
      <c r="A172" s="109">
        <v>4482</v>
      </c>
      <c r="B172" t="s">
        <v>855</v>
      </c>
      <c r="C172" t="s">
        <v>683</v>
      </c>
      <c r="D172" s="110">
        <v>-25</v>
      </c>
      <c r="E172" t="str">
        <f t="shared" si="7"/>
        <v>2</v>
      </c>
      <c r="F172" t="str">
        <f t="shared" si="5"/>
        <v>1.2</v>
      </c>
    </row>
    <row r="173" spans="1:6" x14ac:dyDescent="0.25">
      <c r="A173" s="109">
        <v>4580</v>
      </c>
      <c r="B173" t="s">
        <v>856</v>
      </c>
      <c r="C173" t="s">
        <v>683</v>
      </c>
      <c r="D173" s="110">
        <v>-25</v>
      </c>
      <c r="E173" t="str">
        <f t="shared" si="7"/>
        <v>2</v>
      </c>
      <c r="F173" t="str">
        <f t="shared" si="5"/>
        <v>1.2</v>
      </c>
    </row>
    <row r="174" spans="1:6" x14ac:dyDescent="0.25">
      <c r="A174" s="109">
        <v>4581</v>
      </c>
      <c r="B174" t="s">
        <v>857</v>
      </c>
      <c r="C174" t="s">
        <v>683</v>
      </c>
      <c r="D174" s="110">
        <v>-25</v>
      </c>
      <c r="E174" t="str">
        <f t="shared" si="7"/>
        <v>2</v>
      </c>
      <c r="F174" t="str">
        <f t="shared" si="5"/>
        <v>1.2</v>
      </c>
    </row>
    <row r="175" spans="1:6" x14ac:dyDescent="0.25">
      <c r="A175" s="109">
        <v>4620</v>
      </c>
      <c r="B175" t="s">
        <v>858</v>
      </c>
      <c r="C175" t="s">
        <v>683</v>
      </c>
      <c r="D175" s="110">
        <v>-25</v>
      </c>
      <c r="E175" t="str">
        <f t="shared" si="7"/>
        <v>2</v>
      </c>
      <c r="F175" t="str">
        <f t="shared" si="5"/>
        <v>1.2</v>
      </c>
    </row>
    <row r="176" spans="1:6" x14ac:dyDescent="0.25">
      <c r="A176" s="109">
        <v>4621</v>
      </c>
      <c r="B176" t="s">
        <v>859</v>
      </c>
      <c r="C176" t="s">
        <v>683</v>
      </c>
      <c r="D176" s="110">
        <v>-25</v>
      </c>
      <c r="E176" t="str">
        <f t="shared" si="7"/>
        <v>2</v>
      </c>
      <c r="F176" t="str">
        <f t="shared" si="5"/>
        <v>1.2</v>
      </c>
    </row>
    <row r="177" spans="1:6" x14ac:dyDescent="0.25">
      <c r="A177" s="109">
        <v>4625</v>
      </c>
      <c r="B177" t="s">
        <v>860</v>
      </c>
      <c r="C177" t="s">
        <v>683</v>
      </c>
      <c r="D177" s="110">
        <v>-25</v>
      </c>
      <c r="E177" t="str">
        <f t="shared" si="7"/>
        <v>2</v>
      </c>
      <c r="F177" t="str">
        <f t="shared" si="5"/>
        <v>1.2</v>
      </c>
    </row>
    <row r="178" spans="1:6" x14ac:dyDescent="0.25">
      <c r="A178" s="109">
        <v>4626</v>
      </c>
      <c r="B178" t="s">
        <v>861</v>
      </c>
      <c r="C178" t="s">
        <v>683</v>
      </c>
      <c r="D178" s="110">
        <v>-25</v>
      </c>
      <c r="E178" t="str">
        <f t="shared" si="7"/>
        <v>2</v>
      </c>
      <c r="F178" t="str">
        <f t="shared" si="5"/>
        <v>1.2</v>
      </c>
    </row>
    <row r="179" spans="1:6" x14ac:dyDescent="0.25">
      <c r="A179" s="109">
        <v>4627</v>
      </c>
      <c r="B179" t="s">
        <v>862</v>
      </c>
      <c r="C179" t="s">
        <v>683</v>
      </c>
      <c r="D179" s="110">
        <v>-25</v>
      </c>
      <c r="E179" t="str">
        <f t="shared" si="7"/>
        <v>2</v>
      </c>
      <c r="F179" t="str">
        <f t="shared" si="5"/>
        <v>1.2</v>
      </c>
    </row>
    <row r="180" spans="1:6" x14ac:dyDescent="0.25">
      <c r="A180" s="109">
        <v>4630</v>
      </c>
      <c r="B180" t="s">
        <v>863</v>
      </c>
      <c r="C180" t="s">
        <v>683</v>
      </c>
      <c r="D180" s="110">
        <v>-25</v>
      </c>
      <c r="E180" t="str">
        <f t="shared" si="7"/>
        <v>2</v>
      </c>
      <c r="F180" t="str">
        <f t="shared" si="5"/>
        <v>1.2</v>
      </c>
    </row>
    <row r="181" spans="1:6" x14ac:dyDescent="0.25">
      <c r="A181" s="109">
        <v>4650</v>
      </c>
      <c r="B181" t="s">
        <v>864</v>
      </c>
      <c r="C181" t="s">
        <v>683</v>
      </c>
      <c r="D181" s="110">
        <v>-25</v>
      </c>
      <c r="E181" t="str">
        <f t="shared" si="7"/>
        <v>2</v>
      </c>
      <c r="F181" t="str">
        <f t="shared" si="5"/>
        <v>1.2</v>
      </c>
    </row>
    <row r="182" spans="1:6" x14ac:dyDescent="0.25">
      <c r="A182" s="109">
        <v>4655</v>
      </c>
      <c r="B182" t="s">
        <v>865</v>
      </c>
      <c r="C182" t="s">
        <v>683</v>
      </c>
      <c r="D182" s="110">
        <v>-25</v>
      </c>
      <c r="E182" t="str">
        <f t="shared" si="7"/>
        <v>2</v>
      </c>
      <c r="F182" t="str">
        <f t="shared" si="5"/>
        <v>1.2</v>
      </c>
    </row>
    <row r="183" spans="1:6" x14ac:dyDescent="0.25">
      <c r="A183" s="109">
        <v>4659</v>
      </c>
      <c r="B183" t="s">
        <v>866</v>
      </c>
      <c r="C183" t="s">
        <v>683</v>
      </c>
      <c r="D183" s="110">
        <v>-25</v>
      </c>
      <c r="E183" t="str">
        <f t="shared" si="7"/>
        <v>2</v>
      </c>
      <c r="F183" t="str">
        <f t="shared" si="5"/>
        <v>1.2</v>
      </c>
    </row>
    <row r="184" spans="1:6" x14ac:dyDescent="0.25">
      <c r="A184" s="109">
        <v>4660</v>
      </c>
      <c r="B184" t="s">
        <v>867</v>
      </c>
      <c r="C184" t="s">
        <v>683</v>
      </c>
      <c r="D184" s="110">
        <v>-25</v>
      </c>
      <c r="E184" t="str">
        <f t="shared" si="7"/>
        <v>2</v>
      </c>
      <c r="F184" t="str">
        <f t="shared" si="5"/>
        <v>1.2</v>
      </c>
    </row>
    <row r="185" spans="1:6" x14ac:dyDescent="0.25">
      <c r="A185" s="109">
        <v>4671</v>
      </c>
      <c r="B185" t="s">
        <v>868</v>
      </c>
      <c r="C185" t="s">
        <v>683</v>
      </c>
      <c r="D185" s="110">
        <v>-25</v>
      </c>
      <c r="E185" t="str">
        <f t="shared" si="7"/>
        <v>2</v>
      </c>
      <c r="F185" t="str">
        <f t="shared" si="5"/>
        <v>1.2</v>
      </c>
    </row>
    <row r="186" spans="1:6" x14ac:dyDescent="0.25">
      <c r="A186" s="109">
        <v>4736</v>
      </c>
      <c r="B186" t="s">
        <v>869</v>
      </c>
      <c r="C186" t="s">
        <v>683</v>
      </c>
      <c r="D186" s="110">
        <v>-25</v>
      </c>
      <c r="E186" t="str">
        <f t="shared" si="7"/>
        <v>2</v>
      </c>
      <c r="F186" t="str">
        <f t="shared" si="5"/>
        <v>1.2</v>
      </c>
    </row>
    <row r="187" spans="1:6" x14ac:dyDescent="0.25">
      <c r="A187" s="109">
        <v>6705</v>
      </c>
      <c r="B187" t="s">
        <v>870</v>
      </c>
      <c r="C187" t="s">
        <v>686</v>
      </c>
      <c r="D187" s="110">
        <v>-25</v>
      </c>
      <c r="E187" t="str">
        <f t="shared" si="7"/>
        <v>2</v>
      </c>
      <c r="F187" t="str">
        <f t="shared" si="5"/>
        <v>1.2</v>
      </c>
    </row>
    <row r="188" spans="1:6" x14ac:dyDescent="0.25">
      <c r="A188" s="109">
        <v>4408</v>
      </c>
      <c r="B188" t="s">
        <v>871</v>
      </c>
      <c r="C188" t="s">
        <v>683</v>
      </c>
      <c r="D188" s="110">
        <v>-26</v>
      </c>
      <c r="E188" t="str">
        <f t="shared" si="7"/>
        <v>2</v>
      </c>
      <c r="F188" t="str">
        <f t="shared" si="5"/>
        <v>1.2</v>
      </c>
    </row>
    <row r="189" spans="1:6" x14ac:dyDescent="0.25">
      <c r="A189" s="109">
        <v>4410</v>
      </c>
      <c r="B189" t="s">
        <v>872</v>
      </c>
      <c r="C189" t="s">
        <v>683</v>
      </c>
      <c r="D189" s="110">
        <v>-26</v>
      </c>
      <c r="E189" t="str">
        <f t="shared" si="7"/>
        <v>2</v>
      </c>
      <c r="F189" t="str">
        <f t="shared" si="5"/>
        <v>1.2</v>
      </c>
    </row>
    <row r="190" spans="1:6" x14ac:dyDescent="0.25">
      <c r="A190" s="109">
        <v>4411</v>
      </c>
      <c r="B190" t="s">
        <v>873</v>
      </c>
      <c r="C190" t="s">
        <v>683</v>
      </c>
      <c r="D190" s="110">
        <v>-26</v>
      </c>
      <c r="E190" t="str">
        <f t="shared" si="7"/>
        <v>2</v>
      </c>
      <c r="F190" t="str">
        <f t="shared" si="5"/>
        <v>1.2</v>
      </c>
    </row>
    <row r="191" spans="1:6" x14ac:dyDescent="0.25">
      <c r="A191" s="109">
        <v>4412</v>
      </c>
      <c r="B191" t="s">
        <v>874</v>
      </c>
      <c r="C191" t="s">
        <v>683</v>
      </c>
      <c r="D191" s="110">
        <v>-26</v>
      </c>
      <c r="E191" t="str">
        <f t="shared" si="7"/>
        <v>2</v>
      </c>
      <c r="F191" t="str">
        <f t="shared" si="5"/>
        <v>1.2</v>
      </c>
    </row>
    <row r="192" spans="1:6" x14ac:dyDescent="0.25">
      <c r="A192" s="109">
        <v>4415</v>
      </c>
      <c r="B192" t="s">
        <v>875</v>
      </c>
      <c r="C192" t="s">
        <v>683</v>
      </c>
      <c r="D192" s="110">
        <v>-26</v>
      </c>
      <c r="E192" t="str">
        <f t="shared" si="7"/>
        <v>2</v>
      </c>
      <c r="F192" t="str">
        <f t="shared" si="5"/>
        <v>1.2</v>
      </c>
    </row>
    <row r="193" spans="1:6" x14ac:dyDescent="0.25">
      <c r="A193" s="109">
        <v>4416</v>
      </c>
      <c r="B193" t="s">
        <v>876</v>
      </c>
      <c r="C193" t="s">
        <v>683</v>
      </c>
      <c r="D193" s="110">
        <v>-26</v>
      </c>
      <c r="E193" t="str">
        <f t="shared" si="7"/>
        <v>2</v>
      </c>
      <c r="F193" t="str">
        <f t="shared" si="5"/>
        <v>1.2</v>
      </c>
    </row>
    <row r="194" spans="1:6" x14ac:dyDescent="0.25">
      <c r="A194" s="109">
        <v>4418</v>
      </c>
      <c r="B194" t="s">
        <v>877</v>
      </c>
      <c r="C194" t="s">
        <v>683</v>
      </c>
      <c r="D194" s="110">
        <v>-26</v>
      </c>
      <c r="E194" t="str">
        <f t="shared" si="7"/>
        <v>2</v>
      </c>
      <c r="F194" t="str">
        <f t="shared" si="5"/>
        <v>1.2</v>
      </c>
    </row>
    <row r="195" spans="1:6" x14ac:dyDescent="0.25">
      <c r="A195" s="109">
        <v>4419</v>
      </c>
      <c r="B195" t="s">
        <v>878</v>
      </c>
      <c r="C195" t="s">
        <v>683</v>
      </c>
      <c r="D195" s="110">
        <v>-26</v>
      </c>
      <c r="E195" t="str">
        <f t="shared" si="7"/>
        <v>2</v>
      </c>
      <c r="F195" t="str">
        <f t="shared" ref="F195:F258" si="8">IF(D195&lt;-34,"1.6",IF(D195&lt;-26,"1.4",IF(D195&lt;-18,"1.2",IF(D195&lt;-8,"1","lits"))))</f>
        <v>1.2</v>
      </c>
    </row>
    <row r="196" spans="1:6" x14ac:dyDescent="0.25">
      <c r="A196" s="109">
        <v>4424</v>
      </c>
      <c r="B196" t="s">
        <v>879</v>
      </c>
      <c r="C196" t="s">
        <v>683</v>
      </c>
      <c r="D196" s="110">
        <v>-26</v>
      </c>
      <c r="E196" t="str">
        <f t="shared" si="7"/>
        <v>2</v>
      </c>
      <c r="F196" t="str">
        <f t="shared" si="8"/>
        <v>1.2</v>
      </c>
    </row>
    <row r="197" spans="1:6" x14ac:dyDescent="0.25">
      <c r="A197" s="109">
        <v>4425</v>
      </c>
      <c r="B197" t="s">
        <v>880</v>
      </c>
      <c r="C197" t="s">
        <v>683</v>
      </c>
      <c r="D197" s="110">
        <v>-26</v>
      </c>
      <c r="E197" t="str">
        <f t="shared" si="7"/>
        <v>2</v>
      </c>
      <c r="F197" t="str">
        <f t="shared" si="8"/>
        <v>1.2</v>
      </c>
    </row>
    <row r="198" spans="1:6" x14ac:dyDescent="0.25">
      <c r="A198" s="109">
        <v>4426</v>
      </c>
      <c r="B198" t="s">
        <v>881</v>
      </c>
      <c r="C198" t="s">
        <v>683</v>
      </c>
      <c r="D198" s="110">
        <v>-26</v>
      </c>
      <c r="E198" t="str">
        <f t="shared" si="7"/>
        <v>2</v>
      </c>
      <c r="F198" t="str">
        <f t="shared" si="8"/>
        <v>1.2</v>
      </c>
    </row>
    <row r="199" spans="1:6" x14ac:dyDescent="0.25">
      <c r="A199" s="109">
        <v>4427</v>
      </c>
      <c r="B199" t="s">
        <v>882</v>
      </c>
      <c r="C199" t="s">
        <v>683</v>
      </c>
      <c r="D199" s="110">
        <v>-26</v>
      </c>
      <c r="E199" t="str">
        <f t="shared" si="7"/>
        <v>2</v>
      </c>
      <c r="F199" t="str">
        <f t="shared" si="8"/>
        <v>1.2</v>
      </c>
    </row>
    <row r="200" spans="1:6" x14ac:dyDescent="0.25">
      <c r="A200" s="109">
        <v>4428</v>
      </c>
      <c r="B200" t="s">
        <v>883</v>
      </c>
      <c r="C200" t="s">
        <v>683</v>
      </c>
      <c r="D200" s="110">
        <v>-26</v>
      </c>
      <c r="E200" t="str">
        <f t="shared" si="7"/>
        <v>2</v>
      </c>
      <c r="F200" t="str">
        <f t="shared" si="8"/>
        <v>1.2</v>
      </c>
    </row>
    <row r="201" spans="1:6" x14ac:dyDescent="0.25">
      <c r="A201" s="109">
        <v>4455</v>
      </c>
      <c r="B201" t="s">
        <v>884</v>
      </c>
      <c r="C201" t="s">
        <v>683</v>
      </c>
      <c r="D201" s="110">
        <v>-26</v>
      </c>
      <c r="E201" t="str">
        <f t="shared" si="7"/>
        <v>2</v>
      </c>
      <c r="F201" t="str">
        <f t="shared" si="8"/>
        <v>1.2</v>
      </c>
    </row>
    <row r="202" spans="1:6" x14ac:dyDescent="0.25">
      <c r="A202" s="109">
        <v>4461</v>
      </c>
      <c r="B202" t="s">
        <v>885</v>
      </c>
      <c r="C202" t="s">
        <v>683</v>
      </c>
      <c r="D202" s="110">
        <v>-26</v>
      </c>
      <c r="E202" t="str">
        <f t="shared" si="7"/>
        <v>2</v>
      </c>
      <c r="F202" t="str">
        <f t="shared" si="8"/>
        <v>1.2</v>
      </c>
    </row>
    <row r="203" spans="1:6" x14ac:dyDescent="0.25">
      <c r="A203" s="109">
        <v>4462</v>
      </c>
      <c r="B203" t="s">
        <v>886</v>
      </c>
      <c r="C203" t="s">
        <v>683</v>
      </c>
      <c r="D203" s="110">
        <v>-26</v>
      </c>
      <c r="E203" t="str">
        <f t="shared" si="7"/>
        <v>2</v>
      </c>
      <c r="F203" t="str">
        <f t="shared" si="8"/>
        <v>1.2</v>
      </c>
    </row>
    <row r="204" spans="1:6" x14ac:dyDescent="0.25">
      <c r="A204" s="109">
        <v>4465</v>
      </c>
      <c r="B204" t="s">
        <v>887</v>
      </c>
      <c r="C204" t="s">
        <v>683</v>
      </c>
      <c r="D204" s="110">
        <v>-26</v>
      </c>
      <c r="E204" t="str">
        <f t="shared" si="7"/>
        <v>2</v>
      </c>
      <c r="F204" t="str">
        <f t="shared" si="8"/>
        <v>1.2</v>
      </c>
    </row>
    <row r="205" spans="1:6" x14ac:dyDescent="0.25">
      <c r="A205" s="109">
        <v>4468</v>
      </c>
      <c r="B205" t="s">
        <v>888</v>
      </c>
      <c r="C205" t="s">
        <v>683</v>
      </c>
      <c r="D205" s="110">
        <v>-26</v>
      </c>
      <c r="E205" t="str">
        <f t="shared" si="7"/>
        <v>2</v>
      </c>
      <c r="F205" t="str">
        <f t="shared" si="8"/>
        <v>1.2</v>
      </c>
    </row>
    <row r="206" spans="1:6" x14ac:dyDescent="0.25">
      <c r="A206" s="109">
        <v>4470</v>
      </c>
      <c r="B206" t="s">
        <v>889</v>
      </c>
      <c r="C206" t="s">
        <v>683</v>
      </c>
      <c r="D206" s="110">
        <v>-26</v>
      </c>
      <c r="E206" t="str">
        <f t="shared" si="7"/>
        <v>2</v>
      </c>
      <c r="F206" t="str">
        <f t="shared" si="8"/>
        <v>1.2</v>
      </c>
    </row>
    <row r="207" spans="1:6" x14ac:dyDescent="0.25">
      <c r="A207" s="109">
        <v>4475</v>
      </c>
      <c r="B207" t="s">
        <v>890</v>
      </c>
      <c r="C207" t="s">
        <v>683</v>
      </c>
      <c r="D207" s="110">
        <v>-26</v>
      </c>
      <c r="E207" t="str">
        <f t="shared" si="7"/>
        <v>2</v>
      </c>
      <c r="F207" t="str">
        <f t="shared" si="8"/>
        <v>1.2</v>
      </c>
    </row>
    <row r="208" spans="1:6" x14ac:dyDescent="0.25">
      <c r="A208" s="109">
        <v>4479</v>
      </c>
      <c r="B208" t="s">
        <v>891</v>
      </c>
      <c r="C208" t="s">
        <v>683</v>
      </c>
      <c r="D208" s="110">
        <v>-26</v>
      </c>
      <c r="E208" t="str">
        <f t="shared" si="7"/>
        <v>2</v>
      </c>
      <c r="F208" t="str">
        <f t="shared" si="8"/>
        <v>1.2</v>
      </c>
    </row>
    <row r="209" spans="1:6" x14ac:dyDescent="0.25">
      <c r="A209" s="109">
        <v>4480</v>
      </c>
      <c r="B209" t="s">
        <v>892</v>
      </c>
      <c r="C209" t="s">
        <v>683</v>
      </c>
      <c r="D209" s="110">
        <v>-26</v>
      </c>
      <c r="E209" t="str">
        <f t="shared" si="7"/>
        <v>2</v>
      </c>
      <c r="F209" t="str">
        <f t="shared" si="8"/>
        <v>1.2</v>
      </c>
    </row>
    <row r="210" spans="1:6" x14ac:dyDescent="0.25">
      <c r="A210" s="109">
        <v>4507</v>
      </c>
      <c r="B210" t="s">
        <v>893</v>
      </c>
      <c r="C210" t="s">
        <v>683</v>
      </c>
      <c r="D210" s="110">
        <v>-26</v>
      </c>
      <c r="E210" t="str">
        <f t="shared" si="7"/>
        <v>2</v>
      </c>
      <c r="F210" t="str">
        <f t="shared" si="8"/>
        <v>1.2</v>
      </c>
    </row>
    <row r="211" spans="1:6" x14ac:dyDescent="0.25">
      <c r="A211" s="109">
        <v>4514</v>
      </c>
      <c r="B211" t="s">
        <v>894</v>
      </c>
      <c r="C211" t="s">
        <v>683</v>
      </c>
      <c r="D211" s="110">
        <v>-26</v>
      </c>
      <c r="E211" t="str">
        <f t="shared" si="7"/>
        <v>2</v>
      </c>
      <c r="F211" t="str">
        <f t="shared" si="8"/>
        <v>1.2</v>
      </c>
    </row>
    <row r="212" spans="1:6" x14ac:dyDescent="0.25">
      <c r="A212" s="109">
        <v>4515</v>
      </c>
      <c r="B212" t="s">
        <v>895</v>
      </c>
      <c r="C212" t="s">
        <v>683</v>
      </c>
      <c r="D212" s="110">
        <v>-26</v>
      </c>
      <c r="E212" t="str">
        <f t="shared" si="7"/>
        <v>2</v>
      </c>
      <c r="F212" t="str">
        <f t="shared" si="8"/>
        <v>1.2</v>
      </c>
    </row>
    <row r="213" spans="1:6" x14ac:dyDescent="0.25">
      <c r="A213" s="109">
        <v>4517</v>
      </c>
      <c r="B213" t="s">
        <v>896</v>
      </c>
      <c r="C213" t="s">
        <v>683</v>
      </c>
      <c r="D213" s="110">
        <v>-26</v>
      </c>
      <c r="E213" t="str">
        <f t="shared" si="7"/>
        <v>2</v>
      </c>
      <c r="F213" t="str">
        <f t="shared" si="8"/>
        <v>1.2</v>
      </c>
    </row>
    <row r="214" spans="1:6" x14ac:dyDescent="0.25">
      <c r="A214" s="109">
        <v>4518</v>
      </c>
      <c r="B214" t="s">
        <v>897</v>
      </c>
      <c r="C214" t="s">
        <v>683</v>
      </c>
      <c r="D214" s="110">
        <v>-26</v>
      </c>
      <c r="E214" t="str">
        <f t="shared" ref="E214:E277" si="9">IF(D214&lt;-34,"4",IF(D214&lt;-26,"3",IF(D214&lt;-18,"2",IF(D214&lt;-8,"1","lits"))))</f>
        <v>2</v>
      </c>
      <c r="F214" t="str">
        <f t="shared" si="8"/>
        <v>1.2</v>
      </c>
    </row>
    <row r="215" spans="1:6" x14ac:dyDescent="0.25">
      <c r="A215" s="109">
        <v>4519</v>
      </c>
      <c r="B215" t="s">
        <v>898</v>
      </c>
      <c r="C215" t="s">
        <v>683</v>
      </c>
      <c r="D215" s="110">
        <v>-26</v>
      </c>
      <c r="E215" t="str">
        <f t="shared" si="9"/>
        <v>2</v>
      </c>
      <c r="F215" t="str">
        <f t="shared" si="8"/>
        <v>1.2</v>
      </c>
    </row>
    <row r="216" spans="1:6" x14ac:dyDescent="0.25">
      <c r="A216" s="109">
        <v>4550</v>
      </c>
      <c r="B216" t="s">
        <v>899</v>
      </c>
      <c r="C216" t="s">
        <v>683</v>
      </c>
      <c r="D216" s="110">
        <v>-26</v>
      </c>
      <c r="E216" t="str">
        <f t="shared" si="9"/>
        <v>2</v>
      </c>
      <c r="F216" t="str">
        <f t="shared" si="8"/>
        <v>1.2</v>
      </c>
    </row>
    <row r="217" spans="1:6" x14ac:dyDescent="0.25">
      <c r="A217" s="109">
        <v>4551</v>
      </c>
      <c r="B217" t="s">
        <v>900</v>
      </c>
      <c r="C217" t="s">
        <v>683</v>
      </c>
      <c r="D217" s="110">
        <v>-26</v>
      </c>
      <c r="E217" t="str">
        <f t="shared" si="9"/>
        <v>2</v>
      </c>
      <c r="F217" t="str">
        <f t="shared" si="8"/>
        <v>1.2</v>
      </c>
    </row>
    <row r="218" spans="1:6" x14ac:dyDescent="0.25">
      <c r="A218" s="109">
        <v>4552</v>
      </c>
      <c r="B218" t="s">
        <v>901</v>
      </c>
      <c r="C218" t="s">
        <v>683</v>
      </c>
      <c r="D218" s="110">
        <v>-26</v>
      </c>
      <c r="E218" t="str">
        <f t="shared" si="9"/>
        <v>2</v>
      </c>
      <c r="F218" t="str">
        <f t="shared" si="8"/>
        <v>1.2</v>
      </c>
    </row>
    <row r="219" spans="1:6" x14ac:dyDescent="0.25">
      <c r="A219" s="109">
        <v>4553</v>
      </c>
      <c r="B219" t="s">
        <v>902</v>
      </c>
      <c r="C219" t="s">
        <v>683</v>
      </c>
      <c r="D219" s="110">
        <v>-26</v>
      </c>
      <c r="E219" t="str">
        <f t="shared" si="9"/>
        <v>2</v>
      </c>
      <c r="F219" t="str">
        <f t="shared" si="8"/>
        <v>1.2</v>
      </c>
    </row>
    <row r="220" spans="1:6" x14ac:dyDescent="0.25">
      <c r="A220" s="109">
        <v>4554</v>
      </c>
      <c r="B220" t="s">
        <v>903</v>
      </c>
      <c r="C220" t="s">
        <v>683</v>
      </c>
      <c r="D220" s="110">
        <v>-26</v>
      </c>
      <c r="E220" t="str">
        <f t="shared" si="9"/>
        <v>2</v>
      </c>
      <c r="F220" t="str">
        <f t="shared" si="8"/>
        <v>1.2</v>
      </c>
    </row>
    <row r="221" spans="1:6" x14ac:dyDescent="0.25">
      <c r="A221" s="109">
        <v>4555</v>
      </c>
      <c r="B221" t="s">
        <v>904</v>
      </c>
      <c r="C221" t="s">
        <v>683</v>
      </c>
      <c r="D221" s="110">
        <v>-26</v>
      </c>
      <c r="E221" t="str">
        <f t="shared" si="9"/>
        <v>2</v>
      </c>
      <c r="F221" t="str">
        <f t="shared" si="8"/>
        <v>1.2</v>
      </c>
    </row>
    <row r="222" spans="1:6" x14ac:dyDescent="0.25">
      <c r="A222" s="109">
        <v>4556</v>
      </c>
      <c r="B222" t="s">
        <v>905</v>
      </c>
      <c r="C222" t="s">
        <v>683</v>
      </c>
      <c r="D222" s="110">
        <v>-26</v>
      </c>
      <c r="E222" t="str">
        <f t="shared" si="9"/>
        <v>2</v>
      </c>
      <c r="F222" t="str">
        <f t="shared" si="8"/>
        <v>1.2</v>
      </c>
    </row>
    <row r="223" spans="1:6" x14ac:dyDescent="0.25">
      <c r="A223" s="109">
        <v>4557</v>
      </c>
      <c r="B223" t="s">
        <v>906</v>
      </c>
      <c r="C223" t="s">
        <v>683</v>
      </c>
      <c r="D223" s="110">
        <v>-26</v>
      </c>
      <c r="E223" t="str">
        <f t="shared" si="9"/>
        <v>2</v>
      </c>
      <c r="F223" t="str">
        <f t="shared" si="8"/>
        <v>1.2</v>
      </c>
    </row>
    <row r="224" spans="1:6" x14ac:dyDescent="0.25">
      <c r="A224" s="109">
        <v>4558</v>
      </c>
      <c r="B224" t="s">
        <v>907</v>
      </c>
      <c r="C224" t="s">
        <v>683</v>
      </c>
      <c r="D224" s="110">
        <v>-26</v>
      </c>
      <c r="E224" t="str">
        <f t="shared" si="9"/>
        <v>2</v>
      </c>
      <c r="F224" t="str">
        <f t="shared" si="8"/>
        <v>1.2</v>
      </c>
    </row>
    <row r="225" spans="1:6" x14ac:dyDescent="0.25">
      <c r="A225" s="109">
        <v>4559</v>
      </c>
      <c r="B225" t="s">
        <v>908</v>
      </c>
      <c r="C225" t="s">
        <v>683</v>
      </c>
      <c r="D225" s="110">
        <v>-26</v>
      </c>
      <c r="E225" t="str">
        <f t="shared" si="9"/>
        <v>2</v>
      </c>
      <c r="F225" t="str">
        <f t="shared" si="8"/>
        <v>1.2</v>
      </c>
    </row>
    <row r="226" spans="1:6" x14ac:dyDescent="0.25">
      <c r="A226" s="109">
        <v>4560</v>
      </c>
      <c r="B226" t="s">
        <v>909</v>
      </c>
      <c r="C226" t="s">
        <v>683</v>
      </c>
      <c r="D226" s="110">
        <v>-26</v>
      </c>
      <c r="E226" t="str">
        <f t="shared" si="9"/>
        <v>2</v>
      </c>
      <c r="F226" t="str">
        <f t="shared" si="8"/>
        <v>1.2</v>
      </c>
    </row>
    <row r="227" spans="1:6" x14ac:dyDescent="0.25">
      <c r="A227" s="109">
        <v>4561</v>
      </c>
      <c r="B227" t="s">
        <v>910</v>
      </c>
      <c r="C227" t="s">
        <v>683</v>
      </c>
      <c r="D227" s="110">
        <v>-26</v>
      </c>
      <c r="E227" t="str">
        <f t="shared" si="9"/>
        <v>2</v>
      </c>
      <c r="F227" t="str">
        <f t="shared" si="8"/>
        <v>1.2</v>
      </c>
    </row>
    <row r="228" spans="1:6" x14ac:dyDescent="0.25">
      <c r="A228" s="109">
        <v>4562</v>
      </c>
      <c r="B228" t="s">
        <v>911</v>
      </c>
      <c r="C228" t="s">
        <v>683</v>
      </c>
      <c r="D228" s="110">
        <v>-26</v>
      </c>
      <c r="E228" t="str">
        <f t="shared" si="9"/>
        <v>2</v>
      </c>
      <c r="F228" t="str">
        <f t="shared" si="8"/>
        <v>1.2</v>
      </c>
    </row>
    <row r="229" spans="1:6" x14ac:dyDescent="0.25">
      <c r="A229" s="109">
        <v>4563</v>
      </c>
      <c r="B229" t="s">
        <v>912</v>
      </c>
      <c r="C229" t="s">
        <v>683</v>
      </c>
      <c r="D229" s="110">
        <v>-26</v>
      </c>
      <c r="E229" t="str">
        <f t="shared" si="9"/>
        <v>2</v>
      </c>
      <c r="F229" t="str">
        <f t="shared" si="8"/>
        <v>1.2</v>
      </c>
    </row>
    <row r="230" spans="1:6" x14ac:dyDescent="0.25">
      <c r="A230" s="109">
        <v>4564</v>
      </c>
      <c r="B230" t="s">
        <v>913</v>
      </c>
      <c r="C230" t="s">
        <v>683</v>
      </c>
      <c r="D230" s="110">
        <v>-26</v>
      </c>
      <c r="E230" t="str">
        <f t="shared" si="9"/>
        <v>2</v>
      </c>
      <c r="F230" t="str">
        <f t="shared" si="8"/>
        <v>1.2</v>
      </c>
    </row>
    <row r="231" spans="1:6" x14ac:dyDescent="0.25">
      <c r="A231" s="109">
        <v>4565</v>
      </c>
      <c r="B231" t="s">
        <v>914</v>
      </c>
      <c r="C231" t="s">
        <v>683</v>
      </c>
      <c r="D231" s="110">
        <v>-26</v>
      </c>
      <c r="E231" t="str">
        <f t="shared" si="9"/>
        <v>2</v>
      </c>
      <c r="F231" t="str">
        <f t="shared" si="8"/>
        <v>1.2</v>
      </c>
    </row>
    <row r="232" spans="1:6" x14ac:dyDescent="0.25">
      <c r="A232" s="109">
        <v>4566</v>
      </c>
      <c r="B232" t="s">
        <v>915</v>
      </c>
      <c r="C232" t="s">
        <v>683</v>
      </c>
      <c r="D232" s="110">
        <v>-26</v>
      </c>
      <c r="E232" t="str">
        <f t="shared" si="9"/>
        <v>2</v>
      </c>
      <c r="F232" t="str">
        <f t="shared" si="8"/>
        <v>1.2</v>
      </c>
    </row>
    <row r="233" spans="1:6" x14ac:dyDescent="0.25">
      <c r="A233" s="109">
        <v>4567</v>
      </c>
      <c r="B233" t="s">
        <v>916</v>
      </c>
      <c r="C233" t="s">
        <v>683</v>
      </c>
      <c r="D233" s="110">
        <v>-26</v>
      </c>
      <c r="E233" t="str">
        <f t="shared" si="9"/>
        <v>2</v>
      </c>
      <c r="F233" t="str">
        <f t="shared" si="8"/>
        <v>1.2</v>
      </c>
    </row>
    <row r="234" spans="1:6" x14ac:dyDescent="0.25">
      <c r="A234" s="109">
        <v>4568</v>
      </c>
      <c r="B234" t="s">
        <v>917</v>
      </c>
      <c r="C234" t="s">
        <v>683</v>
      </c>
      <c r="D234" s="110">
        <v>-26</v>
      </c>
      <c r="E234" t="str">
        <f t="shared" si="9"/>
        <v>2</v>
      </c>
      <c r="F234" t="str">
        <f t="shared" si="8"/>
        <v>1.2</v>
      </c>
    </row>
    <row r="235" spans="1:6" x14ac:dyDescent="0.25">
      <c r="A235" s="109">
        <v>4570</v>
      </c>
      <c r="B235" t="s">
        <v>918</v>
      </c>
      <c r="C235" t="s">
        <v>683</v>
      </c>
      <c r="D235" s="110">
        <v>-26</v>
      </c>
      <c r="E235" t="str">
        <f t="shared" si="9"/>
        <v>2</v>
      </c>
      <c r="F235" t="str">
        <f t="shared" si="8"/>
        <v>1.2</v>
      </c>
    </row>
    <row r="236" spans="1:6" x14ac:dyDescent="0.25">
      <c r="A236" s="109">
        <v>4572</v>
      </c>
      <c r="B236" t="s">
        <v>919</v>
      </c>
      <c r="C236" t="s">
        <v>683</v>
      </c>
      <c r="D236" s="110">
        <v>-26</v>
      </c>
      <c r="E236" t="str">
        <f t="shared" si="9"/>
        <v>2</v>
      </c>
      <c r="F236" t="str">
        <f t="shared" si="8"/>
        <v>1.2</v>
      </c>
    </row>
    <row r="237" spans="1:6" x14ac:dyDescent="0.25">
      <c r="A237" s="109">
        <v>4573</v>
      </c>
      <c r="B237" t="s">
        <v>920</v>
      </c>
      <c r="C237" t="s">
        <v>683</v>
      </c>
      <c r="D237" s="110">
        <v>-26</v>
      </c>
      <c r="E237" t="str">
        <f t="shared" si="9"/>
        <v>2</v>
      </c>
      <c r="F237" t="str">
        <f t="shared" si="8"/>
        <v>1.2</v>
      </c>
    </row>
    <row r="238" spans="1:6" x14ac:dyDescent="0.25">
      <c r="A238" s="109">
        <v>4574</v>
      </c>
      <c r="B238" t="s">
        <v>921</v>
      </c>
      <c r="C238" t="s">
        <v>683</v>
      </c>
      <c r="D238" s="110">
        <v>-26</v>
      </c>
      <c r="E238" t="str">
        <f t="shared" si="9"/>
        <v>2</v>
      </c>
      <c r="F238" t="str">
        <f t="shared" si="8"/>
        <v>1.2</v>
      </c>
    </row>
    <row r="239" spans="1:6" x14ac:dyDescent="0.25">
      <c r="A239" s="109">
        <v>4575</v>
      </c>
      <c r="B239" t="s">
        <v>922</v>
      </c>
      <c r="C239" t="s">
        <v>683</v>
      </c>
      <c r="D239" s="110">
        <v>-26</v>
      </c>
      <c r="E239" t="str">
        <f t="shared" si="9"/>
        <v>2</v>
      </c>
      <c r="F239" t="str">
        <f t="shared" si="8"/>
        <v>1.2</v>
      </c>
    </row>
    <row r="240" spans="1:6" x14ac:dyDescent="0.25">
      <c r="A240" s="109">
        <v>4600</v>
      </c>
      <c r="B240" t="s">
        <v>923</v>
      </c>
      <c r="C240" t="s">
        <v>683</v>
      </c>
      <c r="D240" s="110">
        <v>-26</v>
      </c>
      <c r="E240" t="str">
        <f t="shared" si="9"/>
        <v>2</v>
      </c>
      <c r="F240" t="str">
        <f t="shared" si="8"/>
        <v>1.2</v>
      </c>
    </row>
    <row r="241" spans="1:6" x14ac:dyDescent="0.25">
      <c r="A241" s="109">
        <v>4601</v>
      </c>
      <c r="B241" t="s">
        <v>924</v>
      </c>
      <c r="C241" t="s">
        <v>683</v>
      </c>
      <c r="D241" s="110">
        <v>-26</v>
      </c>
      <c r="E241" t="str">
        <f t="shared" si="9"/>
        <v>2</v>
      </c>
      <c r="F241" t="str">
        <f t="shared" si="8"/>
        <v>1.2</v>
      </c>
    </row>
    <row r="242" spans="1:6" x14ac:dyDescent="0.25">
      <c r="A242" s="109">
        <v>4605</v>
      </c>
      <c r="B242" t="s">
        <v>925</v>
      </c>
      <c r="C242" t="s">
        <v>683</v>
      </c>
      <c r="D242" s="110">
        <v>-26</v>
      </c>
      <c r="E242" t="str">
        <f t="shared" si="9"/>
        <v>2</v>
      </c>
      <c r="F242" t="str">
        <f t="shared" si="8"/>
        <v>1.2</v>
      </c>
    </row>
    <row r="243" spans="1:6" x14ac:dyDescent="0.25">
      <c r="A243" s="109">
        <v>4606</v>
      </c>
      <c r="B243" t="s">
        <v>926</v>
      </c>
      <c r="C243" t="s">
        <v>683</v>
      </c>
      <c r="D243" s="110">
        <v>-26</v>
      </c>
      <c r="E243" t="str">
        <f t="shared" si="9"/>
        <v>2</v>
      </c>
      <c r="F243" t="str">
        <f t="shared" si="8"/>
        <v>1.2</v>
      </c>
    </row>
    <row r="244" spans="1:6" x14ac:dyDescent="0.25">
      <c r="A244" s="109">
        <v>4608</v>
      </c>
      <c r="B244" t="s">
        <v>927</v>
      </c>
      <c r="C244" t="s">
        <v>683</v>
      </c>
      <c r="D244" s="110">
        <v>-26</v>
      </c>
      <c r="E244" t="str">
        <f t="shared" si="9"/>
        <v>2</v>
      </c>
      <c r="F244" t="str">
        <f t="shared" si="8"/>
        <v>1.2</v>
      </c>
    </row>
    <row r="245" spans="1:6" x14ac:dyDescent="0.25">
      <c r="A245" s="109">
        <v>4610</v>
      </c>
      <c r="B245" t="s">
        <v>928</v>
      </c>
      <c r="C245" t="s">
        <v>683</v>
      </c>
      <c r="D245" s="110">
        <v>-26</v>
      </c>
      <c r="E245" t="str">
        <f t="shared" si="9"/>
        <v>2</v>
      </c>
      <c r="F245" t="str">
        <f t="shared" si="8"/>
        <v>1.2</v>
      </c>
    </row>
    <row r="246" spans="1:6" x14ac:dyDescent="0.25">
      <c r="A246" s="109">
        <v>4612</v>
      </c>
      <c r="B246" t="s">
        <v>929</v>
      </c>
      <c r="C246" t="s">
        <v>683</v>
      </c>
      <c r="D246" s="110">
        <v>-26</v>
      </c>
      <c r="E246" t="str">
        <f t="shared" si="9"/>
        <v>2</v>
      </c>
      <c r="F246" t="str">
        <f t="shared" si="8"/>
        <v>1.2</v>
      </c>
    </row>
    <row r="247" spans="1:6" x14ac:dyDescent="0.25">
      <c r="A247" s="109">
        <v>4613</v>
      </c>
      <c r="B247" t="s">
        <v>930</v>
      </c>
      <c r="C247" t="s">
        <v>683</v>
      </c>
      <c r="D247" s="110">
        <v>-26</v>
      </c>
      <c r="E247" t="str">
        <f t="shared" si="9"/>
        <v>2</v>
      </c>
      <c r="F247" t="str">
        <f t="shared" si="8"/>
        <v>1.2</v>
      </c>
    </row>
    <row r="248" spans="1:6" x14ac:dyDescent="0.25">
      <c r="A248" s="109">
        <v>4614</v>
      </c>
      <c r="B248" t="s">
        <v>931</v>
      </c>
      <c r="C248" t="s">
        <v>683</v>
      </c>
      <c r="D248" s="110">
        <v>-26</v>
      </c>
      <c r="E248" t="str">
        <f t="shared" si="9"/>
        <v>2</v>
      </c>
      <c r="F248" t="str">
        <f t="shared" si="8"/>
        <v>1.2</v>
      </c>
    </row>
    <row r="249" spans="1:6" x14ac:dyDescent="0.25">
      <c r="A249" s="109">
        <v>4615</v>
      </c>
      <c r="B249" t="s">
        <v>932</v>
      </c>
      <c r="C249" t="s">
        <v>683</v>
      </c>
      <c r="D249" s="110">
        <v>-26</v>
      </c>
      <c r="E249" t="str">
        <f t="shared" si="9"/>
        <v>2</v>
      </c>
      <c r="F249" t="str">
        <f t="shared" si="8"/>
        <v>1.2</v>
      </c>
    </row>
    <row r="250" spans="1:6" x14ac:dyDescent="0.25">
      <c r="A250" s="109">
        <v>6537</v>
      </c>
      <c r="B250" t="s">
        <v>933</v>
      </c>
      <c r="C250" t="s">
        <v>686</v>
      </c>
      <c r="D250" s="110">
        <v>-26</v>
      </c>
      <c r="E250" t="str">
        <f t="shared" si="9"/>
        <v>2</v>
      </c>
      <c r="F250" t="str">
        <f t="shared" si="8"/>
        <v>1.2</v>
      </c>
    </row>
    <row r="251" spans="1:6" x14ac:dyDescent="0.25">
      <c r="A251" s="109">
        <v>6640</v>
      </c>
      <c r="B251" t="s">
        <v>934</v>
      </c>
      <c r="C251" t="s">
        <v>686</v>
      </c>
      <c r="D251" s="110">
        <v>-26</v>
      </c>
      <c r="E251" t="str">
        <f t="shared" si="9"/>
        <v>2</v>
      </c>
      <c r="F251" t="str">
        <f t="shared" si="8"/>
        <v>1.2</v>
      </c>
    </row>
    <row r="252" spans="1:6" x14ac:dyDescent="0.25">
      <c r="A252" s="109">
        <v>6642</v>
      </c>
      <c r="B252" t="s">
        <v>935</v>
      </c>
      <c r="C252" t="s">
        <v>686</v>
      </c>
      <c r="D252" s="110">
        <v>-26</v>
      </c>
      <c r="E252" t="str">
        <f t="shared" si="9"/>
        <v>2</v>
      </c>
      <c r="F252" t="str">
        <f t="shared" si="8"/>
        <v>1.2</v>
      </c>
    </row>
    <row r="253" spans="1:6" x14ac:dyDescent="0.25">
      <c r="A253" s="109">
        <v>6701</v>
      </c>
      <c r="B253" t="s">
        <v>936</v>
      </c>
      <c r="C253" t="s">
        <v>686</v>
      </c>
      <c r="D253" s="110">
        <v>-26</v>
      </c>
      <c r="E253" t="str">
        <f t="shared" si="9"/>
        <v>2</v>
      </c>
      <c r="F253" t="str">
        <f t="shared" si="8"/>
        <v>1.2</v>
      </c>
    </row>
    <row r="254" spans="1:6" x14ac:dyDescent="0.25">
      <c r="A254" s="109">
        <v>4000</v>
      </c>
      <c r="B254" t="s">
        <v>937</v>
      </c>
      <c r="C254" t="s">
        <v>683</v>
      </c>
      <c r="D254" s="110">
        <v>-27</v>
      </c>
      <c r="E254" t="str">
        <f t="shared" si="9"/>
        <v>3</v>
      </c>
      <c r="F254" t="str">
        <f t="shared" si="8"/>
        <v>1.4</v>
      </c>
    </row>
    <row r="255" spans="1:6" x14ac:dyDescent="0.25">
      <c r="A255" s="109">
        <v>4005</v>
      </c>
      <c r="B255" t="s">
        <v>938</v>
      </c>
      <c r="C255" t="s">
        <v>683</v>
      </c>
      <c r="D255" s="110">
        <v>-27</v>
      </c>
      <c r="E255" t="str">
        <f t="shared" si="9"/>
        <v>3</v>
      </c>
      <c r="F255" t="str">
        <f t="shared" si="8"/>
        <v>1.4</v>
      </c>
    </row>
    <row r="256" spans="1:6" x14ac:dyDescent="0.25">
      <c r="A256" s="109">
        <v>4006</v>
      </c>
      <c r="B256" t="s">
        <v>939</v>
      </c>
      <c r="C256" t="s">
        <v>683</v>
      </c>
      <c r="D256" s="110">
        <v>-27</v>
      </c>
      <c r="E256" t="str">
        <f t="shared" si="9"/>
        <v>3</v>
      </c>
      <c r="F256" t="str">
        <f t="shared" si="8"/>
        <v>1.4</v>
      </c>
    </row>
    <row r="257" spans="1:6" x14ac:dyDescent="0.25">
      <c r="A257" s="109">
        <v>4007</v>
      </c>
      <c r="B257" t="s">
        <v>940</v>
      </c>
      <c r="C257" t="s">
        <v>683</v>
      </c>
      <c r="D257" s="110">
        <v>-27</v>
      </c>
      <c r="E257" t="str">
        <f t="shared" si="9"/>
        <v>3</v>
      </c>
      <c r="F257" t="str">
        <f t="shared" si="8"/>
        <v>1.4</v>
      </c>
    </row>
    <row r="258" spans="1:6" x14ac:dyDescent="0.25">
      <c r="A258" s="109">
        <v>4008</v>
      </c>
      <c r="B258" t="s">
        <v>941</v>
      </c>
      <c r="C258" t="s">
        <v>683</v>
      </c>
      <c r="D258" s="110">
        <v>-27</v>
      </c>
      <c r="E258" t="str">
        <f t="shared" si="9"/>
        <v>3</v>
      </c>
      <c r="F258" t="str">
        <f t="shared" si="8"/>
        <v>1.4</v>
      </c>
    </row>
    <row r="259" spans="1:6" x14ac:dyDescent="0.25">
      <c r="A259" s="109">
        <v>4009</v>
      </c>
      <c r="B259" t="s">
        <v>942</v>
      </c>
      <c r="C259" t="s">
        <v>683</v>
      </c>
      <c r="D259" s="110">
        <v>-27</v>
      </c>
      <c r="E259" t="str">
        <f t="shared" si="9"/>
        <v>3</v>
      </c>
      <c r="F259" t="str">
        <f t="shared" ref="F259:F322" si="10">IF(D259&lt;-34,"1.6",IF(D259&lt;-26,"1.4",IF(D259&lt;-18,"1.2",IF(D259&lt;-8,"1","lits"))))</f>
        <v>1.4</v>
      </c>
    </row>
    <row r="260" spans="1:6" x14ac:dyDescent="0.25">
      <c r="A260" s="109">
        <v>4010</v>
      </c>
      <c r="B260" t="s">
        <v>943</v>
      </c>
      <c r="C260" t="s">
        <v>683</v>
      </c>
      <c r="D260" s="110">
        <v>-27</v>
      </c>
      <c r="E260" t="str">
        <f t="shared" si="9"/>
        <v>3</v>
      </c>
      <c r="F260" t="str">
        <f t="shared" si="10"/>
        <v>1.4</v>
      </c>
    </row>
    <row r="261" spans="1:6" x14ac:dyDescent="0.25">
      <c r="A261" s="109">
        <v>4011</v>
      </c>
      <c r="B261" t="s">
        <v>944</v>
      </c>
      <c r="C261" t="s">
        <v>683</v>
      </c>
      <c r="D261" s="110">
        <v>-27</v>
      </c>
      <c r="E261" t="str">
        <f t="shared" si="9"/>
        <v>3</v>
      </c>
      <c r="F261" t="str">
        <f t="shared" si="10"/>
        <v>1.4</v>
      </c>
    </row>
    <row r="262" spans="1:6" x14ac:dyDescent="0.25">
      <c r="A262" s="109">
        <v>4012</v>
      </c>
      <c r="B262" t="s">
        <v>945</v>
      </c>
      <c r="C262" t="s">
        <v>683</v>
      </c>
      <c r="D262" s="110">
        <v>-27</v>
      </c>
      <c r="E262" t="str">
        <f t="shared" si="9"/>
        <v>3</v>
      </c>
      <c r="F262" t="str">
        <f t="shared" si="10"/>
        <v>1.4</v>
      </c>
    </row>
    <row r="263" spans="1:6" x14ac:dyDescent="0.25">
      <c r="A263" s="109">
        <v>4013</v>
      </c>
      <c r="B263" t="s">
        <v>946</v>
      </c>
      <c r="C263" t="s">
        <v>683</v>
      </c>
      <c r="D263" s="110">
        <v>-27</v>
      </c>
      <c r="E263" t="str">
        <f t="shared" si="9"/>
        <v>3</v>
      </c>
      <c r="F263" t="str">
        <f t="shared" si="10"/>
        <v>1.4</v>
      </c>
    </row>
    <row r="264" spans="1:6" x14ac:dyDescent="0.25">
      <c r="A264" s="109">
        <v>4014</v>
      </c>
      <c r="B264" t="s">
        <v>947</v>
      </c>
      <c r="C264" t="s">
        <v>683</v>
      </c>
      <c r="D264" s="110">
        <v>-27</v>
      </c>
      <c r="E264" t="str">
        <f t="shared" si="9"/>
        <v>3</v>
      </c>
      <c r="F264" t="str">
        <f t="shared" si="10"/>
        <v>1.4</v>
      </c>
    </row>
    <row r="265" spans="1:6" x14ac:dyDescent="0.25">
      <c r="A265" s="109">
        <v>4017</v>
      </c>
      <c r="B265" t="s">
        <v>948</v>
      </c>
      <c r="C265" t="s">
        <v>683</v>
      </c>
      <c r="D265" s="110">
        <v>-27</v>
      </c>
      <c r="E265" t="str">
        <f t="shared" si="9"/>
        <v>3</v>
      </c>
      <c r="F265" t="str">
        <f t="shared" si="10"/>
        <v>1.4</v>
      </c>
    </row>
    <row r="266" spans="1:6" x14ac:dyDescent="0.25">
      <c r="A266" s="109">
        <v>4019</v>
      </c>
      <c r="B266" t="s">
        <v>949</v>
      </c>
      <c r="C266" t="s">
        <v>683</v>
      </c>
      <c r="D266" s="110">
        <v>-27</v>
      </c>
      <c r="E266" t="str">
        <f t="shared" si="9"/>
        <v>3</v>
      </c>
      <c r="F266" t="str">
        <f t="shared" si="10"/>
        <v>1.4</v>
      </c>
    </row>
    <row r="267" spans="1:6" x14ac:dyDescent="0.25">
      <c r="A267" s="109">
        <v>4020</v>
      </c>
      <c r="B267" t="s">
        <v>950</v>
      </c>
      <c r="C267" t="s">
        <v>683</v>
      </c>
      <c r="D267" s="110">
        <v>-27</v>
      </c>
      <c r="E267" t="str">
        <f t="shared" si="9"/>
        <v>3</v>
      </c>
      <c r="F267" t="str">
        <f t="shared" si="10"/>
        <v>1.4</v>
      </c>
    </row>
    <row r="268" spans="1:6" x14ac:dyDescent="0.25">
      <c r="A268" s="109">
        <v>4021</v>
      </c>
      <c r="B268" t="s">
        <v>951</v>
      </c>
      <c r="C268" t="s">
        <v>683</v>
      </c>
      <c r="D268" s="110">
        <v>-27</v>
      </c>
      <c r="E268" t="str">
        <f t="shared" si="9"/>
        <v>3</v>
      </c>
      <c r="F268" t="str">
        <f t="shared" si="10"/>
        <v>1.4</v>
      </c>
    </row>
    <row r="269" spans="1:6" x14ac:dyDescent="0.25">
      <c r="A269" s="109">
        <v>4022</v>
      </c>
      <c r="B269" t="s">
        <v>952</v>
      </c>
      <c r="C269" t="s">
        <v>683</v>
      </c>
      <c r="D269" s="110">
        <v>-27</v>
      </c>
      <c r="E269" t="str">
        <f t="shared" si="9"/>
        <v>3</v>
      </c>
      <c r="F269" t="str">
        <f t="shared" si="10"/>
        <v>1.4</v>
      </c>
    </row>
    <row r="270" spans="1:6" x14ac:dyDescent="0.25">
      <c r="A270" s="109">
        <v>4025</v>
      </c>
      <c r="B270" t="s">
        <v>953</v>
      </c>
      <c r="C270" t="s">
        <v>683</v>
      </c>
      <c r="D270" s="110">
        <v>-27</v>
      </c>
      <c r="E270" t="str">
        <f t="shared" si="9"/>
        <v>3</v>
      </c>
      <c r="F270" t="str">
        <f t="shared" si="10"/>
        <v>1.4</v>
      </c>
    </row>
    <row r="271" spans="1:6" x14ac:dyDescent="0.25">
      <c r="A271" s="109">
        <v>4029</v>
      </c>
      <c r="B271" t="s">
        <v>954</v>
      </c>
      <c r="C271" t="s">
        <v>683</v>
      </c>
      <c r="D271" s="110">
        <v>-27</v>
      </c>
      <c r="E271" t="str">
        <f t="shared" si="9"/>
        <v>3</v>
      </c>
      <c r="F271" t="str">
        <f t="shared" si="10"/>
        <v>1.4</v>
      </c>
    </row>
    <row r="272" spans="1:6" x14ac:dyDescent="0.25">
      <c r="A272" s="109">
        <v>4030</v>
      </c>
      <c r="B272" t="s">
        <v>955</v>
      </c>
      <c r="C272" t="s">
        <v>683</v>
      </c>
      <c r="D272" s="110">
        <v>-27</v>
      </c>
      <c r="E272" t="str">
        <f t="shared" si="9"/>
        <v>3</v>
      </c>
      <c r="F272" t="str">
        <f t="shared" si="10"/>
        <v>1.4</v>
      </c>
    </row>
    <row r="273" spans="1:6" x14ac:dyDescent="0.25">
      <c r="A273" s="109">
        <v>4031</v>
      </c>
      <c r="B273" t="s">
        <v>956</v>
      </c>
      <c r="C273" t="s">
        <v>683</v>
      </c>
      <c r="D273" s="110">
        <v>-27</v>
      </c>
      <c r="E273" t="str">
        <f t="shared" si="9"/>
        <v>3</v>
      </c>
      <c r="F273" t="str">
        <f t="shared" si="10"/>
        <v>1.4</v>
      </c>
    </row>
    <row r="274" spans="1:6" x14ac:dyDescent="0.25">
      <c r="A274" s="109">
        <v>4032</v>
      </c>
      <c r="B274" t="s">
        <v>957</v>
      </c>
      <c r="C274" t="s">
        <v>683</v>
      </c>
      <c r="D274" s="110">
        <v>-27</v>
      </c>
      <c r="E274" t="str">
        <f t="shared" si="9"/>
        <v>3</v>
      </c>
      <c r="F274" t="str">
        <f t="shared" si="10"/>
        <v>1.4</v>
      </c>
    </row>
    <row r="275" spans="1:6" x14ac:dyDescent="0.25">
      <c r="A275" s="109">
        <v>4034</v>
      </c>
      <c r="B275" t="s">
        <v>958</v>
      </c>
      <c r="C275" t="s">
        <v>683</v>
      </c>
      <c r="D275" s="110">
        <v>-27</v>
      </c>
      <c r="E275" t="str">
        <f t="shared" si="9"/>
        <v>3</v>
      </c>
      <c r="F275" t="str">
        <f t="shared" si="10"/>
        <v>1.4</v>
      </c>
    </row>
    <row r="276" spans="1:6" x14ac:dyDescent="0.25">
      <c r="A276" s="109">
        <v>4035</v>
      </c>
      <c r="B276" t="s">
        <v>959</v>
      </c>
      <c r="C276" t="s">
        <v>683</v>
      </c>
      <c r="D276" s="110">
        <v>-27</v>
      </c>
      <c r="E276" t="str">
        <f t="shared" si="9"/>
        <v>3</v>
      </c>
      <c r="F276" t="str">
        <f t="shared" si="10"/>
        <v>1.4</v>
      </c>
    </row>
    <row r="277" spans="1:6" x14ac:dyDescent="0.25">
      <c r="A277" s="109">
        <v>4036</v>
      </c>
      <c r="B277" t="s">
        <v>960</v>
      </c>
      <c r="C277" t="s">
        <v>683</v>
      </c>
      <c r="D277" s="110">
        <v>-27</v>
      </c>
      <c r="E277" t="str">
        <f t="shared" si="9"/>
        <v>3</v>
      </c>
      <c r="F277" t="str">
        <f t="shared" si="10"/>
        <v>1.4</v>
      </c>
    </row>
    <row r="278" spans="1:6" x14ac:dyDescent="0.25">
      <c r="A278" s="109">
        <v>4037</v>
      </c>
      <c r="B278" t="s">
        <v>961</v>
      </c>
      <c r="C278" t="s">
        <v>683</v>
      </c>
      <c r="D278" s="110">
        <v>-27</v>
      </c>
      <c r="E278" t="str">
        <f t="shared" ref="E278:E341" si="11">IF(D278&lt;-34,"4",IF(D278&lt;-26,"3",IF(D278&lt;-18,"2",IF(D278&lt;-8,"1","lits"))))</f>
        <v>3</v>
      </c>
      <c r="F278" t="str">
        <f t="shared" si="10"/>
        <v>1.4</v>
      </c>
    </row>
    <row r="279" spans="1:6" x14ac:dyDescent="0.25">
      <c r="A279" s="109">
        <v>4051</v>
      </c>
      <c r="B279" t="s">
        <v>962</v>
      </c>
      <c r="C279" t="s">
        <v>683</v>
      </c>
      <c r="D279" s="110">
        <v>-27</v>
      </c>
      <c r="E279" t="str">
        <f t="shared" si="11"/>
        <v>3</v>
      </c>
      <c r="F279" t="str">
        <f t="shared" si="10"/>
        <v>1.4</v>
      </c>
    </row>
    <row r="280" spans="1:6" x14ac:dyDescent="0.25">
      <c r="A280" s="109">
        <v>4053</v>
      </c>
      <c r="B280" t="s">
        <v>963</v>
      </c>
      <c r="C280" t="s">
        <v>683</v>
      </c>
      <c r="D280" s="110">
        <v>-27</v>
      </c>
      <c r="E280" t="str">
        <f t="shared" si="11"/>
        <v>3</v>
      </c>
      <c r="F280" t="str">
        <f t="shared" si="10"/>
        <v>1.4</v>
      </c>
    </row>
    <row r="281" spans="1:6" x14ac:dyDescent="0.25">
      <c r="A281" s="109">
        <v>4054</v>
      </c>
      <c r="B281" t="s">
        <v>964</v>
      </c>
      <c r="C281" t="s">
        <v>683</v>
      </c>
      <c r="D281" s="110">
        <v>-27</v>
      </c>
      <c r="E281" t="str">
        <f t="shared" si="11"/>
        <v>3</v>
      </c>
      <c r="F281" t="str">
        <f t="shared" si="10"/>
        <v>1.4</v>
      </c>
    </row>
    <row r="282" spans="1:6" x14ac:dyDescent="0.25">
      <c r="A282" s="109">
        <v>4055</v>
      </c>
      <c r="B282" t="s">
        <v>965</v>
      </c>
      <c r="C282" t="s">
        <v>683</v>
      </c>
      <c r="D282" s="110">
        <v>-27</v>
      </c>
      <c r="E282" t="str">
        <f t="shared" si="11"/>
        <v>3</v>
      </c>
      <c r="F282" t="str">
        <f t="shared" si="10"/>
        <v>1.4</v>
      </c>
    </row>
    <row r="283" spans="1:6" x14ac:dyDescent="0.25">
      <c r="A283" s="109">
        <v>4059</v>
      </c>
      <c r="B283" t="s">
        <v>966</v>
      </c>
      <c r="C283" t="s">
        <v>683</v>
      </c>
      <c r="D283" s="110">
        <v>-27</v>
      </c>
      <c r="E283" t="str">
        <f t="shared" si="11"/>
        <v>3</v>
      </c>
      <c r="F283" t="str">
        <f t="shared" si="10"/>
        <v>1.4</v>
      </c>
    </row>
    <row r="284" spans="1:6" x14ac:dyDescent="0.25">
      <c r="A284" s="109">
        <v>4060</v>
      </c>
      <c r="B284" t="s">
        <v>967</v>
      </c>
      <c r="C284" t="s">
        <v>683</v>
      </c>
      <c r="D284" s="110">
        <v>-27</v>
      </c>
      <c r="E284" t="str">
        <f t="shared" si="11"/>
        <v>3</v>
      </c>
      <c r="F284" t="str">
        <f t="shared" si="10"/>
        <v>1.4</v>
      </c>
    </row>
    <row r="285" spans="1:6" x14ac:dyDescent="0.25">
      <c r="A285" s="109">
        <v>4061</v>
      </c>
      <c r="B285" t="s">
        <v>968</v>
      </c>
      <c r="C285" t="s">
        <v>683</v>
      </c>
      <c r="D285" s="110">
        <v>-27</v>
      </c>
      <c r="E285" t="str">
        <f t="shared" si="11"/>
        <v>3</v>
      </c>
      <c r="F285" t="str">
        <f t="shared" si="10"/>
        <v>1.4</v>
      </c>
    </row>
    <row r="286" spans="1:6" x14ac:dyDescent="0.25">
      <c r="A286" s="109">
        <v>4064</v>
      </c>
      <c r="B286" t="s">
        <v>969</v>
      </c>
      <c r="C286" t="s">
        <v>683</v>
      </c>
      <c r="D286" s="110">
        <v>-27</v>
      </c>
      <c r="E286" t="str">
        <f t="shared" si="11"/>
        <v>3</v>
      </c>
      <c r="F286" t="str">
        <f t="shared" si="10"/>
        <v>1.4</v>
      </c>
    </row>
    <row r="287" spans="1:6" x14ac:dyDescent="0.25">
      <c r="A287" s="109">
        <v>4065</v>
      </c>
      <c r="B287" t="s">
        <v>970</v>
      </c>
      <c r="C287" t="s">
        <v>683</v>
      </c>
      <c r="D287" s="110">
        <v>-27</v>
      </c>
      <c r="E287" t="str">
        <f t="shared" si="11"/>
        <v>3</v>
      </c>
      <c r="F287" t="str">
        <f t="shared" si="10"/>
        <v>1.4</v>
      </c>
    </row>
    <row r="288" spans="1:6" x14ac:dyDescent="0.25">
      <c r="A288" s="109">
        <v>4066</v>
      </c>
      <c r="B288" t="s">
        <v>971</v>
      </c>
      <c r="C288" t="s">
        <v>683</v>
      </c>
      <c r="D288" s="110">
        <v>-27</v>
      </c>
      <c r="E288" t="str">
        <f t="shared" si="11"/>
        <v>3</v>
      </c>
      <c r="F288" t="str">
        <f t="shared" si="10"/>
        <v>1.4</v>
      </c>
    </row>
    <row r="289" spans="1:6" x14ac:dyDescent="0.25">
      <c r="A289" s="109">
        <v>4067</v>
      </c>
      <c r="B289" t="s">
        <v>972</v>
      </c>
      <c r="C289" t="s">
        <v>683</v>
      </c>
      <c r="D289" s="110">
        <v>-27</v>
      </c>
      <c r="E289" t="str">
        <f t="shared" si="11"/>
        <v>3</v>
      </c>
      <c r="F289" t="str">
        <f t="shared" si="10"/>
        <v>1.4</v>
      </c>
    </row>
    <row r="290" spans="1:6" x14ac:dyDescent="0.25">
      <c r="A290" s="109">
        <v>4068</v>
      </c>
      <c r="B290" t="s">
        <v>973</v>
      </c>
      <c r="C290" t="s">
        <v>683</v>
      </c>
      <c r="D290" s="110">
        <v>-27</v>
      </c>
      <c r="E290" t="str">
        <f t="shared" si="11"/>
        <v>3</v>
      </c>
      <c r="F290" t="str">
        <f t="shared" si="10"/>
        <v>1.4</v>
      </c>
    </row>
    <row r="291" spans="1:6" x14ac:dyDescent="0.25">
      <c r="A291" s="109">
        <v>4069</v>
      </c>
      <c r="B291" t="s">
        <v>974</v>
      </c>
      <c r="C291" t="s">
        <v>683</v>
      </c>
      <c r="D291" s="110">
        <v>-27</v>
      </c>
      <c r="E291" t="str">
        <f t="shared" si="11"/>
        <v>3</v>
      </c>
      <c r="F291" t="str">
        <f t="shared" si="10"/>
        <v>1.4</v>
      </c>
    </row>
    <row r="292" spans="1:6" x14ac:dyDescent="0.25">
      <c r="A292" s="109">
        <v>4070</v>
      </c>
      <c r="B292" t="s">
        <v>975</v>
      </c>
      <c r="C292" t="s">
        <v>683</v>
      </c>
      <c r="D292" s="110">
        <v>-27</v>
      </c>
      <c r="E292" t="str">
        <f t="shared" si="11"/>
        <v>3</v>
      </c>
      <c r="F292" t="str">
        <f t="shared" si="10"/>
        <v>1.4</v>
      </c>
    </row>
    <row r="293" spans="1:6" x14ac:dyDescent="0.25">
      <c r="A293" s="109">
        <v>4073</v>
      </c>
      <c r="B293" t="s">
        <v>976</v>
      </c>
      <c r="C293" t="s">
        <v>683</v>
      </c>
      <c r="D293" s="110">
        <v>-27</v>
      </c>
      <c r="E293" t="str">
        <f t="shared" si="11"/>
        <v>3</v>
      </c>
      <c r="F293" t="str">
        <f t="shared" si="10"/>
        <v>1.4</v>
      </c>
    </row>
    <row r="294" spans="1:6" x14ac:dyDescent="0.25">
      <c r="A294" s="109">
        <v>4074</v>
      </c>
      <c r="B294" t="s">
        <v>977</v>
      </c>
      <c r="C294" t="s">
        <v>683</v>
      </c>
      <c r="D294" s="110">
        <v>-27</v>
      </c>
      <c r="E294" t="str">
        <f t="shared" si="11"/>
        <v>3</v>
      </c>
      <c r="F294" t="str">
        <f t="shared" si="10"/>
        <v>1.4</v>
      </c>
    </row>
    <row r="295" spans="1:6" x14ac:dyDescent="0.25">
      <c r="A295" s="109">
        <v>4075</v>
      </c>
      <c r="B295" t="s">
        <v>978</v>
      </c>
      <c r="C295" t="s">
        <v>683</v>
      </c>
      <c r="D295" s="110">
        <v>-27</v>
      </c>
      <c r="E295" t="str">
        <f t="shared" si="11"/>
        <v>3</v>
      </c>
      <c r="F295" t="str">
        <f t="shared" si="10"/>
        <v>1.4</v>
      </c>
    </row>
    <row r="296" spans="1:6" x14ac:dyDescent="0.25">
      <c r="A296" s="109">
        <v>4076</v>
      </c>
      <c r="B296" t="s">
        <v>979</v>
      </c>
      <c r="C296" t="s">
        <v>683</v>
      </c>
      <c r="D296" s="110">
        <v>-27</v>
      </c>
      <c r="E296" t="str">
        <f t="shared" si="11"/>
        <v>3</v>
      </c>
      <c r="F296" t="str">
        <f t="shared" si="10"/>
        <v>1.4</v>
      </c>
    </row>
    <row r="297" spans="1:6" x14ac:dyDescent="0.25">
      <c r="A297" s="109">
        <v>4077</v>
      </c>
      <c r="B297" t="s">
        <v>980</v>
      </c>
      <c r="C297" t="s">
        <v>683</v>
      </c>
      <c r="D297" s="110">
        <v>-27</v>
      </c>
      <c r="E297" t="str">
        <f t="shared" si="11"/>
        <v>3</v>
      </c>
      <c r="F297" t="str">
        <f t="shared" si="10"/>
        <v>1.4</v>
      </c>
    </row>
    <row r="298" spans="1:6" x14ac:dyDescent="0.25">
      <c r="A298" s="109">
        <v>4101</v>
      </c>
      <c r="B298" t="s">
        <v>981</v>
      </c>
      <c r="C298" t="s">
        <v>683</v>
      </c>
      <c r="D298" s="110">
        <v>-27</v>
      </c>
      <c r="E298" t="str">
        <f t="shared" si="11"/>
        <v>3</v>
      </c>
      <c r="F298" t="str">
        <f t="shared" si="10"/>
        <v>1.4</v>
      </c>
    </row>
    <row r="299" spans="1:6" x14ac:dyDescent="0.25">
      <c r="A299" s="109">
        <v>4102</v>
      </c>
      <c r="B299" t="s">
        <v>982</v>
      </c>
      <c r="C299" t="s">
        <v>683</v>
      </c>
      <c r="D299" s="110">
        <v>-27</v>
      </c>
      <c r="E299" t="str">
        <f t="shared" si="11"/>
        <v>3</v>
      </c>
      <c r="F299" t="str">
        <f t="shared" si="10"/>
        <v>1.4</v>
      </c>
    </row>
    <row r="300" spans="1:6" x14ac:dyDescent="0.25">
      <c r="A300" s="109">
        <v>4103</v>
      </c>
      <c r="B300" t="s">
        <v>983</v>
      </c>
      <c r="C300" t="s">
        <v>683</v>
      </c>
      <c r="D300" s="110">
        <v>-27</v>
      </c>
      <c r="E300" t="str">
        <f t="shared" si="11"/>
        <v>3</v>
      </c>
      <c r="F300" t="str">
        <f t="shared" si="10"/>
        <v>1.4</v>
      </c>
    </row>
    <row r="301" spans="1:6" x14ac:dyDescent="0.25">
      <c r="A301" s="109">
        <v>4104</v>
      </c>
      <c r="B301" t="s">
        <v>984</v>
      </c>
      <c r="C301" t="s">
        <v>683</v>
      </c>
      <c r="D301" s="110">
        <v>-27</v>
      </c>
      <c r="E301" t="str">
        <f t="shared" si="11"/>
        <v>3</v>
      </c>
      <c r="F301" t="str">
        <f t="shared" si="10"/>
        <v>1.4</v>
      </c>
    </row>
    <row r="302" spans="1:6" x14ac:dyDescent="0.25">
      <c r="A302" s="109">
        <v>4105</v>
      </c>
      <c r="B302" t="s">
        <v>985</v>
      </c>
      <c r="C302" t="s">
        <v>683</v>
      </c>
      <c r="D302" s="110">
        <v>-27</v>
      </c>
      <c r="E302" t="str">
        <f t="shared" si="11"/>
        <v>3</v>
      </c>
      <c r="F302" t="str">
        <f t="shared" si="10"/>
        <v>1.4</v>
      </c>
    </row>
    <row r="303" spans="1:6" x14ac:dyDescent="0.25">
      <c r="A303" s="109">
        <v>4106</v>
      </c>
      <c r="B303" t="s">
        <v>986</v>
      </c>
      <c r="C303" t="s">
        <v>683</v>
      </c>
      <c r="D303" s="110">
        <v>-27</v>
      </c>
      <c r="E303" t="str">
        <f t="shared" si="11"/>
        <v>3</v>
      </c>
      <c r="F303" t="str">
        <f t="shared" si="10"/>
        <v>1.4</v>
      </c>
    </row>
    <row r="304" spans="1:6" x14ac:dyDescent="0.25">
      <c r="A304" s="109">
        <v>4107</v>
      </c>
      <c r="B304" t="s">
        <v>987</v>
      </c>
      <c r="C304" t="s">
        <v>683</v>
      </c>
      <c r="D304" s="110">
        <v>-27</v>
      </c>
      <c r="E304" t="str">
        <f t="shared" si="11"/>
        <v>3</v>
      </c>
      <c r="F304" t="str">
        <f t="shared" si="10"/>
        <v>1.4</v>
      </c>
    </row>
    <row r="305" spans="1:6" x14ac:dyDescent="0.25">
      <c r="A305" s="109">
        <v>4108</v>
      </c>
      <c r="B305" t="s">
        <v>988</v>
      </c>
      <c r="C305" t="s">
        <v>683</v>
      </c>
      <c r="D305" s="110">
        <v>-27</v>
      </c>
      <c r="E305" t="str">
        <f t="shared" si="11"/>
        <v>3</v>
      </c>
      <c r="F305" t="str">
        <f t="shared" si="10"/>
        <v>1.4</v>
      </c>
    </row>
    <row r="306" spans="1:6" x14ac:dyDescent="0.25">
      <c r="A306" s="109">
        <v>4109</v>
      </c>
      <c r="B306" t="s">
        <v>989</v>
      </c>
      <c r="C306" t="s">
        <v>683</v>
      </c>
      <c r="D306" s="110">
        <v>-27</v>
      </c>
      <c r="E306" t="str">
        <f t="shared" si="11"/>
        <v>3</v>
      </c>
      <c r="F306" t="str">
        <f t="shared" si="10"/>
        <v>1.4</v>
      </c>
    </row>
    <row r="307" spans="1:6" x14ac:dyDescent="0.25">
      <c r="A307" s="109">
        <v>4110</v>
      </c>
      <c r="B307" t="s">
        <v>990</v>
      </c>
      <c r="C307" t="s">
        <v>683</v>
      </c>
      <c r="D307" s="110">
        <v>-27</v>
      </c>
      <c r="E307" t="str">
        <f t="shared" si="11"/>
        <v>3</v>
      </c>
      <c r="F307" t="str">
        <f t="shared" si="10"/>
        <v>1.4</v>
      </c>
    </row>
    <row r="308" spans="1:6" x14ac:dyDescent="0.25">
      <c r="A308" s="109">
        <v>4111</v>
      </c>
      <c r="B308" t="s">
        <v>991</v>
      </c>
      <c r="C308" t="s">
        <v>683</v>
      </c>
      <c r="D308" s="110">
        <v>-27</v>
      </c>
      <c r="E308" t="str">
        <f t="shared" si="11"/>
        <v>3</v>
      </c>
      <c r="F308" t="str">
        <f t="shared" si="10"/>
        <v>1.4</v>
      </c>
    </row>
    <row r="309" spans="1:6" x14ac:dyDescent="0.25">
      <c r="A309" s="109">
        <v>4112</v>
      </c>
      <c r="B309" t="s">
        <v>992</v>
      </c>
      <c r="C309" t="s">
        <v>683</v>
      </c>
      <c r="D309" s="110">
        <v>-27</v>
      </c>
      <c r="E309" t="str">
        <f t="shared" si="11"/>
        <v>3</v>
      </c>
      <c r="F309" t="str">
        <f t="shared" si="10"/>
        <v>1.4</v>
      </c>
    </row>
    <row r="310" spans="1:6" x14ac:dyDescent="0.25">
      <c r="A310" s="109">
        <v>4113</v>
      </c>
      <c r="B310" t="s">
        <v>993</v>
      </c>
      <c r="C310" t="s">
        <v>683</v>
      </c>
      <c r="D310" s="110">
        <v>-27</v>
      </c>
      <c r="E310" t="str">
        <f t="shared" si="11"/>
        <v>3</v>
      </c>
      <c r="F310" t="str">
        <f t="shared" si="10"/>
        <v>1.4</v>
      </c>
    </row>
    <row r="311" spans="1:6" x14ac:dyDescent="0.25">
      <c r="A311" s="109">
        <v>4114</v>
      </c>
      <c r="B311" t="s">
        <v>994</v>
      </c>
      <c r="C311" t="s">
        <v>683</v>
      </c>
      <c r="D311" s="110">
        <v>-27</v>
      </c>
      <c r="E311" t="str">
        <f t="shared" si="11"/>
        <v>3</v>
      </c>
      <c r="F311" t="str">
        <f t="shared" si="10"/>
        <v>1.4</v>
      </c>
    </row>
    <row r="312" spans="1:6" x14ac:dyDescent="0.25">
      <c r="A312" s="109">
        <v>4115</v>
      </c>
      <c r="B312" t="s">
        <v>995</v>
      </c>
      <c r="C312" t="s">
        <v>683</v>
      </c>
      <c r="D312" s="110">
        <v>-27</v>
      </c>
      <c r="E312" t="str">
        <f t="shared" si="11"/>
        <v>3</v>
      </c>
      <c r="F312" t="str">
        <f t="shared" si="10"/>
        <v>1.4</v>
      </c>
    </row>
    <row r="313" spans="1:6" x14ac:dyDescent="0.25">
      <c r="A313" s="109">
        <v>4116</v>
      </c>
      <c r="B313" t="s">
        <v>996</v>
      </c>
      <c r="C313" t="s">
        <v>683</v>
      </c>
      <c r="D313" s="111">
        <v>-27</v>
      </c>
      <c r="E313" t="str">
        <f t="shared" si="11"/>
        <v>3</v>
      </c>
      <c r="F313" t="str">
        <f t="shared" si="10"/>
        <v>1.4</v>
      </c>
    </row>
    <row r="314" spans="1:6" x14ac:dyDescent="0.25">
      <c r="A314" s="109">
        <v>4117</v>
      </c>
      <c r="B314" t="s">
        <v>997</v>
      </c>
      <c r="C314" t="s">
        <v>683</v>
      </c>
      <c r="D314" s="110">
        <v>-27</v>
      </c>
      <c r="E314" t="str">
        <f t="shared" si="11"/>
        <v>3</v>
      </c>
      <c r="F314" t="str">
        <f t="shared" si="10"/>
        <v>1.4</v>
      </c>
    </row>
    <row r="315" spans="1:6" x14ac:dyDescent="0.25">
      <c r="A315" s="109">
        <v>4118</v>
      </c>
      <c r="B315" t="s">
        <v>998</v>
      </c>
      <c r="C315" t="s">
        <v>683</v>
      </c>
      <c r="D315" s="110">
        <v>-27</v>
      </c>
      <c r="E315" t="str">
        <f t="shared" si="11"/>
        <v>3</v>
      </c>
      <c r="F315" t="str">
        <f t="shared" si="10"/>
        <v>1.4</v>
      </c>
    </row>
    <row r="316" spans="1:6" x14ac:dyDescent="0.25">
      <c r="A316" s="109">
        <v>4119</v>
      </c>
      <c r="B316" t="s">
        <v>999</v>
      </c>
      <c r="C316" t="s">
        <v>683</v>
      </c>
      <c r="D316" s="110">
        <v>-27</v>
      </c>
      <c r="E316" t="str">
        <f t="shared" si="11"/>
        <v>3</v>
      </c>
      <c r="F316" t="str">
        <f t="shared" si="10"/>
        <v>1.4</v>
      </c>
    </row>
    <row r="317" spans="1:6" x14ac:dyDescent="0.25">
      <c r="A317" s="109">
        <v>4120</v>
      </c>
      <c r="B317" t="s">
        <v>1000</v>
      </c>
      <c r="C317" t="s">
        <v>683</v>
      </c>
      <c r="D317" s="110">
        <v>-27</v>
      </c>
      <c r="E317" t="str">
        <f t="shared" si="11"/>
        <v>3</v>
      </c>
      <c r="F317" t="str">
        <f t="shared" si="10"/>
        <v>1.4</v>
      </c>
    </row>
    <row r="318" spans="1:6" x14ac:dyDescent="0.25">
      <c r="A318" s="109">
        <v>4121</v>
      </c>
      <c r="B318" t="s">
        <v>1001</v>
      </c>
      <c r="C318" t="s">
        <v>683</v>
      </c>
      <c r="D318" s="110">
        <v>-27</v>
      </c>
      <c r="E318" t="str">
        <f t="shared" si="11"/>
        <v>3</v>
      </c>
      <c r="F318" t="str">
        <f t="shared" si="10"/>
        <v>1.4</v>
      </c>
    </row>
    <row r="319" spans="1:6" x14ac:dyDescent="0.25">
      <c r="A319" s="109">
        <v>4122</v>
      </c>
      <c r="B319" t="s">
        <v>1002</v>
      </c>
      <c r="C319" t="s">
        <v>683</v>
      </c>
      <c r="D319" s="110">
        <v>-27</v>
      </c>
      <c r="E319" t="str">
        <f t="shared" si="11"/>
        <v>3</v>
      </c>
      <c r="F319" t="str">
        <f t="shared" si="10"/>
        <v>1.4</v>
      </c>
    </row>
    <row r="320" spans="1:6" x14ac:dyDescent="0.25">
      <c r="A320" s="109">
        <v>4123</v>
      </c>
      <c r="B320" t="s">
        <v>1003</v>
      </c>
      <c r="C320" t="s">
        <v>683</v>
      </c>
      <c r="D320" s="110">
        <v>-27</v>
      </c>
      <c r="E320" t="str">
        <f t="shared" si="11"/>
        <v>3</v>
      </c>
      <c r="F320" t="str">
        <f t="shared" si="10"/>
        <v>1.4</v>
      </c>
    </row>
    <row r="321" spans="1:6" x14ac:dyDescent="0.25">
      <c r="A321" s="109">
        <v>4124</v>
      </c>
      <c r="B321" t="s">
        <v>1004</v>
      </c>
      <c r="C321" t="s">
        <v>683</v>
      </c>
      <c r="D321" s="110">
        <v>-27</v>
      </c>
      <c r="E321" t="str">
        <f t="shared" si="11"/>
        <v>3</v>
      </c>
      <c r="F321" t="str">
        <f t="shared" si="10"/>
        <v>1.4</v>
      </c>
    </row>
    <row r="322" spans="1:6" x14ac:dyDescent="0.25">
      <c r="A322" s="109">
        <v>4125</v>
      </c>
      <c r="B322" t="s">
        <v>1005</v>
      </c>
      <c r="C322" t="s">
        <v>683</v>
      </c>
      <c r="D322" s="110">
        <v>-27</v>
      </c>
      <c r="E322" t="str">
        <f t="shared" si="11"/>
        <v>3</v>
      </c>
      <c r="F322" t="str">
        <f t="shared" si="10"/>
        <v>1.4</v>
      </c>
    </row>
    <row r="323" spans="1:6" x14ac:dyDescent="0.25">
      <c r="A323" s="109">
        <v>4127</v>
      </c>
      <c r="B323" t="s">
        <v>1006</v>
      </c>
      <c r="C323" t="s">
        <v>683</v>
      </c>
      <c r="D323" s="110">
        <v>-27</v>
      </c>
      <c r="E323" t="str">
        <f t="shared" si="11"/>
        <v>3</v>
      </c>
      <c r="F323" t="str">
        <f t="shared" ref="F323:F386" si="12">IF(D323&lt;-34,"1.6",IF(D323&lt;-26,"1.4",IF(D323&lt;-18,"1.2",IF(D323&lt;-8,"1","lits"))))</f>
        <v>1.4</v>
      </c>
    </row>
    <row r="324" spans="1:6" x14ac:dyDescent="0.25">
      <c r="A324" s="109">
        <v>4128</v>
      </c>
      <c r="B324" t="s">
        <v>1007</v>
      </c>
      <c r="C324" t="s">
        <v>683</v>
      </c>
      <c r="D324" s="110">
        <v>-27</v>
      </c>
      <c r="E324" t="str">
        <f t="shared" si="11"/>
        <v>3</v>
      </c>
      <c r="F324" t="str">
        <f t="shared" si="12"/>
        <v>1.4</v>
      </c>
    </row>
    <row r="325" spans="1:6" x14ac:dyDescent="0.25">
      <c r="A325" s="109">
        <v>4129</v>
      </c>
      <c r="B325" t="s">
        <v>1008</v>
      </c>
      <c r="C325" t="s">
        <v>683</v>
      </c>
      <c r="D325" s="110">
        <v>-27</v>
      </c>
      <c r="E325" t="str">
        <f t="shared" si="11"/>
        <v>3</v>
      </c>
      <c r="F325" t="str">
        <f t="shared" si="12"/>
        <v>1.4</v>
      </c>
    </row>
    <row r="326" spans="1:6" x14ac:dyDescent="0.25">
      <c r="A326" s="109">
        <v>4130</v>
      </c>
      <c r="B326" t="s">
        <v>1009</v>
      </c>
      <c r="C326" t="s">
        <v>683</v>
      </c>
      <c r="D326" s="110">
        <v>-27</v>
      </c>
      <c r="E326" t="str">
        <f t="shared" si="11"/>
        <v>3</v>
      </c>
      <c r="F326" t="str">
        <f t="shared" si="12"/>
        <v>1.4</v>
      </c>
    </row>
    <row r="327" spans="1:6" x14ac:dyDescent="0.25">
      <c r="A327" s="109">
        <v>4131</v>
      </c>
      <c r="B327" t="s">
        <v>1010</v>
      </c>
      <c r="C327" t="s">
        <v>683</v>
      </c>
      <c r="D327" s="110">
        <v>-27</v>
      </c>
      <c r="E327" t="str">
        <f t="shared" si="11"/>
        <v>3</v>
      </c>
      <c r="F327" t="str">
        <f t="shared" si="12"/>
        <v>1.4</v>
      </c>
    </row>
    <row r="328" spans="1:6" x14ac:dyDescent="0.25">
      <c r="A328" s="109">
        <v>4132</v>
      </c>
      <c r="B328" t="s">
        <v>1011</v>
      </c>
      <c r="C328" t="s">
        <v>683</v>
      </c>
      <c r="D328" s="110">
        <v>-27</v>
      </c>
      <c r="E328" t="str">
        <f t="shared" si="11"/>
        <v>3</v>
      </c>
      <c r="F328" t="str">
        <f t="shared" si="12"/>
        <v>1.4</v>
      </c>
    </row>
    <row r="329" spans="1:6" x14ac:dyDescent="0.25">
      <c r="A329" s="109">
        <v>4133</v>
      </c>
      <c r="B329" t="s">
        <v>1012</v>
      </c>
      <c r="C329" t="s">
        <v>683</v>
      </c>
      <c r="D329" s="110">
        <v>-27</v>
      </c>
      <c r="E329" t="str">
        <f t="shared" si="11"/>
        <v>3</v>
      </c>
      <c r="F329" t="str">
        <f t="shared" si="12"/>
        <v>1.4</v>
      </c>
    </row>
    <row r="330" spans="1:6" x14ac:dyDescent="0.25">
      <c r="A330" s="109">
        <v>4151</v>
      </c>
      <c r="B330" t="s">
        <v>1013</v>
      </c>
      <c r="C330" t="s">
        <v>683</v>
      </c>
      <c r="D330" s="110">
        <v>-27</v>
      </c>
      <c r="E330" t="str">
        <f t="shared" si="11"/>
        <v>3</v>
      </c>
      <c r="F330" t="str">
        <f t="shared" si="12"/>
        <v>1.4</v>
      </c>
    </row>
    <row r="331" spans="1:6" x14ac:dyDescent="0.25">
      <c r="A331" s="109">
        <v>4152</v>
      </c>
      <c r="B331" t="s">
        <v>1014</v>
      </c>
      <c r="C331" t="s">
        <v>683</v>
      </c>
      <c r="D331" s="110">
        <v>-27</v>
      </c>
      <c r="E331" t="str">
        <f t="shared" si="11"/>
        <v>3</v>
      </c>
      <c r="F331" t="str">
        <f t="shared" si="12"/>
        <v>1.4</v>
      </c>
    </row>
    <row r="332" spans="1:6" x14ac:dyDescent="0.25">
      <c r="A332" s="109">
        <v>4153</v>
      </c>
      <c r="B332" t="s">
        <v>1015</v>
      </c>
      <c r="C332" t="s">
        <v>683</v>
      </c>
      <c r="D332" s="110">
        <v>-27</v>
      </c>
      <c r="E332" t="str">
        <f t="shared" si="11"/>
        <v>3</v>
      </c>
      <c r="F332" t="str">
        <f t="shared" si="12"/>
        <v>1.4</v>
      </c>
    </row>
    <row r="333" spans="1:6" x14ac:dyDescent="0.25">
      <c r="A333" s="109">
        <v>4154</v>
      </c>
      <c r="B333" t="s">
        <v>1016</v>
      </c>
      <c r="C333" t="s">
        <v>683</v>
      </c>
      <c r="D333" s="110">
        <v>-27</v>
      </c>
      <c r="E333" t="str">
        <f t="shared" si="11"/>
        <v>3</v>
      </c>
      <c r="F333" t="str">
        <f t="shared" si="12"/>
        <v>1.4</v>
      </c>
    </row>
    <row r="334" spans="1:6" x14ac:dyDescent="0.25">
      <c r="A334" s="109">
        <v>4155</v>
      </c>
      <c r="B334" t="s">
        <v>1017</v>
      </c>
      <c r="C334" t="s">
        <v>683</v>
      </c>
      <c r="D334" s="110">
        <v>-27</v>
      </c>
      <c r="E334" t="str">
        <f t="shared" si="11"/>
        <v>3</v>
      </c>
      <c r="F334" t="str">
        <f t="shared" si="12"/>
        <v>1.4</v>
      </c>
    </row>
    <row r="335" spans="1:6" x14ac:dyDescent="0.25">
      <c r="A335" s="109">
        <v>4156</v>
      </c>
      <c r="B335" t="s">
        <v>1018</v>
      </c>
      <c r="C335" t="s">
        <v>683</v>
      </c>
      <c r="D335" s="110">
        <v>-27</v>
      </c>
      <c r="E335" t="str">
        <f t="shared" si="11"/>
        <v>3</v>
      </c>
      <c r="F335" t="str">
        <f t="shared" si="12"/>
        <v>1.4</v>
      </c>
    </row>
    <row r="336" spans="1:6" x14ac:dyDescent="0.25">
      <c r="A336" s="109">
        <v>4157</v>
      </c>
      <c r="B336" t="s">
        <v>1019</v>
      </c>
      <c r="C336" t="s">
        <v>683</v>
      </c>
      <c r="D336" s="110">
        <v>-27</v>
      </c>
      <c r="E336" t="str">
        <f t="shared" si="11"/>
        <v>3</v>
      </c>
      <c r="F336" t="str">
        <f t="shared" si="12"/>
        <v>1.4</v>
      </c>
    </row>
    <row r="337" spans="1:6" x14ac:dyDescent="0.25">
      <c r="A337" s="109">
        <v>4158</v>
      </c>
      <c r="B337" t="s">
        <v>1020</v>
      </c>
      <c r="C337" t="s">
        <v>683</v>
      </c>
      <c r="D337" s="110">
        <v>-27</v>
      </c>
      <c r="E337" t="str">
        <f t="shared" si="11"/>
        <v>3</v>
      </c>
      <c r="F337" t="str">
        <f t="shared" si="12"/>
        <v>1.4</v>
      </c>
    </row>
    <row r="338" spans="1:6" x14ac:dyDescent="0.25">
      <c r="A338" s="109">
        <v>4159</v>
      </c>
      <c r="B338" t="s">
        <v>1021</v>
      </c>
      <c r="C338" t="s">
        <v>683</v>
      </c>
      <c r="D338" s="110">
        <v>-27</v>
      </c>
      <c r="E338" t="str">
        <f t="shared" si="11"/>
        <v>3</v>
      </c>
      <c r="F338" t="str">
        <f t="shared" si="12"/>
        <v>1.4</v>
      </c>
    </row>
    <row r="339" spans="1:6" x14ac:dyDescent="0.25">
      <c r="A339" s="109">
        <v>4160</v>
      </c>
      <c r="B339" t="s">
        <v>1022</v>
      </c>
      <c r="C339" t="s">
        <v>683</v>
      </c>
      <c r="D339" s="110">
        <v>-27</v>
      </c>
      <c r="E339" t="str">
        <f t="shared" si="11"/>
        <v>3</v>
      </c>
      <c r="F339" t="str">
        <f t="shared" si="12"/>
        <v>1.4</v>
      </c>
    </row>
    <row r="340" spans="1:6" x14ac:dyDescent="0.25">
      <c r="A340" s="109">
        <v>4161</v>
      </c>
      <c r="B340" t="s">
        <v>1023</v>
      </c>
      <c r="C340" t="s">
        <v>683</v>
      </c>
      <c r="D340" s="110">
        <v>-27</v>
      </c>
      <c r="E340" t="str">
        <f t="shared" si="11"/>
        <v>3</v>
      </c>
      <c r="F340" t="str">
        <f t="shared" si="12"/>
        <v>1.4</v>
      </c>
    </row>
    <row r="341" spans="1:6" x14ac:dyDescent="0.25">
      <c r="A341" s="109">
        <v>4163</v>
      </c>
      <c r="B341" t="s">
        <v>1024</v>
      </c>
      <c r="C341" t="s">
        <v>683</v>
      </c>
      <c r="D341" s="110">
        <v>-27</v>
      </c>
      <c r="E341" t="str">
        <f t="shared" si="11"/>
        <v>3</v>
      </c>
      <c r="F341" t="str">
        <f t="shared" si="12"/>
        <v>1.4</v>
      </c>
    </row>
    <row r="342" spans="1:6" x14ac:dyDescent="0.25">
      <c r="A342" s="109">
        <v>4164</v>
      </c>
      <c r="B342" t="s">
        <v>1025</v>
      </c>
      <c r="C342" t="s">
        <v>683</v>
      </c>
      <c r="D342" s="110">
        <v>-27</v>
      </c>
      <c r="E342" t="str">
        <f t="shared" ref="E342" si="13">IF(D342&lt;-34,"4",IF(D342&lt;-26,"3",IF(D342&lt;-18,"2",IF(D342&lt;-8,"1","lits"))))</f>
        <v>3</v>
      </c>
      <c r="F342" t="str">
        <f t="shared" si="12"/>
        <v>1.4</v>
      </c>
    </row>
    <row r="343" spans="1:6" x14ac:dyDescent="0.25">
      <c r="A343" s="109">
        <v>4165</v>
      </c>
      <c r="B343" t="s">
        <v>1026</v>
      </c>
      <c r="C343" t="s">
        <v>683</v>
      </c>
      <c r="D343" s="110">
        <v>-27</v>
      </c>
      <c r="E343" t="str">
        <f t="shared" ref="E343" si="14">IF(D343&lt;-8,"1",IF(D343&lt;-18,"2",IF(D343&lt;-26,"3",IF(D343&lt;-34,"4","lits"))))</f>
        <v>1</v>
      </c>
      <c r="F343" t="str">
        <f t="shared" si="12"/>
        <v>1.4</v>
      </c>
    </row>
    <row r="344" spans="1:6" x14ac:dyDescent="0.25">
      <c r="A344" s="109">
        <v>4169</v>
      </c>
      <c r="B344" t="s">
        <v>1027</v>
      </c>
      <c r="C344" t="s">
        <v>683</v>
      </c>
      <c r="D344" s="110">
        <v>-27</v>
      </c>
      <c r="E344" t="str">
        <f t="shared" ref="E344:E407" si="15">IF(D344&lt;-34,"4",IF(D344&lt;-26,"3",IF(D344&lt;-18,"2",IF(D344&lt;-8,"1","lits"))))</f>
        <v>3</v>
      </c>
      <c r="F344" t="str">
        <f t="shared" si="12"/>
        <v>1.4</v>
      </c>
    </row>
    <row r="345" spans="1:6" x14ac:dyDescent="0.25">
      <c r="A345" s="109">
        <v>4170</v>
      </c>
      <c r="B345" t="s">
        <v>1028</v>
      </c>
      <c r="C345" t="s">
        <v>683</v>
      </c>
      <c r="D345" s="110">
        <v>-27</v>
      </c>
      <c r="E345" t="str">
        <f t="shared" si="15"/>
        <v>3</v>
      </c>
      <c r="F345" t="str">
        <f t="shared" si="12"/>
        <v>1.4</v>
      </c>
    </row>
    <row r="346" spans="1:6" x14ac:dyDescent="0.25">
      <c r="A346" s="109">
        <v>4171</v>
      </c>
      <c r="B346" t="s">
        <v>1029</v>
      </c>
      <c r="C346" t="s">
        <v>683</v>
      </c>
      <c r="D346" s="110">
        <v>-27</v>
      </c>
      <c r="E346" t="str">
        <f t="shared" si="15"/>
        <v>3</v>
      </c>
      <c r="F346" t="str">
        <f t="shared" si="12"/>
        <v>1.4</v>
      </c>
    </row>
    <row r="347" spans="1:6" x14ac:dyDescent="0.25">
      <c r="A347" s="109">
        <v>4172</v>
      </c>
      <c r="B347" t="s">
        <v>1030</v>
      </c>
      <c r="C347" t="s">
        <v>683</v>
      </c>
      <c r="D347" s="110">
        <v>-27</v>
      </c>
      <c r="E347" t="str">
        <f t="shared" si="15"/>
        <v>3</v>
      </c>
      <c r="F347" t="str">
        <f t="shared" si="12"/>
        <v>1.4</v>
      </c>
    </row>
    <row r="348" spans="1:6" x14ac:dyDescent="0.25">
      <c r="A348" s="109">
        <v>4173</v>
      </c>
      <c r="B348" t="s">
        <v>1031</v>
      </c>
      <c r="C348" t="s">
        <v>683</v>
      </c>
      <c r="D348" s="110">
        <v>-27</v>
      </c>
      <c r="E348" t="str">
        <f t="shared" si="15"/>
        <v>3</v>
      </c>
      <c r="F348" t="str">
        <f t="shared" si="12"/>
        <v>1.4</v>
      </c>
    </row>
    <row r="349" spans="1:6" x14ac:dyDescent="0.25">
      <c r="A349" s="109">
        <v>4174</v>
      </c>
      <c r="B349" t="s">
        <v>1032</v>
      </c>
      <c r="C349" t="s">
        <v>683</v>
      </c>
      <c r="D349" s="110">
        <v>-27</v>
      </c>
      <c r="E349" t="str">
        <f t="shared" si="15"/>
        <v>3</v>
      </c>
      <c r="F349" t="str">
        <f t="shared" si="12"/>
        <v>1.4</v>
      </c>
    </row>
    <row r="350" spans="1:6" x14ac:dyDescent="0.25">
      <c r="A350" s="109">
        <v>4178</v>
      </c>
      <c r="B350" t="s">
        <v>1033</v>
      </c>
      <c r="C350" t="s">
        <v>683</v>
      </c>
      <c r="D350" s="110">
        <v>-27</v>
      </c>
      <c r="E350" t="str">
        <f t="shared" si="15"/>
        <v>3</v>
      </c>
      <c r="F350" t="str">
        <f t="shared" si="12"/>
        <v>1.4</v>
      </c>
    </row>
    <row r="351" spans="1:6" x14ac:dyDescent="0.25">
      <c r="A351" s="109">
        <v>4179</v>
      </c>
      <c r="B351" t="s">
        <v>1034</v>
      </c>
      <c r="C351" t="s">
        <v>683</v>
      </c>
      <c r="D351" s="110">
        <v>-27</v>
      </c>
      <c r="E351" t="str">
        <f t="shared" si="15"/>
        <v>3</v>
      </c>
      <c r="F351" t="str">
        <f t="shared" si="12"/>
        <v>1.4</v>
      </c>
    </row>
    <row r="352" spans="1:6" x14ac:dyDescent="0.25">
      <c r="A352" s="109">
        <v>4183</v>
      </c>
      <c r="B352" t="s">
        <v>1035</v>
      </c>
      <c r="C352" t="s">
        <v>683</v>
      </c>
      <c r="D352" s="110">
        <v>-27</v>
      </c>
      <c r="E352" t="str">
        <f t="shared" si="15"/>
        <v>3</v>
      </c>
      <c r="F352" t="str">
        <f t="shared" si="12"/>
        <v>1.4</v>
      </c>
    </row>
    <row r="353" spans="1:6" x14ac:dyDescent="0.25">
      <c r="A353" s="109">
        <v>4184</v>
      </c>
      <c r="B353" t="s">
        <v>1036</v>
      </c>
      <c r="C353" t="s">
        <v>683</v>
      </c>
      <c r="D353" s="110">
        <v>-27</v>
      </c>
      <c r="E353" t="str">
        <f t="shared" si="15"/>
        <v>3</v>
      </c>
      <c r="F353" t="str">
        <f t="shared" si="12"/>
        <v>1.4</v>
      </c>
    </row>
    <row r="354" spans="1:6" x14ac:dyDescent="0.25">
      <c r="A354" s="109">
        <v>4205</v>
      </c>
      <c r="B354" t="s">
        <v>1037</v>
      </c>
      <c r="C354" t="s">
        <v>683</v>
      </c>
      <c r="D354" s="110">
        <v>-27</v>
      </c>
      <c r="E354" t="str">
        <f t="shared" si="15"/>
        <v>3</v>
      </c>
      <c r="F354" t="str">
        <f t="shared" si="12"/>
        <v>1.4</v>
      </c>
    </row>
    <row r="355" spans="1:6" x14ac:dyDescent="0.25">
      <c r="A355" s="109">
        <v>4207</v>
      </c>
      <c r="B355" t="s">
        <v>1038</v>
      </c>
      <c r="C355" t="s">
        <v>683</v>
      </c>
      <c r="D355" s="110">
        <v>-27</v>
      </c>
      <c r="E355" t="str">
        <f t="shared" si="15"/>
        <v>3</v>
      </c>
      <c r="F355" t="str">
        <f t="shared" si="12"/>
        <v>1.4</v>
      </c>
    </row>
    <row r="356" spans="1:6" x14ac:dyDescent="0.25">
      <c r="A356" s="109">
        <v>4208</v>
      </c>
      <c r="B356" t="s">
        <v>1039</v>
      </c>
      <c r="C356" t="s">
        <v>683</v>
      </c>
      <c r="D356" s="110">
        <v>-27</v>
      </c>
      <c r="E356" t="str">
        <f t="shared" si="15"/>
        <v>3</v>
      </c>
      <c r="F356" t="str">
        <f t="shared" si="12"/>
        <v>1.4</v>
      </c>
    </row>
    <row r="357" spans="1:6" x14ac:dyDescent="0.25">
      <c r="A357" s="109">
        <v>4209</v>
      </c>
      <c r="B357" t="s">
        <v>1040</v>
      </c>
      <c r="C357" t="s">
        <v>683</v>
      </c>
      <c r="D357" s="110">
        <v>-27</v>
      </c>
      <c r="E357" t="str">
        <f t="shared" si="15"/>
        <v>3</v>
      </c>
      <c r="F357" t="str">
        <f t="shared" si="12"/>
        <v>1.4</v>
      </c>
    </row>
    <row r="358" spans="1:6" x14ac:dyDescent="0.25">
      <c r="A358" s="109">
        <v>4210</v>
      </c>
      <c r="B358" t="s">
        <v>1041</v>
      </c>
      <c r="C358" t="s">
        <v>683</v>
      </c>
      <c r="D358" s="110">
        <v>-27</v>
      </c>
      <c r="E358" t="str">
        <f t="shared" si="15"/>
        <v>3</v>
      </c>
      <c r="F358" t="str">
        <f t="shared" si="12"/>
        <v>1.4</v>
      </c>
    </row>
    <row r="359" spans="1:6" x14ac:dyDescent="0.25">
      <c r="A359" s="109">
        <v>4211</v>
      </c>
      <c r="B359" t="s">
        <v>1042</v>
      </c>
      <c r="C359" t="s">
        <v>683</v>
      </c>
      <c r="D359" s="110">
        <v>-27</v>
      </c>
      <c r="E359" t="str">
        <f t="shared" si="15"/>
        <v>3</v>
      </c>
      <c r="F359" t="str">
        <f t="shared" si="12"/>
        <v>1.4</v>
      </c>
    </row>
    <row r="360" spans="1:6" x14ac:dyDescent="0.25">
      <c r="A360" s="109">
        <v>4212</v>
      </c>
      <c r="B360" t="s">
        <v>1043</v>
      </c>
      <c r="C360" t="s">
        <v>683</v>
      </c>
      <c r="D360" s="110">
        <v>-27</v>
      </c>
      <c r="E360" t="str">
        <f t="shared" si="15"/>
        <v>3</v>
      </c>
      <c r="F360" t="str">
        <f t="shared" si="12"/>
        <v>1.4</v>
      </c>
    </row>
    <row r="361" spans="1:6" x14ac:dyDescent="0.25">
      <c r="A361" s="109">
        <v>4214</v>
      </c>
      <c r="B361" t="s">
        <v>1044</v>
      </c>
      <c r="C361" t="s">
        <v>683</v>
      </c>
      <c r="D361" s="110">
        <v>-27</v>
      </c>
      <c r="E361" t="str">
        <f t="shared" si="15"/>
        <v>3</v>
      </c>
      <c r="F361" t="str">
        <f t="shared" si="12"/>
        <v>1.4</v>
      </c>
    </row>
    <row r="362" spans="1:6" x14ac:dyDescent="0.25">
      <c r="A362" s="109">
        <v>4215</v>
      </c>
      <c r="B362" t="s">
        <v>1045</v>
      </c>
      <c r="C362" t="s">
        <v>683</v>
      </c>
      <c r="D362" s="110">
        <v>-27</v>
      </c>
      <c r="E362" t="str">
        <f t="shared" si="15"/>
        <v>3</v>
      </c>
      <c r="F362" t="str">
        <f t="shared" si="12"/>
        <v>1.4</v>
      </c>
    </row>
    <row r="363" spans="1:6" x14ac:dyDescent="0.25">
      <c r="A363" s="109">
        <v>4216</v>
      </c>
      <c r="B363" t="s">
        <v>1046</v>
      </c>
      <c r="C363" t="s">
        <v>683</v>
      </c>
      <c r="D363" s="110">
        <v>-27</v>
      </c>
      <c r="E363" t="str">
        <f t="shared" si="15"/>
        <v>3</v>
      </c>
      <c r="F363" t="str">
        <f t="shared" si="12"/>
        <v>1.4</v>
      </c>
    </row>
    <row r="364" spans="1:6" x14ac:dyDescent="0.25">
      <c r="A364" s="109">
        <v>4217</v>
      </c>
      <c r="B364" t="s">
        <v>1047</v>
      </c>
      <c r="C364" t="s">
        <v>683</v>
      </c>
      <c r="D364" s="110">
        <v>-27</v>
      </c>
      <c r="E364" t="str">
        <f t="shared" si="15"/>
        <v>3</v>
      </c>
      <c r="F364" t="str">
        <f t="shared" si="12"/>
        <v>1.4</v>
      </c>
    </row>
    <row r="365" spans="1:6" x14ac:dyDescent="0.25">
      <c r="A365" s="109">
        <v>4270</v>
      </c>
      <c r="B365" t="s">
        <v>1048</v>
      </c>
      <c r="C365" t="s">
        <v>683</v>
      </c>
      <c r="D365" s="110">
        <v>-27</v>
      </c>
      <c r="E365" t="str">
        <f t="shared" si="15"/>
        <v>3</v>
      </c>
      <c r="F365" t="str">
        <f t="shared" si="12"/>
        <v>1.4</v>
      </c>
    </row>
    <row r="366" spans="1:6" x14ac:dyDescent="0.25">
      <c r="A366" s="109">
        <v>4271</v>
      </c>
      <c r="B366" t="s">
        <v>1049</v>
      </c>
      <c r="C366" t="s">
        <v>683</v>
      </c>
      <c r="D366" s="110">
        <v>-27</v>
      </c>
      <c r="E366" t="str">
        <f t="shared" si="15"/>
        <v>3</v>
      </c>
      <c r="F366" t="str">
        <f t="shared" si="12"/>
        <v>1.4</v>
      </c>
    </row>
    <row r="367" spans="1:6" x14ac:dyDescent="0.25">
      <c r="A367" s="109">
        <v>4272</v>
      </c>
      <c r="B367" t="s">
        <v>1050</v>
      </c>
      <c r="C367" t="s">
        <v>683</v>
      </c>
      <c r="D367" s="110">
        <v>-27</v>
      </c>
      <c r="E367" t="str">
        <f t="shared" si="15"/>
        <v>3</v>
      </c>
      <c r="F367" t="str">
        <f t="shared" si="12"/>
        <v>1.4</v>
      </c>
    </row>
    <row r="368" spans="1:6" x14ac:dyDescent="0.25">
      <c r="A368" s="109">
        <v>4280</v>
      </c>
      <c r="B368" t="s">
        <v>1051</v>
      </c>
      <c r="C368" t="s">
        <v>683</v>
      </c>
      <c r="D368" s="110">
        <v>-27</v>
      </c>
      <c r="E368" t="str">
        <f t="shared" si="15"/>
        <v>3</v>
      </c>
      <c r="F368" t="str">
        <f t="shared" si="12"/>
        <v>1.4</v>
      </c>
    </row>
    <row r="369" spans="1:6" x14ac:dyDescent="0.25">
      <c r="A369" s="109">
        <v>4285</v>
      </c>
      <c r="B369" t="s">
        <v>1052</v>
      </c>
      <c r="C369" t="s">
        <v>683</v>
      </c>
      <c r="D369" s="110">
        <v>-27</v>
      </c>
      <c r="E369" t="str">
        <f t="shared" si="15"/>
        <v>3</v>
      </c>
      <c r="F369" t="str">
        <f t="shared" si="12"/>
        <v>1.4</v>
      </c>
    </row>
    <row r="370" spans="1:6" x14ac:dyDescent="0.25">
      <c r="A370" s="109">
        <v>4300</v>
      </c>
      <c r="B370" t="s">
        <v>1053</v>
      </c>
      <c r="C370" t="s">
        <v>683</v>
      </c>
      <c r="D370" s="110">
        <v>-27</v>
      </c>
      <c r="E370" t="str">
        <f t="shared" si="15"/>
        <v>3</v>
      </c>
      <c r="F370" t="str">
        <f t="shared" si="12"/>
        <v>1.4</v>
      </c>
    </row>
    <row r="371" spans="1:6" x14ac:dyDescent="0.25">
      <c r="A371" s="109">
        <v>4301</v>
      </c>
      <c r="B371" t="s">
        <v>1054</v>
      </c>
      <c r="C371" t="s">
        <v>683</v>
      </c>
      <c r="D371" s="110">
        <v>-27</v>
      </c>
      <c r="E371" t="str">
        <f t="shared" si="15"/>
        <v>3</v>
      </c>
      <c r="F371" t="str">
        <f t="shared" si="12"/>
        <v>1.4</v>
      </c>
    </row>
    <row r="372" spans="1:6" x14ac:dyDescent="0.25">
      <c r="A372" s="109">
        <v>4303</v>
      </c>
      <c r="B372" t="s">
        <v>1055</v>
      </c>
      <c r="C372" t="s">
        <v>683</v>
      </c>
      <c r="D372" s="110">
        <v>-27</v>
      </c>
      <c r="E372" t="str">
        <f t="shared" si="15"/>
        <v>3</v>
      </c>
      <c r="F372" t="str">
        <f t="shared" si="12"/>
        <v>1.4</v>
      </c>
    </row>
    <row r="373" spans="1:6" x14ac:dyDescent="0.25">
      <c r="A373" s="109">
        <v>4304</v>
      </c>
      <c r="B373" t="s">
        <v>1056</v>
      </c>
      <c r="C373" t="s">
        <v>683</v>
      </c>
      <c r="D373" s="110">
        <v>-27</v>
      </c>
      <c r="E373" t="str">
        <f t="shared" si="15"/>
        <v>3</v>
      </c>
      <c r="F373" t="str">
        <f t="shared" si="12"/>
        <v>1.4</v>
      </c>
    </row>
    <row r="374" spans="1:6" x14ac:dyDescent="0.25">
      <c r="A374" s="109">
        <v>4305</v>
      </c>
      <c r="B374" t="s">
        <v>1057</v>
      </c>
      <c r="C374" t="s">
        <v>683</v>
      </c>
      <c r="D374" s="110">
        <v>-27</v>
      </c>
      <c r="E374" t="str">
        <f t="shared" si="15"/>
        <v>3</v>
      </c>
      <c r="F374" t="str">
        <f t="shared" si="12"/>
        <v>1.4</v>
      </c>
    </row>
    <row r="375" spans="1:6" x14ac:dyDescent="0.25">
      <c r="A375" s="109">
        <v>4306</v>
      </c>
      <c r="B375" t="s">
        <v>1058</v>
      </c>
      <c r="C375" t="s">
        <v>683</v>
      </c>
      <c r="D375" s="110">
        <v>-27</v>
      </c>
      <c r="E375" t="str">
        <f t="shared" si="15"/>
        <v>3</v>
      </c>
      <c r="F375" t="str">
        <f t="shared" si="12"/>
        <v>1.4</v>
      </c>
    </row>
    <row r="376" spans="1:6" x14ac:dyDescent="0.25">
      <c r="A376" s="109">
        <v>4307</v>
      </c>
      <c r="B376" t="s">
        <v>1059</v>
      </c>
      <c r="C376" t="s">
        <v>683</v>
      </c>
      <c r="D376" s="110">
        <v>-27</v>
      </c>
      <c r="E376" t="str">
        <f t="shared" si="15"/>
        <v>3</v>
      </c>
      <c r="F376" t="str">
        <f t="shared" si="12"/>
        <v>1.4</v>
      </c>
    </row>
    <row r="377" spans="1:6" x14ac:dyDescent="0.25">
      <c r="A377" s="109">
        <v>4309</v>
      </c>
      <c r="B377" t="s">
        <v>1060</v>
      </c>
      <c r="C377" t="s">
        <v>683</v>
      </c>
      <c r="D377" s="110">
        <v>-27</v>
      </c>
      <c r="E377" t="str">
        <f t="shared" si="15"/>
        <v>3</v>
      </c>
      <c r="F377" t="str">
        <f t="shared" si="12"/>
        <v>1.4</v>
      </c>
    </row>
    <row r="378" spans="1:6" x14ac:dyDescent="0.25">
      <c r="A378" s="109">
        <v>4310</v>
      </c>
      <c r="B378" t="s">
        <v>1061</v>
      </c>
      <c r="C378" t="s">
        <v>683</v>
      </c>
      <c r="D378" s="110">
        <v>-27</v>
      </c>
      <c r="E378" t="str">
        <f t="shared" si="15"/>
        <v>3</v>
      </c>
      <c r="F378" t="str">
        <f t="shared" si="12"/>
        <v>1.4</v>
      </c>
    </row>
    <row r="379" spans="1:6" x14ac:dyDescent="0.25">
      <c r="A379" s="109">
        <v>4311</v>
      </c>
      <c r="B379" t="s">
        <v>1062</v>
      </c>
      <c r="C379" t="s">
        <v>683</v>
      </c>
      <c r="D379" s="110">
        <v>-27</v>
      </c>
      <c r="E379" t="str">
        <f t="shared" si="15"/>
        <v>3</v>
      </c>
      <c r="F379" t="str">
        <f t="shared" si="12"/>
        <v>1.4</v>
      </c>
    </row>
    <row r="380" spans="1:6" x14ac:dyDescent="0.25">
      <c r="A380" s="109">
        <v>4312</v>
      </c>
      <c r="B380" t="s">
        <v>1063</v>
      </c>
      <c r="C380" t="s">
        <v>683</v>
      </c>
      <c r="D380" s="110">
        <v>-27</v>
      </c>
      <c r="E380" t="str">
        <f t="shared" si="15"/>
        <v>3</v>
      </c>
      <c r="F380" t="str">
        <f t="shared" si="12"/>
        <v>1.4</v>
      </c>
    </row>
    <row r="381" spans="1:6" x14ac:dyDescent="0.25">
      <c r="A381" s="109">
        <v>4313</v>
      </c>
      <c r="B381" t="s">
        <v>1064</v>
      </c>
      <c r="C381" t="s">
        <v>683</v>
      </c>
      <c r="D381" s="110">
        <v>-27</v>
      </c>
      <c r="E381" t="str">
        <f t="shared" si="15"/>
        <v>3</v>
      </c>
      <c r="F381" t="str">
        <f t="shared" si="12"/>
        <v>1.4</v>
      </c>
    </row>
    <row r="382" spans="1:6" x14ac:dyDescent="0.25">
      <c r="A382" s="109">
        <v>4340</v>
      </c>
      <c r="B382" t="s">
        <v>1065</v>
      </c>
      <c r="C382" t="s">
        <v>683</v>
      </c>
      <c r="D382" s="110">
        <v>-27</v>
      </c>
      <c r="E382" t="str">
        <f t="shared" si="15"/>
        <v>3</v>
      </c>
      <c r="F382" t="str">
        <f t="shared" si="12"/>
        <v>1.4</v>
      </c>
    </row>
    <row r="383" spans="1:6" x14ac:dyDescent="0.25">
      <c r="A383" s="109">
        <v>4341</v>
      </c>
      <c r="B383" t="s">
        <v>1066</v>
      </c>
      <c r="C383" t="s">
        <v>683</v>
      </c>
      <c r="D383" s="110">
        <v>-27</v>
      </c>
      <c r="E383" t="str">
        <f t="shared" si="15"/>
        <v>3</v>
      </c>
      <c r="F383" t="str">
        <f t="shared" si="12"/>
        <v>1.4</v>
      </c>
    </row>
    <row r="384" spans="1:6" x14ac:dyDescent="0.25">
      <c r="A384" s="109">
        <v>4343</v>
      </c>
      <c r="B384" t="s">
        <v>1067</v>
      </c>
      <c r="C384" t="s">
        <v>683</v>
      </c>
      <c r="D384" s="110">
        <v>-27</v>
      </c>
      <c r="E384" t="str">
        <f t="shared" si="15"/>
        <v>3</v>
      </c>
      <c r="F384" t="str">
        <f t="shared" si="12"/>
        <v>1.4</v>
      </c>
    </row>
    <row r="385" spans="1:6" x14ac:dyDescent="0.25">
      <c r="A385" s="109">
        <v>4344</v>
      </c>
      <c r="B385" t="s">
        <v>1068</v>
      </c>
      <c r="C385" t="s">
        <v>683</v>
      </c>
      <c r="D385" s="110">
        <v>-27</v>
      </c>
      <c r="E385" t="str">
        <f t="shared" si="15"/>
        <v>3</v>
      </c>
      <c r="F385" t="str">
        <f t="shared" si="12"/>
        <v>1.4</v>
      </c>
    </row>
    <row r="386" spans="1:6" x14ac:dyDescent="0.25">
      <c r="A386" s="109">
        <v>4346</v>
      </c>
      <c r="B386" t="s">
        <v>1069</v>
      </c>
      <c r="C386" t="s">
        <v>683</v>
      </c>
      <c r="D386" s="110">
        <v>-27</v>
      </c>
      <c r="E386" t="str">
        <f t="shared" si="15"/>
        <v>3</v>
      </c>
      <c r="F386" t="str">
        <f t="shared" si="12"/>
        <v>1.4</v>
      </c>
    </row>
    <row r="387" spans="1:6" x14ac:dyDescent="0.25">
      <c r="A387" s="109">
        <v>4347</v>
      </c>
      <c r="B387" t="s">
        <v>1070</v>
      </c>
      <c r="C387" t="s">
        <v>683</v>
      </c>
      <c r="D387" s="110">
        <v>-27</v>
      </c>
      <c r="E387" t="str">
        <f t="shared" si="15"/>
        <v>3</v>
      </c>
      <c r="F387" t="str">
        <f t="shared" ref="F387:F450" si="16">IF(D387&lt;-34,"1.6",IF(D387&lt;-26,"1.4",IF(D387&lt;-18,"1.2",IF(D387&lt;-8,"1","lits"))))</f>
        <v>1.4</v>
      </c>
    </row>
    <row r="388" spans="1:6" x14ac:dyDescent="0.25">
      <c r="A388" s="109">
        <v>4354</v>
      </c>
      <c r="B388" t="s">
        <v>1071</v>
      </c>
      <c r="C388" t="s">
        <v>683</v>
      </c>
      <c r="D388" s="110">
        <v>-27</v>
      </c>
      <c r="E388" t="str">
        <f t="shared" si="15"/>
        <v>3</v>
      </c>
      <c r="F388" t="str">
        <f t="shared" si="16"/>
        <v>1.4</v>
      </c>
    </row>
    <row r="389" spans="1:6" x14ac:dyDescent="0.25">
      <c r="A389" s="109">
        <v>4355</v>
      </c>
      <c r="B389" t="s">
        <v>1072</v>
      </c>
      <c r="C389" t="s">
        <v>683</v>
      </c>
      <c r="D389" s="110">
        <v>-27</v>
      </c>
      <c r="E389" t="str">
        <f t="shared" si="15"/>
        <v>3</v>
      </c>
      <c r="F389" t="str">
        <f t="shared" si="16"/>
        <v>1.4</v>
      </c>
    </row>
    <row r="390" spans="1:6" x14ac:dyDescent="0.25">
      <c r="A390" s="109">
        <v>4356</v>
      </c>
      <c r="B390" t="s">
        <v>1073</v>
      </c>
      <c r="C390" t="s">
        <v>683</v>
      </c>
      <c r="D390" s="110">
        <v>-27</v>
      </c>
      <c r="E390" t="str">
        <f t="shared" si="15"/>
        <v>3</v>
      </c>
      <c r="F390" t="str">
        <f t="shared" si="16"/>
        <v>1.4</v>
      </c>
    </row>
    <row r="391" spans="1:6" x14ac:dyDescent="0.25">
      <c r="A391" s="109">
        <v>4358</v>
      </c>
      <c r="B391" t="s">
        <v>1074</v>
      </c>
      <c r="C391" t="s">
        <v>683</v>
      </c>
      <c r="D391" s="110">
        <v>-27</v>
      </c>
      <c r="E391" t="str">
        <f t="shared" si="15"/>
        <v>3</v>
      </c>
      <c r="F391" t="str">
        <f t="shared" si="16"/>
        <v>1.4</v>
      </c>
    </row>
    <row r="392" spans="1:6" x14ac:dyDescent="0.25">
      <c r="A392" s="109">
        <v>4359</v>
      </c>
      <c r="B392" t="s">
        <v>1075</v>
      </c>
      <c r="C392" t="s">
        <v>683</v>
      </c>
      <c r="D392" s="110">
        <v>-27</v>
      </c>
      <c r="E392" t="str">
        <f t="shared" si="15"/>
        <v>3</v>
      </c>
      <c r="F392" t="str">
        <f t="shared" si="16"/>
        <v>1.4</v>
      </c>
    </row>
    <row r="393" spans="1:6" x14ac:dyDescent="0.25">
      <c r="A393" s="109">
        <v>4360</v>
      </c>
      <c r="B393" t="s">
        <v>1076</v>
      </c>
      <c r="C393" t="s">
        <v>683</v>
      </c>
      <c r="D393" s="110">
        <v>-27</v>
      </c>
      <c r="E393" t="str">
        <f t="shared" si="15"/>
        <v>3</v>
      </c>
      <c r="F393" t="str">
        <f t="shared" si="16"/>
        <v>1.4</v>
      </c>
    </row>
    <row r="394" spans="1:6" x14ac:dyDescent="0.25">
      <c r="A394" s="109">
        <v>4361</v>
      </c>
      <c r="B394" t="s">
        <v>1077</v>
      </c>
      <c r="C394" t="s">
        <v>683</v>
      </c>
      <c r="D394" s="110">
        <v>-27</v>
      </c>
      <c r="E394" t="str">
        <f t="shared" si="15"/>
        <v>3</v>
      </c>
      <c r="F394" t="str">
        <f t="shared" si="16"/>
        <v>1.4</v>
      </c>
    </row>
    <row r="395" spans="1:6" x14ac:dyDescent="0.25">
      <c r="A395" s="109">
        <v>4401</v>
      </c>
      <c r="B395" t="s">
        <v>1078</v>
      </c>
      <c r="C395" t="s">
        <v>683</v>
      </c>
      <c r="D395" s="111">
        <v>-27</v>
      </c>
      <c r="E395" t="str">
        <f t="shared" si="15"/>
        <v>3</v>
      </c>
      <c r="F395" t="str">
        <f t="shared" si="16"/>
        <v>1.4</v>
      </c>
    </row>
    <row r="396" spans="1:6" x14ac:dyDescent="0.25">
      <c r="A396" s="109">
        <v>4405</v>
      </c>
      <c r="B396" t="s">
        <v>1079</v>
      </c>
      <c r="C396" t="s">
        <v>683</v>
      </c>
      <c r="D396" s="111">
        <v>-27</v>
      </c>
      <c r="E396" t="str">
        <f t="shared" si="15"/>
        <v>3</v>
      </c>
      <c r="F396" t="str">
        <f t="shared" si="16"/>
        <v>1.4</v>
      </c>
    </row>
    <row r="397" spans="1:6" x14ac:dyDescent="0.25">
      <c r="A397" s="109">
        <v>4406</v>
      </c>
      <c r="B397" t="s">
        <v>1080</v>
      </c>
      <c r="C397" t="s">
        <v>683</v>
      </c>
      <c r="D397" s="110">
        <v>-27</v>
      </c>
      <c r="E397" t="str">
        <f t="shared" si="15"/>
        <v>3</v>
      </c>
      <c r="F397" t="str">
        <f t="shared" si="16"/>
        <v>1.4</v>
      </c>
    </row>
    <row r="398" spans="1:6" x14ac:dyDescent="0.25">
      <c r="A398" s="109">
        <v>4407</v>
      </c>
      <c r="B398" t="s">
        <v>1081</v>
      </c>
      <c r="C398" t="s">
        <v>683</v>
      </c>
      <c r="D398" s="110">
        <v>-27</v>
      </c>
      <c r="E398" t="str">
        <f t="shared" si="15"/>
        <v>3</v>
      </c>
      <c r="F398" t="str">
        <f t="shared" si="16"/>
        <v>1.4</v>
      </c>
    </row>
    <row r="399" spans="1:6" x14ac:dyDescent="0.25">
      <c r="A399" s="109">
        <v>4417</v>
      </c>
      <c r="B399" t="s">
        <v>1082</v>
      </c>
      <c r="C399" t="s">
        <v>683</v>
      </c>
      <c r="D399" s="110">
        <v>-27</v>
      </c>
      <c r="E399" t="str">
        <f t="shared" si="15"/>
        <v>3</v>
      </c>
      <c r="F399" t="str">
        <f t="shared" si="16"/>
        <v>1.4</v>
      </c>
    </row>
    <row r="400" spans="1:6" x14ac:dyDescent="0.25">
      <c r="A400" s="109">
        <v>4421</v>
      </c>
      <c r="B400" t="s">
        <v>1083</v>
      </c>
      <c r="C400" t="s">
        <v>683</v>
      </c>
      <c r="D400" s="110">
        <v>-27</v>
      </c>
      <c r="E400" t="str">
        <f t="shared" si="15"/>
        <v>3</v>
      </c>
      <c r="F400" t="str">
        <f t="shared" si="16"/>
        <v>1.4</v>
      </c>
    </row>
    <row r="401" spans="1:6" x14ac:dyDescent="0.25">
      <c r="A401" s="109">
        <v>4422</v>
      </c>
      <c r="B401" t="s">
        <v>1084</v>
      </c>
      <c r="C401" t="s">
        <v>683</v>
      </c>
      <c r="D401" s="110">
        <v>-27</v>
      </c>
      <c r="E401" t="str">
        <f t="shared" si="15"/>
        <v>3</v>
      </c>
      <c r="F401" t="str">
        <f t="shared" si="16"/>
        <v>1.4</v>
      </c>
    </row>
    <row r="402" spans="1:6" x14ac:dyDescent="0.25">
      <c r="A402" s="109">
        <v>4423</v>
      </c>
      <c r="B402" t="s">
        <v>1085</v>
      </c>
      <c r="C402" t="s">
        <v>683</v>
      </c>
      <c r="D402" s="110">
        <v>-27</v>
      </c>
      <c r="E402" t="str">
        <f t="shared" si="15"/>
        <v>3</v>
      </c>
      <c r="F402" t="str">
        <f t="shared" si="16"/>
        <v>1.4</v>
      </c>
    </row>
    <row r="403" spans="1:6" x14ac:dyDescent="0.25">
      <c r="A403" s="109">
        <v>4471</v>
      </c>
      <c r="B403" t="s">
        <v>1086</v>
      </c>
      <c r="C403" t="s">
        <v>683</v>
      </c>
      <c r="D403" s="110">
        <v>-27</v>
      </c>
      <c r="E403" t="str">
        <f t="shared" si="15"/>
        <v>3</v>
      </c>
      <c r="F403" t="str">
        <f t="shared" si="16"/>
        <v>1.4</v>
      </c>
    </row>
    <row r="404" spans="1:6" x14ac:dyDescent="0.25">
      <c r="A404" s="109">
        <v>4487</v>
      </c>
      <c r="B404" t="s">
        <v>1087</v>
      </c>
      <c r="C404" t="s">
        <v>683</v>
      </c>
      <c r="D404" s="110">
        <v>-27</v>
      </c>
      <c r="E404" t="str">
        <f t="shared" si="15"/>
        <v>3</v>
      </c>
      <c r="F404" t="str">
        <f t="shared" si="16"/>
        <v>1.4</v>
      </c>
    </row>
    <row r="405" spans="1:6" x14ac:dyDescent="0.25">
      <c r="A405" s="109">
        <v>4488</v>
      </c>
      <c r="B405" t="s">
        <v>1088</v>
      </c>
      <c r="C405" t="s">
        <v>683</v>
      </c>
      <c r="D405" s="110">
        <v>-27</v>
      </c>
      <c r="E405" t="str">
        <f t="shared" si="15"/>
        <v>3</v>
      </c>
      <c r="F405" t="str">
        <f t="shared" si="16"/>
        <v>1.4</v>
      </c>
    </row>
    <row r="406" spans="1:6" x14ac:dyDescent="0.25">
      <c r="A406" s="109">
        <v>4489</v>
      </c>
      <c r="B406" t="s">
        <v>1089</v>
      </c>
      <c r="C406" t="s">
        <v>683</v>
      </c>
      <c r="D406" s="110">
        <v>-27</v>
      </c>
      <c r="E406" t="str">
        <f t="shared" si="15"/>
        <v>3</v>
      </c>
      <c r="F406" t="str">
        <f t="shared" si="16"/>
        <v>1.4</v>
      </c>
    </row>
    <row r="407" spans="1:6" x14ac:dyDescent="0.25">
      <c r="A407" s="109">
        <v>4500</v>
      </c>
      <c r="B407" t="s">
        <v>1090</v>
      </c>
      <c r="C407" t="s">
        <v>683</v>
      </c>
      <c r="D407" s="110">
        <v>-27</v>
      </c>
      <c r="E407" t="str">
        <f t="shared" si="15"/>
        <v>3</v>
      </c>
      <c r="F407" t="str">
        <f t="shared" si="16"/>
        <v>1.4</v>
      </c>
    </row>
    <row r="408" spans="1:6" x14ac:dyDescent="0.25">
      <c r="A408" s="109">
        <v>4501</v>
      </c>
      <c r="B408" t="s">
        <v>1091</v>
      </c>
      <c r="C408" t="s">
        <v>683</v>
      </c>
      <c r="D408" s="110">
        <v>-27</v>
      </c>
      <c r="E408" t="str">
        <f t="shared" ref="E408:E471" si="17">IF(D408&lt;-34,"4",IF(D408&lt;-26,"3",IF(D408&lt;-18,"2",IF(D408&lt;-8,"1","lits"))))</f>
        <v>3</v>
      </c>
      <c r="F408" t="str">
        <f t="shared" si="16"/>
        <v>1.4</v>
      </c>
    </row>
    <row r="409" spans="1:6" x14ac:dyDescent="0.25">
      <c r="A409" s="109">
        <v>4502</v>
      </c>
      <c r="B409" t="s">
        <v>1092</v>
      </c>
      <c r="C409" t="s">
        <v>683</v>
      </c>
      <c r="D409" s="110">
        <v>-27</v>
      </c>
      <c r="E409" t="str">
        <f t="shared" si="17"/>
        <v>3</v>
      </c>
      <c r="F409" t="str">
        <f t="shared" si="16"/>
        <v>1.4</v>
      </c>
    </row>
    <row r="410" spans="1:6" x14ac:dyDescent="0.25">
      <c r="A410" s="109">
        <v>4503</v>
      </c>
      <c r="B410" t="s">
        <v>1093</v>
      </c>
      <c r="C410" t="s">
        <v>683</v>
      </c>
      <c r="D410" s="110">
        <v>-27</v>
      </c>
      <c r="E410" t="str">
        <f t="shared" si="17"/>
        <v>3</v>
      </c>
      <c r="F410" t="str">
        <f t="shared" si="16"/>
        <v>1.4</v>
      </c>
    </row>
    <row r="411" spans="1:6" x14ac:dyDescent="0.25">
      <c r="A411" s="109">
        <v>4504</v>
      </c>
      <c r="B411" t="s">
        <v>1094</v>
      </c>
      <c r="C411" t="s">
        <v>683</v>
      </c>
      <c r="D411" s="110">
        <v>-27</v>
      </c>
      <c r="E411" t="str">
        <f t="shared" si="17"/>
        <v>3</v>
      </c>
      <c r="F411" t="str">
        <f t="shared" si="16"/>
        <v>1.4</v>
      </c>
    </row>
    <row r="412" spans="1:6" x14ac:dyDescent="0.25">
      <c r="A412" s="109">
        <v>4505</v>
      </c>
      <c r="B412" t="s">
        <v>1095</v>
      </c>
      <c r="C412" t="s">
        <v>683</v>
      </c>
      <c r="D412" s="110">
        <v>-27</v>
      </c>
      <c r="E412" t="str">
        <f t="shared" si="17"/>
        <v>3</v>
      </c>
      <c r="F412" t="str">
        <f t="shared" si="16"/>
        <v>1.4</v>
      </c>
    </row>
    <row r="413" spans="1:6" x14ac:dyDescent="0.25">
      <c r="A413" s="109">
        <v>4506</v>
      </c>
      <c r="B413" t="s">
        <v>1096</v>
      </c>
      <c r="C413" t="s">
        <v>683</v>
      </c>
      <c r="D413" s="110">
        <v>-27</v>
      </c>
      <c r="E413" t="str">
        <f t="shared" si="17"/>
        <v>3</v>
      </c>
      <c r="F413" t="str">
        <f t="shared" si="16"/>
        <v>1.4</v>
      </c>
    </row>
    <row r="414" spans="1:6" x14ac:dyDescent="0.25">
      <c r="A414" s="109">
        <v>4508</v>
      </c>
      <c r="B414" t="s">
        <v>1097</v>
      </c>
      <c r="C414" t="s">
        <v>683</v>
      </c>
      <c r="D414" s="110">
        <v>-27</v>
      </c>
      <c r="E414" t="str">
        <f t="shared" si="17"/>
        <v>3</v>
      </c>
      <c r="F414" t="str">
        <f t="shared" si="16"/>
        <v>1.4</v>
      </c>
    </row>
    <row r="415" spans="1:6" x14ac:dyDescent="0.25">
      <c r="A415" s="109">
        <v>4510</v>
      </c>
      <c r="B415" t="s">
        <v>1098</v>
      </c>
      <c r="C415" t="s">
        <v>683</v>
      </c>
      <c r="D415" s="110">
        <v>-27</v>
      </c>
      <c r="E415" t="str">
        <f t="shared" si="17"/>
        <v>3</v>
      </c>
      <c r="F415" t="str">
        <f t="shared" si="16"/>
        <v>1.4</v>
      </c>
    </row>
    <row r="416" spans="1:6" x14ac:dyDescent="0.25">
      <c r="A416" s="109">
        <v>4511</v>
      </c>
      <c r="B416" t="s">
        <v>1099</v>
      </c>
      <c r="C416" t="s">
        <v>683</v>
      </c>
      <c r="D416" s="110">
        <v>-27</v>
      </c>
      <c r="E416" t="str">
        <f t="shared" si="17"/>
        <v>3</v>
      </c>
      <c r="F416" t="str">
        <f t="shared" si="16"/>
        <v>1.4</v>
      </c>
    </row>
    <row r="417" spans="1:6" x14ac:dyDescent="0.25">
      <c r="A417" s="109">
        <v>4512</v>
      </c>
      <c r="B417" t="s">
        <v>1100</v>
      </c>
      <c r="C417" t="s">
        <v>683</v>
      </c>
      <c r="D417" s="110">
        <v>-27</v>
      </c>
      <c r="E417" t="str">
        <f t="shared" si="17"/>
        <v>3</v>
      </c>
      <c r="F417" t="str">
        <f t="shared" si="16"/>
        <v>1.4</v>
      </c>
    </row>
    <row r="418" spans="1:6" x14ac:dyDescent="0.25">
      <c r="A418" s="109">
        <v>4516</v>
      </c>
      <c r="B418" t="s">
        <v>1101</v>
      </c>
      <c r="C418" t="s">
        <v>683</v>
      </c>
      <c r="D418" s="110">
        <v>-27</v>
      </c>
      <c r="E418" t="str">
        <f t="shared" si="17"/>
        <v>3</v>
      </c>
      <c r="F418" t="str">
        <f t="shared" si="16"/>
        <v>1.4</v>
      </c>
    </row>
    <row r="419" spans="1:6" x14ac:dyDescent="0.25">
      <c r="A419" s="109">
        <v>4520</v>
      </c>
      <c r="B419" t="s">
        <v>1102</v>
      </c>
      <c r="C419" t="s">
        <v>683</v>
      </c>
      <c r="D419" s="110">
        <v>-27</v>
      </c>
      <c r="E419" t="str">
        <f t="shared" si="17"/>
        <v>3</v>
      </c>
      <c r="F419" t="str">
        <f t="shared" si="16"/>
        <v>1.4</v>
      </c>
    </row>
    <row r="420" spans="1:6" x14ac:dyDescent="0.25">
      <c r="A420" s="109">
        <v>4521</v>
      </c>
      <c r="B420" t="s">
        <v>1103</v>
      </c>
      <c r="C420" t="s">
        <v>683</v>
      </c>
      <c r="D420" s="110">
        <v>-27</v>
      </c>
      <c r="E420" t="str">
        <f t="shared" si="17"/>
        <v>3</v>
      </c>
      <c r="F420" t="str">
        <f t="shared" si="16"/>
        <v>1.4</v>
      </c>
    </row>
    <row r="421" spans="1:6" x14ac:dyDescent="0.25">
      <c r="A421" s="109">
        <v>5724</v>
      </c>
      <c r="B421" t="s">
        <v>1104</v>
      </c>
      <c r="C421" t="s">
        <v>1105</v>
      </c>
      <c r="D421" s="110">
        <v>-27</v>
      </c>
      <c r="E421" t="str">
        <f t="shared" si="17"/>
        <v>3</v>
      </c>
      <c r="F421" t="str">
        <f t="shared" si="16"/>
        <v>1.4</v>
      </c>
    </row>
    <row r="422" spans="1:6" x14ac:dyDescent="0.25">
      <c r="A422" s="109">
        <v>5734</v>
      </c>
      <c r="B422" t="s">
        <v>1106</v>
      </c>
      <c r="C422" t="s">
        <v>1105</v>
      </c>
      <c r="D422" s="110">
        <v>-27</v>
      </c>
      <c r="E422" t="str">
        <f t="shared" si="17"/>
        <v>3</v>
      </c>
      <c r="F422" t="str">
        <f t="shared" si="16"/>
        <v>1.4</v>
      </c>
    </row>
    <row r="423" spans="1:6" x14ac:dyDescent="0.25">
      <c r="A423" s="109">
        <v>6437</v>
      </c>
      <c r="B423" t="s">
        <v>1107</v>
      </c>
      <c r="C423" t="s">
        <v>686</v>
      </c>
      <c r="D423" s="110">
        <v>-27</v>
      </c>
      <c r="E423" t="str">
        <f t="shared" si="17"/>
        <v>3</v>
      </c>
      <c r="F423" t="str">
        <f t="shared" si="16"/>
        <v>1.4</v>
      </c>
    </row>
    <row r="424" spans="1:6" x14ac:dyDescent="0.25">
      <c r="A424" s="109">
        <v>6535</v>
      </c>
      <c r="B424" t="s">
        <v>1108</v>
      </c>
      <c r="C424" t="s">
        <v>686</v>
      </c>
      <c r="D424" s="110">
        <v>-27</v>
      </c>
      <c r="E424" t="str">
        <f t="shared" si="17"/>
        <v>3</v>
      </c>
      <c r="F424" t="str">
        <f t="shared" si="16"/>
        <v>1.4</v>
      </c>
    </row>
    <row r="425" spans="1:6" x14ac:dyDescent="0.25">
      <c r="A425" s="109">
        <v>6536</v>
      </c>
      <c r="B425" t="s">
        <v>1109</v>
      </c>
      <c r="C425" t="s">
        <v>686</v>
      </c>
      <c r="D425" s="110">
        <v>-27</v>
      </c>
      <c r="E425" t="str">
        <f t="shared" si="17"/>
        <v>3</v>
      </c>
      <c r="F425" t="str">
        <f t="shared" si="16"/>
        <v>1.4</v>
      </c>
    </row>
    <row r="426" spans="1:6" x14ac:dyDescent="0.25">
      <c r="A426" s="109">
        <v>6639</v>
      </c>
      <c r="B426" t="s">
        <v>1110</v>
      </c>
      <c r="C426" t="s">
        <v>686</v>
      </c>
      <c r="D426" s="110">
        <v>-27</v>
      </c>
      <c r="E426" t="str">
        <f t="shared" si="17"/>
        <v>3</v>
      </c>
      <c r="F426" t="str">
        <f t="shared" si="16"/>
        <v>1.4</v>
      </c>
    </row>
    <row r="427" spans="1:6" x14ac:dyDescent="0.25">
      <c r="A427" s="109">
        <v>6646</v>
      </c>
      <c r="B427" t="s">
        <v>1111</v>
      </c>
      <c r="C427" t="s">
        <v>686</v>
      </c>
      <c r="D427" s="110">
        <v>-27</v>
      </c>
      <c r="E427" t="str">
        <f t="shared" si="17"/>
        <v>3</v>
      </c>
      <c r="F427" t="str">
        <f t="shared" si="16"/>
        <v>1.4</v>
      </c>
    </row>
    <row r="428" spans="1:6" x14ac:dyDescent="0.25">
      <c r="A428" s="109">
        <v>2405</v>
      </c>
      <c r="B428" t="s">
        <v>1112</v>
      </c>
      <c r="C428" t="s">
        <v>1113</v>
      </c>
      <c r="D428" s="110">
        <v>-28</v>
      </c>
      <c r="E428" t="str">
        <f t="shared" si="17"/>
        <v>3</v>
      </c>
      <c r="F428" t="str">
        <f t="shared" si="16"/>
        <v>1.4</v>
      </c>
    </row>
    <row r="429" spans="1:6" x14ac:dyDescent="0.25">
      <c r="A429" s="109">
        <v>2409</v>
      </c>
      <c r="B429" t="s">
        <v>1114</v>
      </c>
      <c r="C429" t="s">
        <v>1113</v>
      </c>
      <c r="D429" s="110">
        <v>-28</v>
      </c>
      <c r="E429" t="str">
        <f t="shared" si="17"/>
        <v>3</v>
      </c>
      <c r="F429" t="str">
        <f t="shared" si="16"/>
        <v>1.4</v>
      </c>
    </row>
    <row r="430" spans="1:6" x14ac:dyDescent="0.25">
      <c r="A430" s="109">
        <v>2410</v>
      </c>
      <c r="B430" t="s">
        <v>1115</v>
      </c>
      <c r="C430" t="s">
        <v>1113</v>
      </c>
      <c r="D430" s="110">
        <v>-28</v>
      </c>
      <c r="E430" t="str">
        <f t="shared" si="17"/>
        <v>3</v>
      </c>
      <c r="F430" t="str">
        <f t="shared" si="16"/>
        <v>1.4</v>
      </c>
    </row>
    <row r="431" spans="1:6" x14ac:dyDescent="0.25">
      <c r="A431" s="109">
        <v>2471</v>
      </c>
      <c r="B431" t="s">
        <v>1116</v>
      </c>
      <c r="C431" t="s">
        <v>1113</v>
      </c>
      <c r="D431" s="110">
        <v>-28</v>
      </c>
      <c r="E431" t="str">
        <f t="shared" si="17"/>
        <v>3</v>
      </c>
      <c r="F431" t="str">
        <f t="shared" si="16"/>
        <v>1.4</v>
      </c>
    </row>
    <row r="432" spans="1:6" x14ac:dyDescent="0.25">
      <c r="A432" s="109">
        <v>2474</v>
      </c>
      <c r="B432" t="s">
        <v>1117</v>
      </c>
      <c r="C432" t="s">
        <v>1113</v>
      </c>
      <c r="D432" s="110">
        <v>-28</v>
      </c>
      <c r="E432" t="str">
        <f t="shared" si="17"/>
        <v>3</v>
      </c>
      <c r="F432" t="str">
        <f t="shared" si="16"/>
        <v>1.4</v>
      </c>
    </row>
    <row r="433" spans="1:6" x14ac:dyDescent="0.25">
      <c r="A433" s="109">
        <v>2475</v>
      </c>
      <c r="B433" t="s">
        <v>1118</v>
      </c>
      <c r="C433" t="s">
        <v>1113</v>
      </c>
      <c r="D433" s="110">
        <v>-28</v>
      </c>
      <c r="E433" t="str">
        <f t="shared" si="17"/>
        <v>3</v>
      </c>
      <c r="F433" t="str">
        <f t="shared" si="16"/>
        <v>1.4</v>
      </c>
    </row>
    <row r="434" spans="1:6" x14ac:dyDescent="0.25">
      <c r="A434" s="109">
        <v>2476</v>
      </c>
      <c r="B434" t="s">
        <v>1119</v>
      </c>
      <c r="C434" t="s">
        <v>1113</v>
      </c>
      <c r="D434" s="110">
        <v>-28</v>
      </c>
      <c r="E434" t="str">
        <f t="shared" si="17"/>
        <v>3</v>
      </c>
      <c r="F434" t="str">
        <f t="shared" si="16"/>
        <v>1.4</v>
      </c>
    </row>
    <row r="435" spans="1:6" x14ac:dyDescent="0.25">
      <c r="A435" s="109">
        <v>2478</v>
      </c>
      <c r="B435" t="s">
        <v>1120</v>
      </c>
      <c r="C435" t="s">
        <v>1113</v>
      </c>
      <c r="D435" s="110">
        <v>-28</v>
      </c>
      <c r="E435" t="str">
        <f t="shared" si="17"/>
        <v>3</v>
      </c>
      <c r="F435" t="str">
        <f t="shared" si="16"/>
        <v>1.4</v>
      </c>
    </row>
    <row r="436" spans="1:6" x14ac:dyDescent="0.25">
      <c r="A436" s="109">
        <v>2479</v>
      </c>
      <c r="B436" t="s">
        <v>1121</v>
      </c>
      <c r="C436" t="s">
        <v>1113</v>
      </c>
      <c r="D436" s="110">
        <v>-28</v>
      </c>
      <c r="E436" t="str">
        <f t="shared" si="17"/>
        <v>3</v>
      </c>
      <c r="F436" t="str">
        <f t="shared" si="16"/>
        <v>1.4</v>
      </c>
    </row>
    <row r="437" spans="1:6" x14ac:dyDescent="0.25">
      <c r="A437" s="109">
        <v>2480</v>
      </c>
      <c r="B437" t="s">
        <v>1122</v>
      </c>
      <c r="C437" t="s">
        <v>1113</v>
      </c>
      <c r="D437" s="110">
        <v>-28</v>
      </c>
      <c r="E437" t="str">
        <f t="shared" si="17"/>
        <v>3</v>
      </c>
      <c r="F437" t="str">
        <f t="shared" si="16"/>
        <v>1.4</v>
      </c>
    </row>
    <row r="438" spans="1:6" x14ac:dyDescent="0.25">
      <c r="A438" s="109">
        <v>2481</v>
      </c>
      <c r="B438" t="s">
        <v>1123</v>
      </c>
      <c r="C438" t="s">
        <v>1113</v>
      </c>
      <c r="D438" s="110">
        <v>-28</v>
      </c>
      <c r="E438" t="str">
        <f t="shared" si="17"/>
        <v>3</v>
      </c>
      <c r="F438" t="str">
        <f t="shared" si="16"/>
        <v>1.4</v>
      </c>
    </row>
    <row r="439" spans="1:6" x14ac:dyDescent="0.25">
      <c r="A439" s="109">
        <v>2482</v>
      </c>
      <c r="B439" t="s">
        <v>1124</v>
      </c>
      <c r="C439" t="s">
        <v>1113</v>
      </c>
      <c r="D439" s="110">
        <v>-28</v>
      </c>
      <c r="E439" t="str">
        <f t="shared" si="17"/>
        <v>3</v>
      </c>
      <c r="F439" t="str">
        <f t="shared" si="16"/>
        <v>1.4</v>
      </c>
    </row>
    <row r="440" spans="1:6" x14ac:dyDescent="0.25">
      <c r="A440" s="109">
        <v>2483</v>
      </c>
      <c r="B440" t="s">
        <v>1125</v>
      </c>
      <c r="C440" t="s">
        <v>1113</v>
      </c>
      <c r="D440" s="110">
        <v>-28</v>
      </c>
      <c r="E440" t="str">
        <f t="shared" si="17"/>
        <v>3</v>
      </c>
      <c r="F440" t="str">
        <f t="shared" si="16"/>
        <v>1.4</v>
      </c>
    </row>
    <row r="441" spans="1:6" x14ac:dyDescent="0.25">
      <c r="A441" s="109">
        <v>2484</v>
      </c>
      <c r="B441" t="s">
        <v>1126</v>
      </c>
      <c r="C441" t="s">
        <v>1113</v>
      </c>
      <c r="D441" s="110">
        <v>-28</v>
      </c>
      <c r="E441" t="str">
        <f t="shared" si="17"/>
        <v>3</v>
      </c>
      <c r="F441" t="str">
        <f t="shared" si="16"/>
        <v>1.4</v>
      </c>
    </row>
    <row r="442" spans="1:6" x14ac:dyDescent="0.25">
      <c r="A442" s="109">
        <v>2485</v>
      </c>
      <c r="B442" t="s">
        <v>1127</v>
      </c>
      <c r="C442" t="s">
        <v>1113</v>
      </c>
      <c r="D442" s="110">
        <v>-28</v>
      </c>
      <c r="E442" t="str">
        <f t="shared" si="17"/>
        <v>3</v>
      </c>
      <c r="F442" t="str">
        <f t="shared" si="16"/>
        <v>1.4</v>
      </c>
    </row>
    <row r="443" spans="1:6" x14ac:dyDescent="0.25">
      <c r="A443" s="109">
        <v>2486</v>
      </c>
      <c r="B443" t="s">
        <v>1128</v>
      </c>
      <c r="C443" t="s">
        <v>1113</v>
      </c>
      <c r="D443" s="110">
        <v>-28</v>
      </c>
      <c r="E443" t="str">
        <f t="shared" si="17"/>
        <v>3</v>
      </c>
      <c r="F443" t="str">
        <f t="shared" si="16"/>
        <v>1.4</v>
      </c>
    </row>
    <row r="444" spans="1:6" x14ac:dyDescent="0.25">
      <c r="A444" s="109">
        <v>2487</v>
      </c>
      <c r="B444" t="s">
        <v>1129</v>
      </c>
      <c r="C444" t="s">
        <v>1113</v>
      </c>
      <c r="D444" s="110">
        <v>-28</v>
      </c>
      <c r="E444" t="str">
        <f t="shared" si="17"/>
        <v>3</v>
      </c>
      <c r="F444" t="str">
        <f t="shared" si="16"/>
        <v>1.4</v>
      </c>
    </row>
    <row r="445" spans="1:6" x14ac:dyDescent="0.25">
      <c r="A445" s="109">
        <v>2488</v>
      </c>
      <c r="B445" t="s">
        <v>1130</v>
      </c>
      <c r="C445" t="s">
        <v>1113</v>
      </c>
      <c r="D445" s="110">
        <v>-28</v>
      </c>
      <c r="E445" t="str">
        <f t="shared" si="17"/>
        <v>3</v>
      </c>
      <c r="F445" t="str">
        <f t="shared" si="16"/>
        <v>1.4</v>
      </c>
    </row>
    <row r="446" spans="1:6" x14ac:dyDescent="0.25">
      <c r="A446" s="109">
        <v>2489</v>
      </c>
      <c r="B446" t="s">
        <v>1131</v>
      </c>
      <c r="C446" t="s">
        <v>1113</v>
      </c>
      <c r="D446" s="110">
        <v>-28</v>
      </c>
      <c r="E446" t="str">
        <f t="shared" si="17"/>
        <v>3</v>
      </c>
      <c r="F446" t="str">
        <f t="shared" si="16"/>
        <v>1.4</v>
      </c>
    </row>
    <row r="447" spans="1:6" x14ac:dyDescent="0.25">
      <c r="A447" s="109">
        <v>2490</v>
      </c>
      <c r="B447" t="s">
        <v>1132</v>
      </c>
      <c r="C447" t="s">
        <v>1113</v>
      </c>
      <c r="D447" s="110">
        <v>-28</v>
      </c>
      <c r="E447" t="str">
        <f t="shared" si="17"/>
        <v>3</v>
      </c>
      <c r="F447" t="str">
        <f t="shared" si="16"/>
        <v>1.4</v>
      </c>
    </row>
    <row r="448" spans="1:6" x14ac:dyDescent="0.25">
      <c r="A448" s="109">
        <v>4213</v>
      </c>
      <c r="B448" t="s">
        <v>1133</v>
      </c>
      <c r="C448" t="s">
        <v>683</v>
      </c>
      <c r="D448" s="110">
        <v>-28</v>
      </c>
      <c r="E448" t="str">
        <f t="shared" si="17"/>
        <v>3</v>
      </c>
      <c r="F448" t="str">
        <f t="shared" si="16"/>
        <v>1.4</v>
      </c>
    </row>
    <row r="449" spans="1:6" x14ac:dyDescent="0.25">
      <c r="A449" s="109">
        <v>4218</v>
      </c>
      <c r="B449" t="s">
        <v>1134</v>
      </c>
      <c r="C449" t="s">
        <v>683</v>
      </c>
      <c r="D449" s="110">
        <v>-28</v>
      </c>
      <c r="E449" t="str">
        <f t="shared" si="17"/>
        <v>3</v>
      </c>
      <c r="F449" t="str">
        <f t="shared" si="16"/>
        <v>1.4</v>
      </c>
    </row>
    <row r="450" spans="1:6" x14ac:dyDescent="0.25">
      <c r="A450" s="109">
        <v>4219</v>
      </c>
      <c r="B450" t="s">
        <v>1135</v>
      </c>
      <c r="C450" t="s">
        <v>683</v>
      </c>
      <c r="D450" s="110">
        <v>-28</v>
      </c>
      <c r="E450" t="str">
        <f t="shared" si="17"/>
        <v>3</v>
      </c>
      <c r="F450" t="str">
        <f t="shared" si="16"/>
        <v>1.4</v>
      </c>
    </row>
    <row r="451" spans="1:6" x14ac:dyDescent="0.25">
      <c r="A451" s="109">
        <v>4220</v>
      </c>
      <c r="B451" t="s">
        <v>1136</v>
      </c>
      <c r="C451" t="s">
        <v>683</v>
      </c>
      <c r="D451" s="110">
        <v>-28</v>
      </c>
      <c r="E451" t="str">
        <f t="shared" si="17"/>
        <v>3</v>
      </c>
      <c r="F451" t="str">
        <f t="shared" ref="F451:F514" si="18">IF(D451&lt;-34,"1.6",IF(D451&lt;-26,"1.4",IF(D451&lt;-18,"1.2",IF(D451&lt;-8,"1","lits"))))</f>
        <v>1.4</v>
      </c>
    </row>
    <row r="452" spans="1:6" x14ac:dyDescent="0.25">
      <c r="A452" s="109">
        <v>4221</v>
      </c>
      <c r="B452" t="s">
        <v>1137</v>
      </c>
      <c r="C452" t="s">
        <v>683</v>
      </c>
      <c r="D452" s="110">
        <v>-28</v>
      </c>
      <c r="E452" t="str">
        <f t="shared" si="17"/>
        <v>3</v>
      </c>
      <c r="F452" t="str">
        <f t="shared" si="18"/>
        <v>1.4</v>
      </c>
    </row>
    <row r="453" spans="1:6" x14ac:dyDescent="0.25">
      <c r="A453" s="109">
        <v>4223</v>
      </c>
      <c r="B453" t="s">
        <v>1138</v>
      </c>
      <c r="C453" t="s">
        <v>683</v>
      </c>
      <c r="D453" s="110">
        <v>-28</v>
      </c>
      <c r="E453" t="str">
        <f t="shared" si="17"/>
        <v>3</v>
      </c>
      <c r="F453" t="str">
        <f t="shared" si="18"/>
        <v>1.4</v>
      </c>
    </row>
    <row r="454" spans="1:6" x14ac:dyDescent="0.25">
      <c r="A454" s="109">
        <v>4224</v>
      </c>
      <c r="B454" t="s">
        <v>1139</v>
      </c>
      <c r="C454" t="s">
        <v>683</v>
      </c>
      <c r="D454" s="110">
        <v>-28</v>
      </c>
      <c r="E454" t="str">
        <f t="shared" si="17"/>
        <v>3</v>
      </c>
      <c r="F454" t="str">
        <f t="shared" si="18"/>
        <v>1.4</v>
      </c>
    </row>
    <row r="455" spans="1:6" x14ac:dyDescent="0.25">
      <c r="A455" s="109">
        <v>4225</v>
      </c>
      <c r="B455" t="s">
        <v>1140</v>
      </c>
      <c r="C455" t="s">
        <v>683</v>
      </c>
      <c r="D455" s="110">
        <v>-28</v>
      </c>
      <c r="E455" t="str">
        <f t="shared" si="17"/>
        <v>3</v>
      </c>
      <c r="F455" t="str">
        <f t="shared" si="18"/>
        <v>1.4</v>
      </c>
    </row>
    <row r="456" spans="1:6" x14ac:dyDescent="0.25">
      <c r="A456" s="109">
        <v>4226</v>
      </c>
      <c r="B456" t="s">
        <v>1141</v>
      </c>
      <c r="C456" t="s">
        <v>683</v>
      </c>
      <c r="D456" s="110">
        <v>-28</v>
      </c>
      <c r="E456" t="str">
        <f t="shared" si="17"/>
        <v>3</v>
      </c>
      <c r="F456" t="str">
        <f t="shared" si="18"/>
        <v>1.4</v>
      </c>
    </row>
    <row r="457" spans="1:6" x14ac:dyDescent="0.25">
      <c r="A457" s="109">
        <v>4227</v>
      </c>
      <c r="B457" t="s">
        <v>1142</v>
      </c>
      <c r="C457" t="s">
        <v>683</v>
      </c>
      <c r="D457" s="110">
        <v>-28</v>
      </c>
      <c r="E457" t="str">
        <f t="shared" si="17"/>
        <v>3</v>
      </c>
      <c r="F457" t="str">
        <f t="shared" si="18"/>
        <v>1.4</v>
      </c>
    </row>
    <row r="458" spans="1:6" x14ac:dyDescent="0.25">
      <c r="A458" s="109">
        <v>4228</v>
      </c>
      <c r="B458" t="s">
        <v>1143</v>
      </c>
      <c r="C458" t="s">
        <v>683</v>
      </c>
      <c r="D458" s="110">
        <v>-28</v>
      </c>
      <c r="E458" t="str">
        <f t="shared" si="17"/>
        <v>3</v>
      </c>
      <c r="F458" t="str">
        <f t="shared" si="18"/>
        <v>1.4</v>
      </c>
    </row>
    <row r="459" spans="1:6" x14ac:dyDescent="0.25">
      <c r="A459" s="109">
        <v>4229</v>
      </c>
      <c r="B459" t="s">
        <v>1144</v>
      </c>
      <c r="C459" t="s">
        <v>683</v>
      </c>
      <c r="D459" s="110">
        <v>-28</v>
      </c>
      <c r="E459" t="str">
        <f t="shared" si="17"/>
        <v>3</v>
      </c>
      <c r="F459" t="str">
        <f t="shared" si="18"/>
        <v>1.4</v>
      </c>
    </row>
    <row r="460" spans="1:6" x14ac:dyDescent="0.25">
      <c r="A460" s="109">
        <v>4275</v>
      </c>
      <c r="B460" t="s">
        <v>1145</v>
      </c>
      <c r="C460" t="s">
        <v>683</v>
      </c>
      <c r="D460" s="110">
        <v>-28</v>
      </c>
      <c r="E460" t="str">
        <f t="shared" si="17"/>
        <v>3</v>
      </c>
      <c r="F460" t="str">
        <f t="shared" si="18"/>
        <v>1.4</v>
      </c>
    </row>
    <row r="461" spans="1:6" x14ac:dyDescent="0.25">
      <c r="A461" s="109">
        <v>4287</v>
      </c>
      <c r="B461" t="s">
        <v>1146</v>
      </c>
      <c r="C461" t="s">
        <v>683</v>
      </c>
      <c r="D461" s="110">
        <v>-28</v>
      </c>
      <c r="E461" t="str">
        <f t="shared" si="17"/>
        <v>3</v>
      </c>
      <c r="F461" t="str">
        <f t="shared" si="18"/>
        <v>1.4</v>
      </c>
    </row>
    <row r="462" spans="1:6" x14ac:dyDescent="0.25">
      <c r="A462" s="109">
        <v>4357</v>
      </c>
      <c r="B462" t="s">
        <v>1147</v>
      </c>
      <c r="C462" t="s">
        <v>683</v>
      </c>
      <c r="D462" s="110">
        <v>-28</v>
      </c>
      <c r="E462" t="str">
        <f t="shared" si="17"/>
        <v>3</v>
      </c>
      <c r="F462" t="str">
        <f t="shared" si="18"/>
        <v>1.4</v>
      </c>
    </row>
    <row r="463" spans="1:6" x14ac:dyDescent="0.25">
      <c r="A463" s="109">
        <v>4362</v>
      </c>
      <c r="B463" t="s">
        <v>1148</v>
      </c>
      <c r="C463" t="s">
        <v>683</v>
      </c>
      <c r="D463" s="110">
        <v>-28</v>
      </c>
      <c r="E463" t="str">
        <f t="shared" si="17"/>
        <v>3</v>
      </c>
      <c r="F463" t="str">
        <f t="shared" si="18"/>
        <v>1.4</v>
      </c>
    </row>
    <row r="464" spans="1:6" x14ac:dyDescent="0.25">
      <c r="A464" s="109">
        <v>4370</v>
      </c>
      <c r="B464" t="s">
        <v>1149</v>
      </c>
      <c r="C464" t="s">
        <v>683</v>
      </c>
      <c r="D464" s="110">
        <v>-28</v>
      </c>
      <c r="E464" t="str">
        <f t="shared" si="17"/>
        <v>3</v>
      </c>
      <c r="F464" t="str">
        <f t="shared" si="18"/>
        <v>1.4</v>
      </c>
    </row>
    <row r="465" spans="1:6" x14ac:dyDescent="0.25">
      <c r="A465" s="109">
        <v>4373</v>
      </c>
      <c r="B465" t="s">
        <v>1150</v>
      </c>
      <c r="C465" t="s">
        <v>683</v>
      </c>
      <c r="D465" s="110">
        <v>-28</v>
      </c>
      <c r="E465" t="str">
        <f t="shared" si="17"/>
        <v>3</v>
      </c>
      <c r="F465" t="str">
        <f t="shared" si="18"/>
        <v>1.4</v>
      </c>
    </row>
    <row r="466" spans="1:6" x14ac:dyDescent="0.25">
      <c r="A466" s="109">
        <v>4374</v>
      </c>
      <c r="B466" t="s">
        <v>1151</v>
      </c>
      <c r="C466" t="s">
        <v>683</v>
      </c>
      <c r="D466" s="110">
        <v>-28</v>
      </c>
      <c r="E466" t="str">
        <f t="shared" si="17"/>
        <v>3</v>
      </c>
      <c r="F466" t="str">
        <f t="shared" si="18"/>
        <v>1.4</v>
      </c>
    </row>
    <row r="467" spans="1:6" x14ac:dyDescent="0.25">
      <c r="A467" s="109">
        <v>4375</v>
      </c>
      <c r="B467" t="s">
        <v>1152</v>
      </c>
      <c r="C467" t="s">
        <v>683</v>
      </c>
      <c r="D467" s="110">
        <v>-28</v>
      </c>
      <c r="E467" t="str">
        <f t="shared" si="17"/>
        <v>3</v>
      </c>
      <c r="F467" t="str">
        <f t="shared" si="18"/>
        <v>1.4</v>
      </c>
    </row>
    <row r="468" spans="1:6" x14ac:dyDescent="0.25">
      <c r="A468" s="109">
        <v>4377</v>
      </c>
      <c r="B468" t="s">
        <v>1153</v>
      </c>
      <c r="C468" t="s">
        <v>683</v>
      </c>
      <c r="D468" s="110">
        <v>-28</v>
      </c>
      <c r="E468" t="str">
        <f t="shared" si="17"/>
        <v>3</v>
      </c>
      <c r="F468" t="str">
        <f t="shared" si="18"/>
        <v>1.4</v>
      </c>
    </row>
    <row r="469" spans="1:6" x14ac:dyDescent="0.25">
      <c r="A469" s="109">
        <v>4380</v>
      </c>
      <c r="B469" t="s">
        <v>1154</v>
      </c>
      <c r="C469" t="s">
        <v>683</v>
      </c>
      <c r="D469" s="110">
        <v>-28</v>
      </c>
      <c r="E469" t="str">
        <f t="shared" si="17"/>
        <v>3</v>
      </c>
      <c r="F469" t="str">
        <f t="shared" si="18"/>
        <v>1.4</v>
      </c>
    </row>
    <row r="470" spans="1:6" x14ac:dyDescent="0.25">
      <c r="A470" s="109">
        <v>4381</v>
      </c>
      <c r="B470" t="s">
        <v>1155</v>
      </c>
      <c r="C470" t="s">
        <v>683</v>
      </c>
      <c r="D470" s="110">
        <v>-28</v>
      </c>
      <c r="E470" t="str">
        <f t="shared" si="17"/>
        <v>3</v>
      </c>
      <c r="F470" t="str">
        <f t="shared" si="18"/>
        <v>1.4</v>
      </c>
    </row>
    <row r="471" spans="1:6" x14ac:dyDescent="0.25">
      <c r="A471" s="109">
        <v>4382</v>
      </c>
      <c r="B471" t="s">
        <v>1156</v>
      </c>
      <c r="C471" t="s">
        <v>683</v>
      </c>
      <c r="D471" s="110">
        <v>-28</v>
      </c>
      <c r="E471" t="str">
        <f t="shared" si="17"/>
        <v>3</v>
      </c>
      <c r="F471" t="str">
        <f t="shared" si="18"/>
        <v>1.4</v>
      </c>
    </row>
    <row r="472" spans="1:6" x14ac:dyDescent="0.25">
      <c r="A472" s="109">
        <v>4383</v>
      </c>
      <c r="B472" t="s">
        <v>1157</v>
      </c>
      <c r="C472" t="s">
        <v>683</v>
      </c>
      <c r="D472" s="110">
        <v>-28</v>
      </c>
      <c r="E472" t="str">
        <f t="shared" ref="E472:E535" si="19">IF(D472&lt;-34,"4",IF(D472&lt;-26,"3",IF(D472&lt;-18,"2",IF(D472&lt;-8,"1","lits"))))</f>
        <v>3</v>
      </c>
      <c r="F472" t="str">
        <f t="shared" si="18"/>
        <v>1.4</v>
      </c>
    </row>
    <row r="473" spans="1:6" x14ac:dyDescent="0.25">
      <c r="A473" s="109">
        <v>4387</v>
      </c>
      <c r="B473" t="s">
        <v>1158</v>
      </c>
      <c r="C473" t="s">
        <v>683</v>
      </c>
      <c r="D473" s="110">
        <v>-28</v>
      </c>
      <c r="E473" t="str">
        <f t="shared" si="19"/>
        <v>3</v>
      </c>
      <c r="F473" t="str">
        <f t="shared" si="18"/>
        <v>1.4</v>
      </c>
    </row>
    <row r="474" spans="1:6" x14ac:dyDescent="0.25">
      <c r="A474" s="109">
        <v>4388</v>
      </c>
      <c r="B474" t="s">
        <v>1159</v>
      </c>
      <c r="C474" t="s">
        <v>683</v>
      </c>
      <c r="D474" s="110">
        <v>-28</v>
      </c>
      <c r="E474" t="str">
        <f t="shared" si="19"/>
        <v>3</v>
      </c>
      <c r="F474" t="str">
        <f t="shared" si="18"/>
        <v>1.4</v>
      </c>
    </row>
    <row r="475" spans="1:6" x14ac:dyDescent="0.25">
      <c r="A475" s="109">
        <v>4390</v>
      </c>
      <c r="B475" t="s">
        <v>1160</v>
      </c>
      <c r="C475" t="s">
        <v>683</v>
      </c>
      <c r="D475" s="110">
        <v>-28</v>
      </c>
      <c r="E475" t="str">
        <f t="shared" si="19"/>
        <v>3</v>
      </c>
      <c r="F475" t="str">
        <f t="shared" si="18"/>
        <v>1.4</v>
      </c>
    </row>
    <row r="476" spans="1:6" x14ac:dyDescent="0.25">
      <c r="A476" s="109">
        <v>4486</v>
      </c>
      <c r="B476" t="s">
        <v>1161</v>
      </c>
      <c r="C476" t="s">
        <v>683</v>
      </c>
      <c r="D476" s="110">
        <v>-28</v>
      </c>
      <c r="E476" t="str">
        <f t="shared" si="19"/>
        <v>3</v>
      </c>
      <c r="F476" t="str">
        <f t="shared" si="18"/>
        <v>1.4</v>
      </c>
    </row>
    <row r="477" spans="1:6" x14ac:dyDescent="0.25">
      <c r="A477" s="109">
        <v>4490</v>
      </c>
      <c r="B477" t="s">
        <v>1162</v>
      </c>
      <c r="C477" t="s">
        <v>683</v>
      </c>
      <c r="D477" s="110">
        <v>-28</v>
      </c>
      <c r="E477" t="str">
        <f t="shared" si="19"/>
        <v>3</v>
      </c>
      <c r="F477" t="str">
        <f t="shared" si="18"/>
        <v>1.4</v>
      </c>
    </row>
    <row r="478" spans="1:6" x14ac:dyDescent="0.25">
      <c r="A478" s="109">
        <v>4491</v>
      </c>
      <c r="B478" t="s">
        <v>1163</v>
      </c>
      <c r="C478" t="s">
        <v>683</v>
      </c>
      <c r="D478" s="110">
        <v>-28</v>
      </c>
      <c r="E478" t="str">
        <f t="shared" si="19"/>
        <v>3</v>
      </c>
      <c r="F478" t="str">
        <f t="shared" si="18"/>
        <v>1.4</v>
      </c>
    </row>
    <row r="479" spans="1:6" x14ac:dyDescent="0.25">
      <c r="A479" s="109">
        <v>4493</v>
      </c>
      <c r="B479" t="s">
        <v>1164</v>
      </c>
      <c r="C479" t="s">
        <v>683</v>
      </c>
      <c r="D479" s="110">
        <v>-28</v>
      </c>
      <c r="E479" t="str">
        <f t="shared" si="19"/>
        <v>3</v>
      </c>
      <c r="F479" t="str">
        <f t="shared" si="18"/>
        <v>1.4</v>
      </c>
    </row>
    <row r="480" spans="1:6" x14ac:dyDescent="0.25">
      <c r="A480" s="109">
        <v>4494</v>
      </c>
      <c r="B480" t="s">
        <v>1165</v>
      </c>
      <c r="C480" t="s">
        <v>683</v>
      </c>
      <c r="D480" s="110">
        <v>-28</v>
      </c>
      <c r="E480" t="str">
        <f t="shared" si="19"/>
        <v>3</v>
      </c>
      <c r="F480" t="str">
        <f t="shared" si="18"/>
        <v>1.4</v>
      </c>
    </row>
    <row r="481" spans="1:6" x14ac:dyDescent="0.25">
      <c r="A481" s="109">
        <v>4496</v>
      </c>
      <c r="B481" t="s">
        <v>1166</v>
      </c>
      <c r="C481" t="s">
        <v>683</v>
      </c>
      <c r="D481" s="110">
        <v>-28</v>
      </c>
      <c r="E481" t="str">
        <f t="shared" si="19"/>
        <v>3</v>
      </c>
      <c r="F481" t="str">
        <f t="shared" si="18"/>
        <v>1.4</v>
      </c>
    </row>
    <row r="482" spans="1:6" x14ac:dyDescent="0.25">
      <c r="A482" s="109">
        <v>4497</v>
      </c>
      <c r="B482" t="s">
        <v>1167</v>
      </c>
      <c r="C482" t="s">
        <v>683</v>
      </c>
      <c r="D482" s="110">
        <v>-28</v>
      </c>
      <c r="E482" t="str">
        <f t="shared" si="19"/>
        <v>3</v>
      </c>
      <c r="F482" t="str">
        <f t="shared" si="18"/>
        <v>1.4</v>
      </c>
    </row>
    <row r="483" spans="1:6" x14ac:dyDescent="0.25">
      <c r="A483" s="109">
        <v>4498</v>
      </c>
      <c r="B483" t="s">
        <v>1168</v>
      </c>
      <c r="C483" t="s">
        <v>683</v>
      </c>
      <c r="D483" s="110">
        <v>-28</v>
      </c>
      <c r="E483" t="str">
        <f t="shared" si="19"/>
        <v>3</v>
      </c>
      <c r="F483" t="str">
        <f t="shared" si="18"/>
        <v>1.4</v>
      </c>
    </row>
    <row r="484" spans="1:6" x14ac:dyDescent="0.25">
      <c r="A484" s="109">
        <v>5731</v>
      </c>
      <c r="B484" t="s">
        <v>1169</v>
      </c>
      <c r="C484" t="s">
        <v>1105</v>
      </c>
      <c r="D484" s="110">
        <v>-28</v>
      </c>
      <c r="E484" t="str">
        <f t="shared" si="19"/>
        <v>3</v>
      </c>
      <c r="F484" t="str">
        <f t="shared" si="18"/>
        <v>1.4</v>
      </c>
    </row>
    <row r="485" spans="1:6" x14ac:dyDescent="0.25">
      <c r="A485" s="109">
        <v>6440</v>
      </c>
      <c r="B485" t="s">
        <v>1170</v>
      </c>
      <c r="C485" t="s">
        <v>686</v>
      </c>
      <c r="D485" s="110">
        <v>-28</v>
      </c>
      <c r="E485" t="str">
        <f t="shared" si="19"/>
        <v>3</v>
      </c>
      <c r="F485" t="str">
        <f t="shared" si="18"/>
        <v>1.4</v>
      </c>
    </row>
    <row r="486" spans="1:6" x14ac:dyDescent="0.25">
      <c r="A486" s="109">
        <v>6530</v>
      </c>
      <c r="B486" t="s">
        <v>1171</v>
      </c>
      <c r="C486" t="s">
        <v>686</v>
      </c>
      <c r="D486" s="110">
        <v>-28</v>
      </c>
      <c r="E486" t="str">
        <f t="shared" si="19"/>
        <v>3</v>
      </c>
      <c r="F486" t="str">
        <f t="shared" si="18"/>
        <v>1.4</v>
      </c>
    </row>
    <row r="487" spans="1:6" x14ac:dyDescent="0.25">
      <c r="A487" s="109">
        <v>6532</v>
      </c>
      <c r="B487" t="s">
        <v>1172</v>
      </c>
      <c r="C487" t="s">
        <v>686</v>
      </c>
      <c r="D487" s="110">
        <v>-28</v>
      </c>
      <c r="E487" t="str">
        <f t="shared" si="19"/>
        <v>3</v>
      </c>
      <c r="F487" t="str">
        <f t="shared" si="18"/>
        <v>1.4</v>
      </c>
    </row>
    <row r="488" spans="1:6" x14ac:dyDescent="0.25">
      <c r="A488" s="109">
        <v>6630</v>
      </c>
      <c r="B488" t="s">
        <v>1173</v>
      </c>
      <c r="C488" t="s">
        <v>686</v>
      </c>
      <c r="D488" s="110">
        <v>-28</v>
      </c>
      <c r="E488" t="str">
        <f t="shared" si="19"/>
        <v>3</v>
      </c>
      <c r="F488" t="str">
        <f t="shared" si="18"/>
        <v>1.4</v>
      </c>
    </row>
    <row r="489" spans="1:6" x14ac:dyDescent="0.25">
      <c r="A489" s="109">
        <v>6635</v>
      </c>
      <c r="B489" t="s">
        <v>1174</v>
      </c>
      <c r="C489" t="s">
        <v>686</v>
      </c>
      <c r="D489" s="110">
        <v>-28</v>
      </c>
      <c r="E489" t="str">
        <f t="shared" si="19"/>
        <v>3</v>
      </c>
      <c r="F489" t="str">
        <f t="shared" si="18"/>
        <v>1.4</v>
      </c>
    </row>
    <row r="490" spans="1:6" x14ac:dyDescent="0.25">
      <c r="A490" s="109">
        <v>6638</v>
      </c>
      <c r="B490" t="s">
        <v>1175</v>
      </c>
      <c r="C490" t="s">
        <v>686</v>
      </c>
      <c r="D490" s="110">
        <v>-28</v>
      </c>
      <c r="E490" t="str">
        <f t="shared" si="19"/>
        <v>3</v>
      </c>
      <c r="F490" t="str">
        <f t="shared" si="18"/>
        <v>1.4</v>
      </c>
    </row>
    <row r="491" spans="1:6" x14ac:dyDescent="0.25">
      <c r="A491" s="109">
        <v>1363</v>
      </c>
      <c r="B491" t="s">
        <v>1176</v>
      </c>
      <c r="C491" t="s">
        <v>1113</v>
      </c>
      <c r="D491" s="111">
        <v>-29</v>
      </c>
      <c r="E491" t="str">
        <f t="shared" si="19"/>
        <v>3</v>
      </c>
      <c r="F491" t="str">
        <f t="shared" si="18"/>
        <v>1.4</v>
      </c>
    </row>
    <row r="492" spans="1:6" x14ac:dyDescent="0.25">
      <c r="A492" s="109">
        <v>2360</v>
      </c>
      <c r="B492" t="s">
        <v>1177</v>
      </c>
      <c r="C492" t="s">
        <v>1113</v>
      </c>
      <c r="D492" s="110">
        <v>-29</v>
      </c>
      <c r="E492" t="str">
        <f t="shared" si="19"/>
        <v>3</v>
      </c>
      <c r="F492" t="str">
        <f t="shared" si="18"/>
        <v>1.4</v>
      </c>
    </row>
    <row r="493" spans="1:6" x14ac:dyDescent="0.25">
      <c r="A493" s="109">
        <v>2361</v>
      </c>
      <c r="B493" t="s">
        <v>1178</v>
      </c>
      <c r="C493" t="s">
        <v>1113</v>
      </c>
      <c r="D493" s="110">
        <v>-29</v>
      </c>
      <c r="E493" t="str">
        <f t="shared" si="19"/>
        <v>3</v>
      </c>
      <c r="F493" t="str">
        <f t="shared" si="18"/>
        <v>1.4</v>
      </c>
    </row>
    <row r="494" spans="1:6" x14ac:dyDescent="0.25">
      <c r="A494" s="109">
        <v>2370</v>
      </c>
      <c r="B494" t="s">
        <v>1179</v>
      </c>
      <c r="C494" t="s">
        <v>1113</v>
      </c>
      <c r="D494" s="110">
        <v>-29</v>
      </c>
      <c r="E494" t="str">
        <f t="shared" si="19"/>
        <v>3</v>
      </c>
      <c r="F494" t="str">
        <f t="shared" si="18"/>
        <v>1.4</v>
      </c>
    </row>
    <row r="495" spans="1:6" x14ac:dyDescent="0.25">
      <c r="A495" s="109">
        <v>2371</v>
      </c>
      <c r="B495" t="s">
        <v>1180</v>
      </c>
      <c r="C495" t="s">
        <v>1113</v>
      </c>
      <c r="D495" s="110">
        <v>-29</v>
      </c>
      <c r="E495" t="str">
        <f t="shared" si="19"/>
        <v>3</v>
      </c>
      <c r="F495" t="str">
        <f t="shared" si="18"/>
        <v>1.4</v>
      </c>
    </row>
    <row r="496" spans="1:6" x14ac:dyDescent="0.25">
      <c r="A496" s="109">
        <v>2372</v>
      </c>
      <c r="B496" t="s">
        <v>1181</v>
      </c>
      <c r="C496" t="s">
        <v>1113</v>
      </c>
      <c r="D496" s="110">
        <v>-29</v>
      </c>
      <c r="E496" t="str">
        <f t="shared" si="19"/>
        <v>3</v>
      </c>
      <c r="F496" t="str">
        <f t="shared" si="18"/>
        <v>1.4</v>
      </c>
    </row>
    <row r="497" spans="1:6" x14ac:dyDescent="0.25">
      <c r="A497" s="109">
        <v>2387</v>
      </c>
      <c r="B497" t="s">
        <v>1182</v>
      </c>
      <c r="C497" t="s">
        <v>1113</v>
      </c>
      <c r="D497" s="110">
        <v>-29</v>
      </c>
      <c r="E497" t="str">
        <f t="shared" si="19"/>
        <v>3</v>
      </c>
      <c r="F497" t="str">
        <f t="shared" si="18"/>
        <v>1.4</v>
      </c>
    </row>
    <row r="498" spans="1:6" x14ac:dyDescent="0.25">
      <c r="A498" s="109">
        <v>2397</v>
      </c>
      <c r="B498" t="s">
        <v>1183</v>
      </c>
      <c r="C498" t="s">
        <v>1113</v>
      </c>
      <c r="D498" s="110">
        <v>-29</v>
      </c>
      <c r="E498" t="str">
        <f t="shared" si="19"/>
        <v>3</v>
      </c>
      <c r="F498" t="str">
        <f t="shared" si="18"/>
        <v>1.4</v>
      </c>
    </row>
    <row r="499" spans="1:6" x14ac:dyDescent="0.25">
      <c r="A499" s="109">
        <v>2398</v>
      </c>
      <c r="B499" t="s">
        <v>1184</v>
      </c>
      <c r="C499" t="s">
        <v>1113</v>
      </c>
      <c r="D499" s="110">
        <v>-29</v>
      </c>
      <c r="E499" t="str">
        <f t="shared" si="19"/>
        <v>3</v>
      </c>
      <c r="F499" t="str">
        <f t="shared" si="18"/>
        <v>1.4</v>
      </c>
    </row>
    <row r="500" spans="1:6" x14ac:dyDescent="0.25">
      <c r="A500" s="109">
        <v>2399</v>
      </c>
      <c r="B500" t="s">
        <v>1185</v>
      </c>
      <c r="C500" t="s">
        <v>1113</v>
      </c>
      <c r="D500" s="110">
        <v>-29</v>
      </c>
      <c r="E500" t="str">
        <f t="shared" si="19"/>
        <v>3</v>
      </c>
      <c r="F500" t="str">
        <f t="shared" si="18"/>
        <v>1.4</v>
      </c>
    </row>
    <row r="501" spans="1:6" x14ac:dyDescent="0.25">
      <c r="A501" s="109">
        <v>2400</v>
      </c>
      <c r="B501" t="s">
        <v>1186</v>
      </c>
      <c r="C501" t="s">
        <v>1113</v>
      </c>
      <c r="D501" s="110">
        <v>-29</v>
      </c>
      <c r="E501" t="str">
        <f t="shared" si="19"/>
        <v>3</v>
      </c>
      <c r="F501" t="str">
        <f t="shared" si="18"/>
        <v>1.4</v>
      </c>
    </row>
    <row r="502" spans="1:6" x14ac:dyDescent="0.25">
      <c r="A502" s="109">
        <v>2401</v>
      </c>
      <c r="B502" t="s">
        <v>1187</v>
      </c>
      <c r="C502" t="s">
        <v>1113</v>
      </c>
      <c r="D502" s="110">
        <v>-29</v>
      </c>
      <c r="E502" t="str">
        <f t="shared" si="19"/>
        <v>3</v>
      </c>
      <c r="F502" t="str">
        <f t="shared" si="18"/>
        <v>1.4</v>
      </c>
    </row>
    <row r="503" spans="1:6" x14ac:dyDescent="0.25">
      <c r="A503" s="109">
        <v>2402</v>
      </c>
      <c r="B503" t="s">
        <v>1188</v>
      </c>
      <c r="C503" t="s">
        <v>1113</v>
      </c>
      <c r="D503" s="110">
        <v>-29</v>
      </c>
      <c r="E503" t="str">
        <f t="shared" si="19"/>
        <v>3</v>
      </c>
      <c r="F503" t="str">
        <f t="shared" si="18"/>
        <v>1.4</v>
      </c>
    </row>
    <row r="504" spans="1:6" x14ac:dyDescent="0.25">
      <c r="A504" s="109">
        <v>2403</v>
      </c>
      <c r="B504" t="s">
        <v>1189</v>
      </c>
      <c r="C504" t="s">
        <v>1113</v>
      </c>
      <c r="D504" s="110">
        <v>-29</v>
      </c>
      <c r="E504" t="str">
        <f t="shared" si="19"/>
        <v>3</v>
      </c>
      <c r="F504" t="str">
        <f t="shared" si="18"/>
        <v>1.4</v>
      </c>
    </row>
    <row r="505" spans="1:6" x14ac:dyDescent="0.25">
      <c r="A505" s="109">
        <v>2404</v>
      </c>
      <c r="B505" t="s">
        <v>1190</v>
      </c>
      <c r="C505" t="s">
        <v>1113</v>
      </c>
      <c r="D505" s="110">
        <v>-29</v>
      </c>
      <c r="E505" t="str">
        <f t="shared" si="19"/>
        <v>3</v>
      </c>
      <c r="F505" t="str">
        <f t="shared" si="18"/>
        <v>1.4</v>
      </c>
    </row>
    <row r="506" spans="1:6" x14ac:dyDescent="0.25">
      <c r="A506" s="109">
        <v>2406</v>
      </c>
      <c r="B506" t="s">
        <v>1191</v>
      </c>
      <c r="C506" t="s">
        <v>1113</v>
      </c>
      <c r="D506" s="110">
        <v>-29</v>
      </c>
      <c r="E506" t="str">
        <f t="shared" si="19"/>
        <v>3</v>
      </c>
      <c r="F506" t="str">
        <f t="shared" si="18"/>
        <v>1.4</v>
      </c>
    </row>
    <row r="507" spans="1:6" x14ac:dyDescent="0.25">
      <c r="A507" s="109">
        <v>2408</v>
      </c>
      <c r="B507" t="s">
        <v>1192</v>
      </c>
      <c r="C507" t="s">
        <v>1113</v>
      </c>
      <c r="D507" s="110">
        <v>-29</v>
      </c>
      <c r="E507" t="str">
        <f t="shared" si="19"/>
        <v>3</v>
      </c>
      <c r="F507" t="str">
        <f t="shared" si="18"/>
        <v>1.4</v>
      </c>
    </row>
    <row r="508" spans="1:6" x14ac:dyDescent="0.25">
      <c r="A508" s="109">
        <v>2411</v>
      </c>
      <c r="B508" t="s">
        <v>1193</v>
      </c>
      <c r="C508" t="s">
        <v>1113</v>
      </c>
      <c r="D508" s="110">
        <v>-29</v>
      </c>
      <c r="E508" t="str">
        <f t="shared" si="19"/>
        <v>3</v>
      </c>
      <c r="F508" t="str">
        <f t="shared" si="18"/>
        <v>1.4</v>
      </c>
    </row>
    <row r="509" spans="1:6" x14ac:dyDescent="0.25">
      <c r="A509" s="109">
        <v>2460</v>
      </c>
      <c r="B509" t="s">
        <v>1194</v>
      </c>
      <c r="C509" t="s">
        <v>1113</v>
      </c>
      <c r="D509" s="110">
        <v>-29</v>
      </c>
      <c r="E509" t="str">
        <f t="shared" si="19"/>
        <v>3</v>
      </c>
      <c r="F509" t="str">
        <f t="shared" si="18"/>
        <v>1.4</v>
      </c>
    </row>
    <row r="510" spans="1:6" x14ac:dyDescent="0.25">
      <c r="A510" s="109">
        <v>2462</v>
      </c>
      <c r="B510" t="s">
        <v>1195</v>
      </c>
      <c r="C510" t="s">
        <v>1113</v>
      </c>
      <c r="D510" s="110">
        <v>-29</v>
      </c>
      <c r="E510" t="str">
        <f t="shared" si="19"/>
        <v>3</v>
      </c>
      <c r="F510" t="str">
        <f t="shared" si="18"/>
        <v>1.4</v>
      </c>
    </row>
    <row r="511" spans="1:6" x14ac:dyDescent="0.25">
      <c r="A511" s="109">
        <v>2463</v>
      </c>
      <c r="B511" t="s">
        <v>1196</v>
      </c>
      <c r="C511" t="s">
        <v>1113</v>
      </c>
      <c r="D511" s="110">
        <v>-29</v>
      </c>
      <c r="E511" t="str">
        <f t="shared" si="19"/>
        <v>3</v>
      </c>
      <c r="F511" t="str">
        <f t="shared" si="18"/>
        <v>1.4</v>
      </c>
    </row>
    <row r="512" spans="1:6" x14ac:dyDescent="0.25">
      <c r="A512" s="109">
        <v>2464</v>
      </c>
      <c r="B512" t="s">
        <v>1197</v>
      </c>
      <c r="C512" t="s">
        <v>1113</v>
      </c>
      <c r="D512" s="110">
        <v>-29</v>
      </c>
      <c r="E512" t="str">
        <f t="shared" si="19"/>
        <v>3</v>
      </c>
      <c r="F512" t="str">
        <f t="shared" si="18"/>
        <v>1.4</v>
      </c>
    </row>
    <row r="513" spans="1:6" x14ac:dyDescent="0.25">
      <c r="A513" s="109">
        <v>2469</v>
      </c>
      <c r="B513" t="s">
        <v>1198</v>
      </c>
      <c r="C513" t="s">
        <v>1113</v>
      </c>
      <c r="D513" s="110">
        <v>-29</v>
      </c>
      <c r="E513" t="str">
        <f t="shared" si="19"/>
        <v>3</v>
      </c>
      <c r="F513" t="str">
        <f t="shared" si="18"/>
        <v>1.4</v>
      </c>
    </row>
    <row r="514" spans="1:6" x14ac:dyDescent="0.25">
      <c r="A514" s="109">
        <v>2470</v>
      </c>
      <c r="B514" t="s">
        <v>1199</v>
      </c>
      <c r="C514" t="s">
        <v>1113</v>
      </c>
      <c r="D514" s="110">
        <v>-29</v>
      </c>
      <c r="E514" t="str">
        <f t="shared" si="19"/>
        <v>3</v>
      </c>
      <c r="F514" t="str">
        <f t="shared" si="18"/>
        <v>1.4</v>
      </c>
    </row>
    <row r="515" spans="1:6" x14ac:dyDescent="0.25">
      <c r="A515" s="109">
        <v>2472</v>
      </c>
      <c r="B515" t="s">
        <v>1200</v>
      </c>
      <c r="C515" t="s">
        <v>1113</v>
      </c>
      <c r="D515" s="110">
        <v>-29</v>
      </c>
      <c r="E515" t="str">
        <f t="shared" si="19"/>
        <v>3</v>
      </c>
      <c r="F515" t="str">
        <f t="shared" ref="F515:F578" si="20">IF(D515&lt;-34,"1.6",IF(D515&lt;-26,"1.4",IF(D515&lt;-18,"1.2",IF(D515&lt;-8,"1","lits"))))</f>
        <v>1.4</v>
      </c>
    </row>
    <row r="516" spans="1:6" x14ac:dyDescent="0.25">
      <c r="A516" s="109">
        <v>2473</v>
      </c>
      <c r="B516" t="s">
        <v>1201</v>
      </c>
      <c r="C516" t="s">
        <v>1113</v>
      </c>
      <c r="D516" s="110">
        <v>-29</v>
      </c>
      <c r="E516" t="str">
        <f t="shared" si="19"/>
        <v>3</v>
      </c>
      <c r="F516" t="str">
        <f t="shared" si="20"/>
        <v>1.4</v>
      </c>
    </row>
    <row r="517" spans="1:6" x14ac:dyDescent="0.25">
      <c r="A517" s="109">
        <v>2477</v>
      </c>
      <c r="B517" t="s">
        <v>1202</v>
      </c>
      <c r="C517" t="s">
        <v>1113</v>
      </c>
      <c r="D517" s="110">
        <v>-29</v>
      </c>
      <c r="E517" t="str">
        <f t="shared" si="19"/>
        <v>3</v>
      </c>
      <c r="F517" t="str">
        <f t="shared" si="20"/>
        <v>1.4</v>
      </c>
    </row>
    <row r="518" spans="1:6" x14ac:dyDescent="0.25">
      <c r="A518" s="109">
        <v>2833</v>
      </c>
      <c r="B518" t="s">
        <v>1203</v>
      </c>
      <c r="C518" t="s">
        <v>1113</v>
      </c>
      <c r="D518" s="110">
        <v>-29</v>
      </c>
      <c r="E518" t="str">
        <f t="shared" si="19"/>
        <v>3</v>
      </c>
      <c r="F518" t="str">
        <f t="shared" si="20"/>
        <v>1.4</v>
      </c>
    </row>
    <row r="519" spans="1:6" x14ac:dyDescent="0.25">
      <c r="A519" s="109">
        <v>2834</v>
      </c>
      <c r="B519" t="s">
        <v>1204</v>
      </c>
      <c r="C519" t="s">
        <v>1113</v>
      </c>
      <c r="D519" s="110">
        <v>-29</v>
      </c>
      <c r="E519" t="str">
        <f t="shared" si="19"/>
        <v>3</v>
      </c>
      <c r="F519" t="str">
        <f t="shared" si="20"/>
        <v>1.4</v>
      </c>
    </row>
    <row r="520" spans="1:6" x14ac:dyDescent="0.25">
      <c r="A520" s="109">
        <v>2839</v>
      </c>
      <c r="B520" t="s">
        <v>1205</v>
      </c>
      <c r="C520" t="s">
        <v>1113</v>
      </c>
      <c r="D520" s="110">
        <v>-29</v>
      </c>
      <c r="E520" t="str">
        <f t="shared" si="19"/>
        <v>3</v>
      </c>
      <c r="F520" t="str">
        <f t="shared" si="20"/>
        <v>1.4</v>
      </c>
    </row>
    <row r="521" spans="1:6" x14ac:dyDescent="0.25">
      <c r="A521" s="109">
        <v>2840</v>
      </c>
      <c r="B521" t="s">
        <v>1206</v>
      </c>
      <c r="C521" t="s">
        <v>1113</v>
      </c>
      <c r="D521" s="110">
        <v>-29</v>
      </c>
      <c r="E521" t="str">
        <f t="shared" si="19"/>
        <v>3</v>
      </c>
      <c r="F521" t="str">
        <f t="shared" si="20"/>
        <v>1.4</v>
      </c>
    </row>
    <row r="522" spans="1:6" x14ac:dyDescent="0.25">
      <c r="A522" s="109">
        <v>2899</v>
      </c>
      <c r="B522" t="s">
        <v>1207</v>
      </c>
      <c r="C522" t="s">
        <v>1113</v>
      </c>
      <c r="D522" s="110">
        <v>-29</v>
      </c>
      <c r="E522" t="str">
        <f t="shared" si="19"/>
        <v>3</v>
      </c>
      <c r="F522" t="str">
        <f t="shared" si="20"/>
        <v>1.4</v>
      </c>
    </row>
    <row r="523" spans="1:6" x14ac:dyDescent="0.25">
      <c r="A523" s="109">
        <v>4385</v>
      </c>
      <c r="B523" t="s">
        <v>1208</v>
      </c>
      <c r="C523" t="s">
        <v>683</v>
      </c>
      <c r="D523" s="110">
        <v>-29</v>
      </c>
      <c r="E523" t="str">
        <f t="shared" si="19"/>
        <v>3</v>
      </c>
      <c r="F523" t="str">
        <f t="shared" si="20"/>
        <v>1.4</v>
      </c>
    </row>
    <row r="524" spans="1:6" x14ac:dyDescent="0.25">
      <c r="A524" s="109">
        <v>4492</v>
      </c>
      <c r="B524" t="s">
        <v>1209</v>
      </c>
      <c r="C524" t="s">
        <v>683</v>
      </c>
      <c r="D524" s="110">
        <v>-29</v>
      </c>
      <c r="E524" t="str">
        <f t="shared" si="19"/>
        <v>3</v>
      </c>
      <c r="F524" t="str">
        <f t="shared" si="20"/>
        <v>1.4</v>
      </c>
    </row>
    <row r="525" spans="1:6" x14ac:dyDescent="0.25">
      <c r="A525" s="109">
        <v>5710</v>
      </c>
      <c r="B525" t="s">
        <v>1210</v>
      </c>
      <c r="C525" t="s">
        <v>1105</v>
      </c>
      <c r="D525" s="110">
        <v>-29</v>
      </c>
      <c r="E525" t="str">
        <f t="shared" si="19"/>
        <v>3</v>
      </c>
      <c r="F525" t="str">
        <f t="shared" si="20"/>
        <v>1.4</v>
      </c>
    </row>
    <row r="526" spans="1:6" x14ac:dyDescent="0.25">
      <c r="A526" s="109">
        <v>5723</v>
      </c>
      <c r="B526" t="s">
        <v>1211</v>
      </c>
      <c r="C526" t="s">
        <v>1105</v>
      </c>
      <c r="D526" s="110">
        <v>-29</v>
      </c>
      <c r="E526" t="str">
        <f t="shared" si="19"/>
        <v>3</v>
      </c>
      <c r="F526" t="str">
        <f t="shared" si="20"/>
        <v>1.4</v>
      </c>
    </row>
    <row r="527" spans="1:6" x14ac:dyDescent="0.25">
      <c r="A527" s="109">
        <v>5733</v>
      </c>
      <c r="B527" t="s">
        <v>1212</v>
      </c>
      <c r="C527" t="s">
        <v>1105</v>
      </c>
      <c r="D527" s="110">
        <v>-29</v>
      </c>
      <c r="E527" t="str">
        <f t="shared" si="19"/>
        <v>3</v>
      </c>
      <c r="F527" t="str">
        <f t="shared" si="20"/>
        <v>1.4</v>
      </c>
    </row>
    <row r="528" spans="1:6" x14ac:dyDescent="0.25">
      <c r="A528" s="109">
        <v>6436</v>
      </c>
      <c r="B528" t="s">
        <v>1213</v>
      </c>
      <c r="C528" t="s">
        <v>686</v>
      </c>
      <c r="D528" s="110">
        <v>-29</v>
      </c>
      <c r="E528" t="str">
        <f t="shared" si="19"/>
        <v>3</v>
      </c>
      <c r="F528" t="str">
        <f t="shared" si="20"/>
        <v>1.4</v>
      </c>
    </row>
    <row r="529" spans="1:6" x14ac:dyDescent="0.25">
      <c r="A529" s="109">
        <v>6438</v>
      </c>
      <c r="B529" t="s">
        <v>1214</v>
      </c>
      <c r="C529" t="s">
        <v>686</v>
      </c>
      <c r="D529" s="110">
        <v>-29</v>
      </c>
      <c r="E529" t="str">
        <f t="shared" si="19"/>
        <v>3</v>
      </c>
      <c r="F529" t="str">
        <f t="shared" si="20"/>
        <v>1.4</v>
      </c>
    </row>
    <row r="530" spans="1:6" x14ac:dyDescent="0.25">
      <c r="A530" s="109">
        <v>6514</v>
      </c>
      <c r="B530" t="s">
        <v>1215</v>
      </c>
      <c r="C530" t="s">
        <v>686</v>
      </c>
      <c r="D530" s="110">
        <v>-29</v>
      </c>
      <c r="E530" t="str">
        <f t="shared" si="19"/>
        <v>3</v>
      </c>
      <c r="F530" t="str">
        <f t="shared" si="20"/>
        <v>1.4</v>
      </c>
    </row>
    <row r="531" spans="1:6" x14ac:dyDescent="0.25">
      <c r="A531" s="109">
        <v>6517</v>
      </c>
      <c r="B531" t="s">
        <v>1216</v>
      </c>
      <c r="C531" t="s">
        <v>686</v>
      </c>
      <c r="D531" s="110">
        <v>-29</v>
      </c>
      <c r="E531" t="str">
        <f t="shared" si="19"/>
        <v>3</v>
      </c>
      <c r="F531" t="str">
        <f t="shared" si="20"/>
        <v>1.4</v>
      </c>
    </row>
    <row r="532" spans="1:6" x14ac:dyDescent="0.25">
      <c r="A532" s="109">
        <v>6518</v>
      </c>
      <c r="B532" t="s">
        <v>1217</v>
      </c>
      <c r="C532" t="s">
        <v>686</v>
      </c>
      <c r="D532" s="110">
        <v>-29</v>
      </c>
      <c r="E532" t="str">
        <f t="shared" si="19"/>
        <v>3</v>
      </c>
      <c r="F532" t="str">
        <f t="shared" si="20"/>
        <v>1.4</v>
      </c>
    </row>
    <row r="533" spans="1:6" x14ac:dyDescent="0.25">
      <c r="A533" s="109">
        <v>6519</v>
      </c>
      <c r="B533" t="s">
        <v>1218</v>
      </c>
      <c r="C533" t="s">
        <v>686</v>
      </c>
      <c r="D533" s="110">
        <v>-29</v>
      </c>
      <c r="E533" t="str">
        <f t="shared" si="19"/>
        <v>3</v>
      </c>
      <c r="F533" t="str">
        <f t="shared" si="20"/>
        <v>1.4</v>
      </c>
    </row>
    <row r="534" spans="1:6" x14ac:dyDescent="0.25">
      <c r="A534" s="109">
        <v>6522</v>
      </c>
      <c r="B534" t="s">
        <v>1219</v>
      </c>
      <c r="C534" t="s">
        <v>686</v>
      </c>
      <c r="D534" s="110">
        <v>-29</v>
      </c>
      <c r="E534" t="str">
        <f t="shared" si="19"/>
        <v>3</v>
      </c>
      <c r="F534" t="str">
        <f t="shared" si="20"/>
        <v>1.4</v>
      </c>
    </row>
    <row r="535" spans="1:6" x14ac:dyDescent="0.25">
      <c r="A535" s="109">
        <v>6525</v>
      </c>
      <c r="B535" t="s">
        <v>1220</v>
      </c>
      <c r="C535" t="s">
        <v>686</v>
      </c>
      <c r="D535" s="110">
        <v>-29</v>
      </c>
      <c r="E535" t="str">
        <f t="shared" si="19"/>
        <v>3</v>
      </c>
      <c r="F535" t="str">
        <f t="shared" si="20"/>
        <v>1.4</v>
      </c>
    </row>
    <row r="536" spans="1:6" x14ac:dyDescent="0.25">
      <c r="A536" s="109">
        <v>6616</v>
      </c>
      <c r="B536" t="s">
        <v>1221</v>
      </c>
      <c r="C536" t="s">
        <v>686</v>
      </c>
      <c r="D536" s="111">
        <v>-29</v>
      </c>
      <c r="E536" t="str">
        <f t="shared" ref="E536:E537" si="21">IF(D536&lt;-34,"4",IF(D536&lt;-26,"3",IF(D536&lt;-18,"2",IF(D536&lt;-8,"1","lits"))))</f>
        <v>3</v>
      </c>
      <c r="F536" t="str">
        <f t="shared" si="20"/>
        <v>1.4</v>
      </c>
    </row>
    <row r="537" spans="1:6" x14ac:dyDescent="0.25">
      <c r="A537" s="109">
        <v>6623</v>
      </c>
      <c r="B537" t="s">
        <v>1222</v>
      </c>
      <c r="C537" t="s">
        <v>686</v>
      </c>
      <c r="D537" s="110">
        <v>-29</v>
      </c>
      <c r="E537" t="str">
        <f t="shared" si="21"/>
        <v>3</v>
      </c>
      <c r="F537" t="str">
        <f t="shared" si="20"/>
        <v>1.4</v>
      </c>
    </row>
    <row r="538" spans="1:6" x14ac:dyDescent="0.25">
      <c r="A538" s="109">
        <v>2345</v>
      </c>
      <c r="B538" t="s">
        <v>1223</v>
      </c>
      <c r="C538" t="s">
        <v>1113</v>
      </c>
      <c r="D538" s="110">
        <v>-30</v>
      </c>
      <c r="E538" t="str">
        <f t="shared" ref="E538" si="22">IF(D538&lt;-8,"1",IF(D538&lt;-18,"2",IF(D538&lt;-26,"3",IF(D538&lt;-34,"4","lits"))))</f>
        <v>1</v>
      </c>
      <c r="F538" t="str">
        <f t="shared" si="20"/>
        <v>1.4</v>
      </c>
    </row>
    <row r="539" spans="1:6" x14ac:dyDescent="0.25">
      <c r="A539" s="109">
        <v>2346</v>
      </c>
      <c r="B539" t="s">
        <v>1224</v>
      </c>
      <c r="C539" t="s">
        <v>1113</v>
      </c>
      <c r="D539" s="110">
        <v>-30</v>
      </c>
      <c r="E539" t="str">
        <f t="shared" ref="E539:E602" si="23">IF(D539&lt;-34,"4",IF(D539&lt;-26,"3",IF(D539&lt;-18,"2",IF(D539&lt;-8,"1","lits"))))</f>
        <v>3</v>
      </c>
      <c r="F539" t="str">
        <f t="shared" si="20"/>
        <v>1.4</v>
      </c>
    </row>
    <row r="540" spans="1:6" x14ac:dyDescent="0.25">
      <c r="A540" s="109">
        <v>2347</v>
      </c>
      <c r="B540" t="s">
        <v>1225</v>
      </c>
      <c r="C540" t="s">
        <v>1113</v>
      </c>
      <c r="D540" s="111">
        <v>-30</v>
      </c>
      <c r="E540" t="str">
        <f t="shared" si="23"/>
        <v>3</v>
      </c>
      <c r="F540" t="str">
        <f t="shared" si="20"/>
        <v>1.4</v>
      </c>
    </row>
    <row r="541" spans="1:6" x14ac:dyDescent="0.25">
      <c r="A541" s="109">
        <v>2350</v>
      </c>
      <c r="B541" t="s">
        <v>1226</v>
      </c>
      <c r="C541" t="s">
        <v>1113</v>
      </c>
      <c r="D541" s="110">
        <v>-30</v>
      </c>
      <c r="E541" t="str">
        <f t="shared" si="23"/>
        <v>3</v>
      </c>
      <c r="F541" t="str">
        <f t="shared" si="20"/>
        <v>1.4</v>
      </c>
    </row>
    <row r="542" spans="1:6" x14ac:dyDescent="0.25">
      <c r="A542" s="109">
        <v>2351</v>
      </c>
      <c r="B542" t="s">
        <v>1227</v>
      </c>
      <c r="C542" t="s">
        <v>1113</v>
      </c>
      <c r="D542" s="110">
        <v>-30</v>
      </c>
      <c r="E542" t="str">
        <f t="shared" si="23"/>
        <v>3</v>
      </c>
      <c r="F542" t="str">
        <f t="shared" si="20"/>
        <v>1.4</v>
      </c>
    </row>
    <row r="543" spans="1:6" x14ac:dyDescent="0.25">
      <c r="A543" s="109">
        <v>2352</v>
      </c>
      <c r="B543" t="s">
        <v>1228</v>
      </c>
      <c r="C543" t="s">
        <v>1113</v>
      </c>
      <c r="D543" s="110">
        <v>-30</v>
      </c>
      <c r="E543" t="str">
        <f t="shared" si="23"/>
        <v>3</v>
      </c>
      <c r="F543" t="str">
        <f t="shared" si="20"/>
        <v>1.4</v>
      </c>
    </row>
    <row r="544" spans="1:6" x14ac:dyDescent="0.25">
      <c r="A544" s="109">
        <v>2353</v>
      </c>
      <c r="B544" t="s">
        <v>1229</v>
      </c>
      <c r="C544" t="s">
        <v>1113</v>
      </c>
      <c r="D544" s="110">
        <v>-30</v>
      </c>
      <c r="E544" t="str">
        <f t="shared" si="23"/>
        <v>3</v>
      </c>
      <c r="F544" t="str">
        <f t="shared" si="20"/>
        <v>1.4</v>
      </c>
    </row>
    <row r="545" spans="1:6" x14ac:dyDescent="0.25">
      <c r="A545" s="109">
        <v>2354</v>
      </c>
      <c r="B545" t="s">
        <v>1230</v>
      </c>
      <c r="C545" t="s">
        <v>1113</v>
      </c>
      <c r="D545" s="110">
        <v>-30</v>
      </c>
      <c r="E545" t="str">
        <f t="shared" si="23"/>
        <v>3</v>
      </c>
      <c r="F545" t="str">
        <f t="shared" si="20"/>
        <v>1.4</v>
      </c>
    </row>
    <row r="546" spans="1:6" x14ac:dyDescent="0.25">
      <c r="A546" s="109">
        <v>2355</v>
      </c>
      <c r="B546" t="s">
        <v>1231</v>
      </c>
      <c r="C546" t="s">
        <v>1113</v>
      </c>
      <c r="D546" s="110">
        <v>-30</v>
      </c>
      <c r="E546" t="str">
        <f t="shared" si="23"/>
        <v>3</v>
      </c>
      <c r="F546" t="str">
        <f t="shared" si="20"/>
        <v>1.4</v>
      </c>
    </row>
    <row r="547" spans="1:6" x14ac:dyDescent="0.25">
      <c r="A547" s="109">
        <v>2358</v>
      </c>
      <c r="B547" t="s">
        <v>1232</v>
      </c>
      <c r="C547" t="s">
        <v>1113</v>
      </c>
      <c r="D547" s="110">
        <v>-30</v>
      </c>
      <c r="E547" t="str">
        <f t="shared" si="23"/>
        <v>3</v>
      </c>
      <c r="F547" t="str">
        <f t="shared" si="20"/>
        <v>1.4</v>
      </c>
    </row>
    <row r="548" spans="1:6" x14ac:dyDescent="0.25">
      <c r="A548" s="109">
        <v>2359</v>
      </c>
      <c r="B548" t="s">
        <v>1233</v>
      </c>
      <c r="C548" t="s">
        <v>1113</v>
      </c>
      <c r="D548" s="110">
        <v>-30</v>
      </c>
      <c r="E548" t="str">
        <f t="shared" si="23"/>
        <v>3</v>
      </c>
      <c r="F548" t="str">
        <f t="shared" si="20"/>
        <v>1.4</v>
      </c>
    </row>
    <row r="549" spans="1:6" x14ac:dyDescent="0.25">
      <c r="A549" s="109">
        <v>2386</v>
      </c>
      <c r="B549" t="s">
        <v>1234</v>
      </c>
      <c r="C549" t="s">
        <v>1113</v>
      </c>
      <c r="D549" s="110">
        <v>-30</v>
      </c>
      <c r="E549" t="str">
        <f t="shared" si="23"/>
        <v>3</v>
      </c>
      <c r="F549" t="str">
        <f t="shared" si="20"/>
        <v>1.4</v>
      </c>
    </row>
    <row r="550" spans="1:6" x14ac:dyDescent="0.25">
      <c r="A550" s="109">
        <v>2388</v>
      </c>
      <c r="B550" t="s">
        <v>1235</v>
      </c>
      <c r="C550" t="s">
        <v>1113</v>
      </c>
      <c r="D550" s="110">
        <v>-30</v>
      </c>
      <c r="E550" t="str">
        <f t="shared" si="23"/>
        <v>3</v>
      </c>
      <c r="F550" t="str">
        <f t="shared" si="20"/>
        <v>1.4</v>
      </c>
    </row>
    <row r="551" spans="1:6" x14ac:dyDescent="0.25">
      <c r="A551" s="109">
        <v>2390</v>
      </c>
      <c r="B551" t="s">
        <v>1236</v>
      </c>
      <c r="C551" t="s">
        <v>1113</v>
      </c>
      <c r="D551" s="110">
        <v>-30</v>
      </c>
      <c r="E551" t="str">
        <f t="shared" si="23"/>
        <v>3</v>
      </c>
      <c r="F551" t="str">
        <f t="shared" si="20"/>
        <v>1.4</v>
      </c>
    </row>
    <row r="552" spans="1:6" x14ac:dyDescent="0.25">
      <c r="A552" s="109">
        <v>2431</v>
      </c>
      <c r="B552" t="s">
        <v>1237</v>
      </c>
      <c r="C552" t="s">
        <v>1113</v>
      </c>
      <c r="D552" s="110">
        <v>-30</v>
      </c>
      <c r="E552" t="str">
        <f t="shared" si="23"/>
        <v>3</v>
      </c>
      <c r="F552" t="str">
        <f t="shared" si="20"/>
        <v>1.4</v>
      </c>
    </row>
    <row r="553" spans="1:6" x14ac:dyDescent="0.25">
      <c r="A553" s="109">
        <v>2447</v>
      </c>
      <c r="B553" t="s">
        <v>1238</v>
      </c>
      <c r="C553" t="s">
        <v>1113</v>
      </c>
      <c r="D553" s="110">
        <v>-30</v>
      </c>
      <c r="E553" t="str">
        <f t="shared" si="23"/>
        <v>3</v>
      </c>
      <c r="F553" t="str">
        <f t="shared" si="20"/>
        <v>1.4</v>
      </c>
    </row>
    <row r="554" spans="1:6" x14ac:dyDescent="0.25">
      <c r="A554" s="109">
        <v>2448</v>
      </c>
      <c r="B554" t="s">
        <v>1239</v>
      </c>
      <c r="C554" t="s">
        <v>1113</v>
      </c>
      <c r="D554" s="110">
        <v>-30</v>
      </c>
      <c r="E554" t="str">
        <f t="shared" si="23"/>
        <v>3</v>
      </c>
      <c r="F554" t="str">
        <f t="shared" si="20"/>
        <v>1.4</v>
      </c>
    </row>
    <row r="555" spans="1:6" x14ac:dyDescent="0.25">
      <c r="A555" s="109">
        <v>2449</v>
      </c>
      <c r="B555" t="s">
        <v>1240</v>
      </c>
      <c r="C555" t="s">
        <v>1113</v>
      </c>
      <c r="D555" s="110">
        <v>-30</v>
      </c>
      <c r="E555" t="str">
        <f t="shared" si="23"/>
        <v>3</v>
      </c>
      <c r="F555" t="str">
        <f t="shared" si="20"/>
        <v>1.4</v>
      </c>
    </row>
    <row r="556" spans="1:6" x14ac:dyDescent="0.25">
      <c r="A556" s="109">
        <v>2450</v>
      </c>
      <c r="B556" t="s">
        <v>1241</v>
      </c>
      <c r="C556" t="s">
        <v>1113</v>
      </c>
      <c r="D556" s="110">
        <v>-30</v>
      </c>
      <c r="E556" t="str">
        <f t="shared" si="23"/>
        <v>3</v>
      </c>
      <c r="F556" t="str">
        <f t="shared" si="20"/>
        <v>1.4</v>
      </c>
    </row>
    <row r="557" spans="1:6" x14ac:dyDescent="0.25">
      <c r="A557" s="109">
        <v>2452</v>
      </c>
      <c r="B557" t="s">
        <v>1242</v>
      </c>
      <c r="C557" t="s">
        <v>1113</v>
      </c>
      <c r="D557" s="110">
        <v>-30</v>
      </c>
      <c r="E557" t="str">
        <f t="shared" si="23"/>
        <v>3</v>
      </c>
      <c r="F557" t="str">
        <f t="shared" si="20"/>
        <v>1.4</v>
      </c>
    </row>
    <row r="558" spans="1:6" x14ac:dyDescent="0.25">
      <c r="A558" s="109">
        <v>2453</v>
      </c>
      <c r="B558" t="s">
        <v>1243</v>
      </c>
      <c r="C558" t="s">
        <v>1113</v>
      </c>
      <c r="D558" s="110">
        <v>-30</v>
      </c>
      <c r="E558" t="str">
        <f t="shared" si="23"/>
        <v>3</v>
      </c>
      <c r="F558" t="str">
        <f t="shared" si="20"/>
        <v>1.4</v>
      </c>
    </row>
    <row r="559" spans="1:6" x14ac:dyDescent="0.25">
      <c r="A559" s="109">
        <v>2454</v>
      </c>
      <c r="B559" t="s">
        <v>1244</v>
      </c>
      <c r="C559" t="s">
        <v>1113</v>
      </c>
      <c r="D559" s="110">
        <v>-30</v>
      </c>
      <c r="E559" t="str">
        <f t="shared" si="23"/>
        <v>3</v>
      </c>
      <c r="F559" t="str">
        <f t="shared" si="20"/>
        <v>1.4</v>
      </c>
    </row>
    <row r="560" spans="1:6" x14ac:dyDescent="0.25">
      <c r="A560" s="109">
        <v>2455</v>
      </c>
      <c r="B560" t="s">
        <v>1245</v>
      </c>
      <c r="C560" t="s">
        <v>1113</v>
      </c>
      <c r="D560" s="110">
        <v>-30</v>
      </c>
      <c r="E560" t="str">
        <f t="shared" si="23"/>
        <v>3</v>
      </c>
      <c r="F560" t="str">
        <f t="shared" si="20"/>
        <v>1.4</v>
      </c>
    </row>
    <row r="561" spans="1:6" x14ac:dyDescent="0.25">
      <c r="A561" s="109">
        <v>2456</v>
      </c>
      <c r="B561" t="s">
        <v>1246</v>
      </c>
      <c r="C561" t="s">
        <v>1113</v>
      </c>
      <c r="D561" s="110">
        <v>-30</v>
      </c>
      <c r="E561" t="str">
        <f t="shared" si="23"/>
        <v>3</v>
      </c>
      <c r="F561" t="str">
        <f t="shared" si="20"/>
        <v>1.4</v>
      </c>
    </row>
    <row r="562" spans="1:6" x14ac:dyDescent="0.25">
      <c r="A562" s="109">
        <v>2832</v>
      </c>
      <c r="B562" t="s">
        <v>1247</v>
      </c>
      <c r="C562" t="s">
        <v>1113</v>
      </c>
      <c r="D562" s="110">
        <v>-30</v>
      </c>
      <c r="E562" t="str">
        <f t="shared" si="23"/>
        <v>3</v>
      </c>
      <c r="F562" t="str">
        <f t="shared" si="20"/>
        <v>1.4</v>
      </c>
    </row>
    <row r="563" spans="1:6" x14ac:dyDescent="0.25">
      <c r="A563" s="109">
        <v>2836</v>
      </c>
      <c r="B563" t="s">
        <v>1248</v>
      </c>
      <c r="C563" t="s">
        <v>1113</v>
      </c>
      <c r="D563" s="110">
        <v>-30</v>
      </c>
      <c r="E563" t="str">
        <f t="shared" si="23"/>
        <v>3</v>
      </c>
      <c r="F563" t="str">
        <f t="shared" si="20"/>
        <v>1.4</v>
      </c>
    </row>
    <row r="564" spans="1:6" x14ac:dyDescent="0.25">
      <c r="A564" s="109">
        <v>5722</v>
      </c>
      <c r="B564" t="s">
        <v>1249</v>
      </c>
      <c r="C564" t="s">
        <v>1105</v>
      </c>
      <c r="D564" s="110">
        <v>-30</v>
      </c>
      <c r="E564" t="str">
        <f t="shared" si="23"/>
        <v>3</v>
      </c>
      <c r="F564" t="str">
        <f t="shared" si="20"/>
        <v>1.4</v>
      </c>
    </row>
    <row r="565" spans="1:6" x14ac:dyDescent="0.25">
      <c r="A565" s="109">
        <v>5725</v>
      </c>
      <c r="B565" t="s">
        <v>1250</v>
      </c>
      <c r="C565" t="s">
        <v>1105</v>
      </c>
      <c r="D565" s="110">
        <v>-30</v>
      </c>
      <c r="E565" t="str">
        <f t="shared" si="23"/>
        <v>3</v>
      </c>
      <c r="F565" t="str">
        <f t="shared" si="20"/>
        <v>1.4</v>
      </c>
    </row>
    <row r="566" spans="1:6" x14ac:dyDescent="0.25">
      <c r="A566" s="109">
        <v>5732</v>
      </c>
      <c r="B566" t="s">
        <v>1251</v>
      </c>
      <c r="C566" t="s">
        <v>1105</v>
      </c>
      <c r="D566" s="110">
        <v>-30</v>
      </c>
      <c r="E566" t="str">
        <f t="shared" si="23"/>
        <v>3</v>
      </c>
      <c r="F566" t="str">
        <f t="shared" si="20"/>
        <v>1.4</v>
      </c>
    </row>
    <row r="567" spans="1:6" x14ac:dyDescent="0.25">
      <c r="A567" s="109">
        <v>6426</v>
      </c>
      <c r="B567" t="s">
        <v>1252</v>
      </c>
      <c r="C567" t="s">
        <v>686</v>
      </c>
      <c r="D567" s="110">
        <v>-30</v>
      </c>
      <c r="E567" t="str">
        <f t="shared" si="23"/>
        <v>3</v>
      </c>
      <c r="F567" t="str">
        <f t="shared" si="20"/>
        <v>1.4</v>
      </c>
    </row>
    <row r="568" spans="1:6" x14ac:dyDescent="0.25">
      <c r="A568" s="109">
        <v>6427</v>
      </c>
      <c r="B568" t="s">
        <v>1253</v>
      </c>
      <c r="C568" t="s">
        <v>686</v>
      </c>
      <c r="D568" s="110">
        <v>-30</v>
      </c>
      <c r="E568" t="str">
        <f t="shared" si="23"/>
        <v>3</v>
      </c>
      <c r="F568" t="str">
        <f t="shared" si="20"/>
        <v>1.4</v>
      </c>
    </row>
    <row r="569" spans="1:6" x14ac:dyDescent="0.25">
      <c r="A569" s="109">
        <v>6429</v>
      </c>
      <c r="B569" t="s">
        <v>1254</v>
      </c>
      <c r="C569" t="s">
        <v>686</v>
      </c>
      <c r="D569" s="110">
        <v>-30</v>
      </c>
      <c r="E569" t="str">
        <f t="shared" si="23"/>
        <v>3</v>
      </c>
      <c r="F569" t="str">
        <f t="shared" si="20"/>
        <v>1.4</v>
      </c>
    </row>
    <row r="570" spans="1:6" x14ac:dyDescent="0.25">
      <c r="A570" s="109">
        <v>6430</v>
      </c>
      <c r="B570" t="s">
        <v>1255</v>
      </c>
      <c r="C570" t="s">
        <v>686</v>
      </c>
      <c r="D570" s="110">
        <v>-30</v>
      </c>
      <c r="E570" t="str">
        <f t="shared" si="23"/>
        <v>3</v>
      </c>
      <c r="F570" t="str">
        <f t="shared" si="20"/>
        <v>1.4</v>
      </c>
    </row>
    <row r="571" spans="1:6" x14ac:dyDescent="0.25">
      <c r="A571" s="109">
        <v>6431</v>
      </c>
      <c r="B571" t="s">
        <v>1256</v>
      </c>
      <c r="C571" t="s">
        <v>686</v>
      </c>
      <c r="D571" s="110">
        <v>-30</v>
      </c>
      <c r="E571" t="str">
        <f t="shared" si="23"/>
        <v>3</v>
      </c>
      <c r="F571" t="str">
        <f t="shared" si="20"/>
        <v>1.4</v>
      </c>
    </row>
    <row r="572" spans="1:6" x14ac:dyDescent="0.25">
      <c r="A572" s="109">
        <v>6432</v>
      </c>
      <c r="B572" t="s">
        <v>1257</v>
      </c>
      <c r="C572" t="s">
        <v>686</v>
      </c>
      <c r="D572" s="110">
        <v>-30</v>
      </c>
      <c r="E572" t="str">
        <f t="shared" si="23"/>
        <v>3</v>
      </c>
      <c r="F572" t="str">
        <f t="shared" si="20"/>
        <v>1.4</v>
      </c>
    </row>
    <row r="573" spans="1:6" x14ac:dyDescent="0.25">
      <c r="A573" s="109">
        <v>6434</v>
      </c>
      <c r="B573" t="s">
        <v>1258</v>
      </c>
      <c r="C573" t="s">
        <v>686</v>
      </c>
      <c r="D573" s="110">
        <v>-30</v>
      </c>
      <c r="E573" t="str">
        <f t="shared" si="23"/>
        <v>3</v>
      </c>
      <c r="F573" t="str">
        <f t="shared" si="20"/>
        <v>1.4</v>
      </c>
    </row>
    <row r="574" spans="1:6" x14ac:dyDescent="0.25">
      <c r="A574" s="109">
        <v>6465</v>
      </c>
      <c r="B574" t="s">
        <v>1259</v>
      </c>
      <c r="C574" t="s">
        <v>686</v>
      </c>
      <c r="D574" s="110">
        <v>-30</v>
      </c>
      <c r="E574" t="str">
        <f t="shared" si="23"/>
        <v>3</v>
      </c>
      <c r="F574" t="str">
        <f t="shared" si="20"/>
        <v>1.4</v>
      </c>
    </row>
    <row r="575" spans="1:6" x14ac:dyDescent="0.25">
      <c r="A575" s="109">
        <v>6466</v>
      </c>
      <c r="B575" t="s">
        <v>1260</v>
      </c>
      <c r="C575" t="s">
        <v>686</v>
      </c>
      <c r="D575" s="110">
        <v>-30</v>
      </c>
      <c r="E575" t="str">
        <f t="shared" si="23"/>
        <v>3</v>
      </c>
      <c r="F575" t="str">
        <f t="shared" si="20"/>
        <v>1.4</v>
      </c>
    </row>
    <row r="576" spans="1:6" x14ac:dyDescent="0.25">
      <c r="A576" s="109">
        <v>6467</v>
      </c>
      <c r="B576" t="s">
        <v>1261</v>
      </c>
      <c r="C576" t="s">
        <v>686</v>
      </c>
      <c r="D576" s="110">
        <v>-30</v>
      </c>
      <c r="E576" t="str">
        <f t="shared" si="23"/>
        <v>3</v>
      </c>
      <c r="F576" t="str">
        <f t="shared" si="20"/>
        <v>1.4</v>
      </c>
    </row>
    <row r="577" spans="1:6" x14ac:dyDescent="0.25">
      <c r="A577" s="109">
        <v>6468</v>
      </c>
      <c r="B577" t="s">
        <v>1262</v>
      </c>
      <c r="C577" t="s">
        <v>686</v>
      </c>
      <c r="D577" s="110">
        <v>-30</v>
      </c>
      <c r="E577" t="str">
        <f t="shared" si="23"/>
        <v>3</v>
      </c>
      <c r="F577" t="str">
        <f t="shared" si="20"/>
        <v>1.4</v>
      </c>
    </row>
    <row r="578" spans="1:6" x14ac:dyDescent="0.25">
      <c r="A578" s="109">
        <v>6472</v>
      </c>
      <c r="B578" t="s">
        <v>1263</v>
      </c>
      <c r="C578" t="s">
        <v>686</v>
      </c>
      <c r="D578" s="110">
        <v>-30</v>
      </c>
      <c r="E578" t="str">
        <f t="shared" si="23"/>
        <v>3</v>
      </c>
      <c r="F578" t="str">
        <f t="shared" si="20"/>
        <v>1.4</v>
      </c>
    </row>
    <row r="579" spans="1:6" x14ac:dyDescent="0.25">
      <c r="A579" s="109">
        <v>6473</v>
      </c>
      <c r="B579" t="s">
        <v>1264</v>
      </c>
      <c r="C579" t="s">
        <v>686</v>
      </c>
      <c r="D579" s="110">
        <v>-30</v>
      </c>
      <c r="E579" t="str">
        <f t="shared" si="23"/>
        <v>3</v>
      </c>
      <c r="F579" t="str">
        <f t="shared" ref="F579:F642" si="24">IF(D579&lt;-34,"1.6",IF(D579&lt;-26,"1.4",IF(D579&lt;-18,"1.2",IF(D579&lt;-8,"1","lits"))))</f>
        <v>1.4</v>
      </c>
    </row>
    <row r="580" spans="1:6" x14ac:dyDescent="0.25">
      <c r="A580" s="109">
        <v>6475</v>
      </c>
      <c r="B580" t="s">
        <v>1265</v>
      </c>
      <c r="C580" t="s">
        <v>686</v>
      </c>
      <c r="D580" s="110">
        <v>-30</v>
      </c>
      <c r="E580" t="str">
        <f t="shared" si="23"/>
        <v>3</v>
      </c>
      <c r="F580" t="str">
        <f t="shared" si="24"/>
        <v>1.4</v>
      </c>
    </row>
    <row r="581" spans="1:6" x14ac:dyDescent="0.25">
      <c r="A581" s="109">
        <v>6476</v>
      </c>
      <c r="B581" t="s">
        <v>1266</v>
      </c>
      <c r="C581" t="s">
        <v>686</v>
      </c>
      <c r="D581" s="110">
        <v>-30</v>
      </c>
      <c r="E581" t="str">
        <f t="shared" si="23"/>
        <v>3</v>
      </c>
      <c r="F581" t="str">
        <f t="shared" si="24"/>
        <v>1.4</v>
      </c>
    </row>
    <row r="582" spans="1:6" x14ac:dyDescent="0.25">
      <c r="A582" s="109">
        <v>6477</v>
      </c>
      <c r="B582" t="s">
        <v>1267</v>
      </c>
      <c r="C582" t="s">
        <v>686</v>
      </c>
      <c r="D582" s="110">
        <v>-30</v>
      </c>
      <c r="E582" t="str">
        <f t="shared" si="23"/>
        <v>3</v>
      </c>
      <c r="F582" t="str">
        <f t="shared" si="24"/>
        <v>1.4</v>
      </c>
    </row>
    <row r="583" spans="1:6" x14ac:dyDescent="0.25">
      <c r="A583" s="109">
        <v>6484</v>
      </c>
      <c r="B583" t="s">
        <v>1268</v>
      </c>
      <c r="C583" t="s">
        <v>686</v>
      </c>
      <c r="D583" s="110">
        <v>-30</v>
      </c>
      <c r="E583" t="str">
        <f t="shared" si="23"/>
        <v>3</v>
      </c>
      <c r="F583" t="str">
        <f t="shared" si="24"/>
        <v>1.4</v>
      </c>
    </row>
    <row r="584" spans="1:6" x14ac:dyDescent="0.25">
      <c r="A584" s="109">
        <v>6507</v>
      </c>
      <c r="B584" t="s">
        <v>1269</v>
      </c>
      <c r="C584" t="s">
        <v>686</v>
      </c>
      <c r="D584" s="110">
        <v>-30</v>
      </c>
      <c r="E584" t="str">
        <f t="shared" si="23"/>
        <v>3</v>
      </c>
      <c r="F584" t="str">
        <f t="shared" si="24"/>
        <v>1.4</v>
      </c>
    </row>
    <row r="585" spans="1:6" x14ac:dyDescent="0.25">
      <c r="A585" s="109">
        <v>6509</v>
      </c>
      <c r="B585" t="s">
        <v>1270</v>
      </c>
      <c r="C585" t="s">
        <v>686</v>
      </c>
      <c r="D585" s="110">
        <v>-30</v>
      </c>
      <c r="E585" t="str">
        <f t="shared" si="23"/>
        <v>3</v>
      </c>
      <c r="F585" t="str">
        <f t="shared" si="24"/>
        <v>1.4</v>
      </c>
    </row>
    <row r="586" spans="1:6" x14ac:dyDescent="0.25">
      <c r="A586" s="109">
        <v>6510</v>
      </c>
      <c r="B586" t="s">
        <v>1271</v>
      </c>
      <c r="C586" t="s">
        <v>686</v>
      </c>
      <c r="D586" s="110">
        <v>-30</v>
      </c>
      <c r="E586" t="str">
        <f t="shared" si="23"/>
        <v>3</v>
      </c>
      <c r="F586" t="str">
        <f t="shared" si="24"/>
        <v>1.4</v>
      </c>
    </row>
    <row r="587" spans="1:6" x14ac:dyDescent="0.25">
      <c r="A587" s="109">
        <v>6511</v>
      </c>
      <c r="B587" t="s">
        <v>1272</v>
      </c>
      <c r="C587" t="s">
        <v>686</v>
      </c>
      <c r="D587" s="110">
        <v>-30</v>
      </c>
      <c r="E587" t="str">
        <f t="shared" si="23"/>
        <v>3</v>
      </c>
      <c r="F587" t="str">
        <f t="shared" si="24"/>
        <v>1.4</v>
      </c>
    </row>
    <row r="588" spans="1:6" x14ac:dyDescent="0.25">
      <c r="A588" s="109">
        <v>6512</v>
      </c>
      <c r="B588" t="s">
        <v>1273</v>
      </c>
      <c r="C588" t="s">
        <v>686</v>
      </c>
      <c r="D588" s="110">
        <v>-30</v>
      </c>
      <c r="E588" t="str">
        <f t="shared" si="23"/>
        <v>3</v>
      </c>
      <c r="F588" t="str">
        <f t="shared" si="24"/>
        <v>1.4</v>
      </c>
    </row>
    <row r="589" spans="1:6" x14ac:dyDescent="0.25">
      <c r="A589" s="109">
        <v>6513</v>
      </c>
      <c r="B589" t="s">
        <v>1274</v>
      </c>
      <c r="C589" t="s">
        <v>686</v>
      </c>
      <c r="D589" s="110">
        <v>-30</v>
      </c>
      <c r="E589" t="str">
        <f t="shared" si="23"/>
        <v>3</v>
      </c>
      <c r="F589" t="str">
        <f t="shared" si="24"/>
        <v>1.4</v>
      </c>
    </row>
    <row r="590" spans="1:6" x14ac:dyDescent="0.25">
      <c r="A590" s="109">
        <v>6515</v>
      </c>
      <c r="B590" t="s">
        <v>1275</v>
      </c>
      <c r="C590" t="s">
        <v>686</v>
      </c>
      <c r="D590" s="110">
        <v>-30</v>
      </c>
      <c r="E590" t="str">
        <f t="shared" si="23"/>
        <v>3</v>
      </c>
      <c r="F590" t="str">
        <f t="shared" si="24"/>
        <v>1.4</v>
      </c>
    </row>
    <row r="591" spans="1:6" x14ac:dyDescent="0.25">
      <c r="A591" s="109">
        <v>6516</v>
      </c>
      <c r="B591" t="s">
        <v>1276</v>
      </c>
      <c r="C591" t="s">
        <v>686</v>
      </c>
      <c r="D591" s="110">
        <v>-30</v>
      </c>
      <c r="E591" t="str">
        <f t="shared" si="23"/>
        <v>3</v>
      </c>
      <c r="F591" t="str">
        <f t="shared" si="24"/>
        <v>1.4</v>
      </c>
    </row>
    <row r="592" spans="1:6" x14ac:dyDescent="0.25">
      <c r="A592" s="109">
        <v>6521</v>
      </c>
      <c r="B592" t="s">
        <v>1277</v>
      </c>
      <c r="C592" t="s">
        <v>686</v>
      </c>
      <c r="D592" s="110">
        <v>-30</v>
      </c>
      <c r="E592" t="str">
        <f t="shared" si="23"/>
        <v>3</v>
      </c>
      <c r="F592" t="str">
        <f t="shared" si="24"/>
        <v>1.4</v>
      </c>
    </row>
    <row r="593" spans="1:6" x14ac:dyDescent="0.25">
      <c r="A593" s="109">
        <v>6571</v>
      </c>
      <c r="B593" t="s">
        <v>1278</v>
      </c>
      <c r="C593" t="s">
        <v>686</v>
      </c>
      <c r="D593" s="110">
        <v>-30</v>
      </c>
      <c r="E593" t="str">
        <f t="shared" si="23"/>
        <v>3</v>
      </c>
      <c r="F593" t="str">
        <f t="shared" si="24"/>
        <v>1.4</v>
      </c>
    </row>
    <row r="594" spans="1:6" x14ac:dyDescent="0.25">
      <c r="A594" s="109">
        <v>6572</v>
      </c>
      <c r="B594" t="s">
        <v>1279</v>
      </c>
      <c r="C594" t="s">
        <v>686</v>
      </c>
      <c r="D594" s="110">
        <v>-30</v>
      </c>
      <c r="E594" t="str">
        <f t="shared" si="23"/>
        <v>3</v>
      </c>
      <c r="F594" t="str">
        <f t="shared" si="24"/>
        <v>1.4</v>
      </c>
    </row>
    <row r="595" spans="1:6" x14ac:dyDescent="0.25">
      <c r="A595" s="109">
        <v>6574</v>
      </c>
      <c r="B595" t="s">
        <v>1280</v>
      </c>
      <c r="C595" t="s">
        <v>686</v>
      </c>
      <c r="D595" s="110">
        <v>-30</v>
      </c>
      <c r="E595" t="str">
        <f t="shared" si="23"/>
        <v>3</v>
      </c>
      <c r="F595" t="str">
        <f t="shared" si="24"/>
        <v>1.4</v>
      </c>
    </row>
    <row r="596" spans="1:6" x14ac:dyDescent="0.25">
      <c r="A596" s="109">
        <v>6575</v>
      </c>
      <c r="B596" t="s">
        <v>1281</v>
      </c>
      <c r="C596" t="s">
        <v>686</v>
      </c>
      <c r="D596" s="110">
        <v>-30</v>
      </c>
      <c r="E596" t="str">
        <f t="shared" si="23"/>
        <v>3</v>
      </c>
      <c r="F596" t="str">
        <f t="shared" si="24"/>
        <v>1.4</v>
      </c>
    </row>
    <row r="597" spans="1:6" x14ac:dyDescent="0.25">
      <c r="A597" s="109">
        <v>6603</v>
      </c>
      <c r="B597" t="s">
        <v>1282</v>
      </c>
      <c r="C597" t="s">
        <v>686</v>
      </c>
      <c r="D597" s="110">
        <v>-30</v>
      </c>
      <c r="E597" t="str">
        <f t="shared" si="23"/>
        <v>3</v>
      </c>
      <c r="F597" t="str">
        <f t="shared" si="24"/>
        <v>1.4</v>
      </c>
    </row>
    <row r="598" spans="1:6" x14ac:dyDescent="0.25">
      <c r="A598" s="109">
        <v>6605</v>
      </c>
      <c r="B598" t="s">
        <v>1283</v>
      </c>
      <c r="C598" t="s">
        <v>686</v>
      </c>
      <c r="D598" s="110">
        <v>-30</v>
      </c>
      <c r="E598" t="str">
        <f t="shared" si="23"/>
        <v>3</v>
      </c>
      <c r="F598" t="str">
        <f t="shared" si="24"/>
        <v>1.4</v>
      </c>
    </row>
    <row r="599" spans="1:6" x14ac:dyDescent="0.25">
      <c r="A599" s="109">
        <v>6606</v>
      </c>
      <c r="B599" t="s">
        <v>1284</v>
      </c>
      <c r="C599" t="s">
        <v>686</v>
      </c>
      <c r="D599" s="110">
        <v>-30</v>
      </c>
      <c r="E599" t="str">
        <f t="shared" si="23"/>
        <v>3</v>
      </c>
      <c r="F599" t="str">
        <f t="shared" si="24"/>
        <v>1.4</v>
      </c>
    </row>
    <row r="600" spans="1:6" x14ac:dyDescent="0.25">
      <c r="A600" s="109">
        <v>6608</v>
      </c>
      <c r="B600" t="s">
        <v>1285</v>
      </c>
      <c r="C600" t="s">
        <v>686</v>
      </c>
      <c r="D600" s="110">
        <v>-30</v>
      </c>
      <c r="E600" t="str">
        <f t="shared" si="23"/>
        <v>3</v>
      </c>
      <c r="F600" t="str">
        <f t="shared" si="24"/>
        <v>1.4</v>
      </c>
    </row>
    <row r="601" spans="1:6" x14ac:dyDescent="0.25">
      <c r="A601" s="109">
        <v>6609</v>
      </c>
      <c r="B601" t="s">
        <v>1286</v>
      </c>
      <c r="C601" t="s">
        <v>686</v>
      </c>
      <c r="D601" s="110">
        <v>-30</v>
      </c>
      <c r="E601" t="str">
        <f t="shared" si="23"/>
        <v>3</v>
      </c>
      <c r="F601" t="str">
        <f t="shared" si="24"/>
        <v>1.4</v>
      </c>
    </row>
    <row r="602" spans="1:6" x14ac:dyDescent="0.25">
      <c r="A602" s="109">
        <v>6612</v>
      </c>
      <c r="B602" t="s">
        <v>1287</v>
      </c>
      <c r="C602" t="s">
        <v>686</v>
      </c>
      <c r="D602" s="110">
        <v>-30</v>
      </c>
      <c r="E602" t="str">
        <f t="shared" si="23"/>
        <v>3</v>
      </c>
      <c r="F602" t="str">
        <f t="shared" si="24"/>
        <v>1.4</v>
      </c>
    </row>
    <row r="603" spans="1:6" x14ac:dyDescent="0.25">
      <c r="A603" s="109">
        <v>6613</v>
      </c>
      <c r="B603" t="s">
        <v>1288</v>
      </c>
      <c r="C603" t="s">
        <v>686</v>
      </c>
      <c r="D603" s="110">
        <v>-30</v>
      </c>
      <c r="E603" t="str">
        <f t="shared" ref="E603:E666" si="25">IF(D603&lt;-34,"4",IF(D603&lt;-26,"3",IF(D603&lt;-18,"2",IF(D603&lt;-8,"1","lits"))))</f>
        <v>3</v>
      </c>
      <c r="F603" t="str">
        <f t="shared" si="24"/>
        <v>1.4</v>
      </c>
    </row>
    <row r="604" spans="1:6" x14ac:dyDescent="0.25">
      <c r="A604" s="109">
        <v>2337</v>
      </c>
      <c r="B604" t="s">
        <v>1289</v>
      </c>
      <c r="C604" t="s">
        <v>1113</v>
      </c>
      <c r="D604" s="110">
        <v>-31</v>
      </c>
      <c r="E604" t="str">
        <f t="shared" si="25"/>
        <v>3</v>
      </c>
      <c r="F604" t="str">
        <f t="shared" si="24"/>
        <v>1.4</v>
      </c>
    </row>
    <row r="605" spans="1:6" x14ac:dyDescent="0.25">
      <c r="A605" s="109">
        <v>2338</v>
      </c>
      <c r="B605" t="s">
        <v>1290</v>
      </c>
      <c r="C605" t="s">
        <v>1113</v>
      </c>
      <c r="D605" s="110">
        <v>-31</v>
      </c>
      <c r="E605" t="str">
        <f t="shared" si="25"/>
        <v>3</v>
      </c>
      <c r="F605" t="str">
        <f t="shared" si="24"/>
        <v>1.4</v>
      </c>
    </row>
    <row r="606" spans="1:6" x14ac:dyDescent="0.25">
      <c r="A606" s="109">
        <v>2339</v>
      </c>
      <c r="B606" t="s">
        <v>1291</v>
      </c>
      <c r="C606" t="s">
        <v>1113</v>
      </c>
      <c r="D606" s="110">
        <v>-31</v>
      </c>
      <c r="E606" t="str">
        <f t="shared" si="25"/>
        <v>3</v>
      </c>
      <c r="F606" t="str">
        <f t="shared" si="24"/>
        <v>1.4</v>
      </c>
    </row>
    <row r="607" spans="1:6" x14ac:dyDescent="0.25">
      <c r="A607" s="109">
        <v>2340</v>
      </c>
      <c r="B607" t="s">
        <v>1292</v>
      </c>
      <c r="C607" t="s">
        <v>1113</v>
      </c>
      <c r="D607" s="110">
        <v>-31</v>
      </c>
      <c r="E607" t="str">
        <f t="shared" si="25"/>
        <v>3</v>
      </c>
      <c r="F607" t="str">
        <f t="shared" si="24"/>
        <v>1.4</v>
      </c>
    </row>
    <row r="608" spans="1:6" x14ac:dyDescent="0.25">
      <c r="A608" s="109">
        <v>2341</v>
      </c>
      <c r="B608" t="s">
        <v>1293</v>
      </c>
      <c r="C608" t="s">
        <v>1113</v>
      </c>
      <c r="D608" s="110">
        <v>-31</v>
      </c>
      <c r="E608" t="str">
        <f t="shared" si="25"/>
        <v>3</v>
      </c>
      <c r="F608" t="str">
        <f t="shared" si="24"/>
        <v>1.4</v>
      </c>
    </row>
    <row r="609" spans="1:6" x14ac:dyDescent="0.25">
      <c r="A609" s="109">
        <v>2342</v>
      </c>
      <c r="B609" t="s">
        <v>1294</v>
      </c>
      <c r="C609" t="s">
        <v>1113</v>
      </c>
      <c r="D609" s="110">
        <v>-31</v>
      </c>
      <c r="E609" t="str">
        <f t="shared" si="25"/>
        <v>3</v>
      </c>
      <c r="F609" t="str">
        <f t="shared" si="24"/>
        <v>1.4</v>
      </c>
    </row>
    <row r="610" spans="1:6" x14ac:dyDescent="0.25">
      <c r="A610" s="109">
        <v>2343</v>
      </c>
      <c r="B610" t="s">
        <v>1295</v>
      </c>
      <c r="C610" t="s">
        <v>1113</v>
      </c>
      <c r="D610" s="110">
        <v>-31</v>
      </c>
      <c r="E610" t="str">
        <f t="shared" si="25"/>
        <v>3</v>
      </c>
      <c r="F610" t="str">
        <f t="shared" si="24"/>
        <v>1.4</v>
      </c>
    </row>
    <row r="611" spans="1:6" x14ac:dyDescent="0.25">
      <c r="A611" s="109">
        <v>2344</v>
      </c>
      <c r="B611" t="s">
        <v>1296</v>
      </c>
      <c r="C611" t="s">
        <v>1113</v>
      </c>
      <c r="D611" s="110">
        <v>-31</v>
      </c>
      <c r="E611" t="str">
        <f t="shared" si="25"/>
        <v>3</v>
      </c>
      <c r="F611" t="str">
        <f t="shared" si="24"/>
        <v>1.4</v>
      </c>
    </row>
    <row r="612" spans="1:6" x14ac:dyDescent="0.25">
      <c r="A612" s="109">
        <v>2357</v>
      </c>
      <c r="B612" t="s">
        <v>1297</v>
      </c>
      <c r="C612" t="s">
        <v>1113</v>
      </c>
      <c r="D612" s="110">
        <v>-31</v>
      </c>
      <c r="E612" t="str">
        <f t="shared" si="25"/>
        <v>3</v>
      </c>
      <c r="F612" t="str">
        <f t="shared" si="24"/>
        <v>1.4</v>
      </c>
    </row>
    <row r="613" spans="1:6" x14ac:dyDescent="0.25">
      <c r="A613" s="109">
        <v>2379</v>
      </c>
      <c r="B613" t="s">
        <v>1298</v>
      </c>
      <c r="C613" t="s">
        <v>1113</v>
      </c>
      <c r="D613" s="110">
        <v>-31</v>
      </c>
      <c r="E613" t="str">
        <f t="shared" si="25"/>
        <v>3</v>
      </c>
      <c r="F613" t="str">
        <f t="shared" si="24"/>
        <v>1.4</v>
      </c>
    </row>
    <row r="614" spans="1:6" x14ac:dyDescent="0.25">
      <c r="A614" s="109">
        <v>2380</v>
      </c>
      <c r="B614" t="s">
        <v>1299</v>
      </c>
      <c r="C614" t="s">
        <v>1113</v>
      </c>
      <c r="D614" s="110">
        <v>-31</v>
      </c>
      <c r="E614" t="str">
        <f t="shared" si="25"/>
        <v>3</v>
      </c>
      <c r="F614" t="str">
        <f t="shared" si="24"/>
        <v>1.4</v>
      </c>
    </row>
    <row r="615" spans="1:6" x14ac:dyDescent="0.25">
      <c r="A615" s="109">
        <v>2395</v>
      </c>
      <c r="B615" t="s">
        <v>1300</v>
      </c>
      <c r="C615" t="s">
        <v>1113</v>
      </c>
      <c r="D615" s="110">
        <v>-31</v>
      </c>
      <c r="E615" t="str">
        <f t="shared" si="25"/>
        <v>3</v>
      </c>
      <c r="F615" t="str">
        <f t="shared" si="24"/>
        <v>1.4</v>
      </c>
    </row>
    <row r="616" spans="1:6" x14ac:dyDescent="0.25">
      <c r="A616" s="109">
        <v>2396</v>
      </c>
      <c r="B616" t="s">
        <v>1301</v>
      </c>
      <c r="C616" t="s">
        <v>1113</v>
      </c>
      <c r="D616" s="110">
        <v>-31</v>
      </c>
      <c r="E616" t="str">
        <f t="shared" si="25"/>
        <v>3</v>
      </c>
      <c r="F616" t="str">
        <f t="shared" si="24"/>
        <v>1.4</v>
      </c>
    </row>
    <row r="617" spans="1:6" x14ac:dyDescent="0.25">
      <c r="A617" s="109">
        <v>2420</v>
      </c>
      <c r="B617" t="s">
        <v>1302</v>
      </c>
      <c r="C617" t="s">
        <v>1113</v>
      </c>
      <c r="D617" s="110">
        <v>-31</v>
      </c>
      <c r="E617" t="str">
        <f t="shared" si="25"/>
        <v>3</v>
      </c>
      <c r="F617" t="str">
        <f t="shared" si="24"/>
        <v>1.4</v>
      </c>
    </row>
    <row r="618" spans="1:6" x14ac:dyDescent="0.25">
      <c r="A618" s="109">
        <v>2422</v>
      </c>
      <c r="B618" t="s">
        <v>1303</v>
      </c>
      <c r="C618" t="s">
        <v>1113</v>
      </c>
      <c r="D618" s="110">
        <v>-31</v>
      </c>
      <c r="E618" t="str">
        <f t="shared" si="25"/>
        <v>3</v>
      </c>
      <c r="F618" t="str">
        <f t="shared" si="24"/>
        <v>1.4</v>
      </c>
    </row>
    <row r="619" spans="1:6" x14ac:dyDescent="0.25">
      <c r="A619" s="109">
        <v>2424</v>
      </c>
      <c r="B619" t="s">
        <v>1304</v>
      </c>
      <c r="C619" t="s">
        <v>1113</v>
      </c>
      <c r="D619" s="110">
        <v>-31</v>
      </c>
      <c r="E619" t="str">
        <f t="shared" si="25"/>
        <v>3</v>
      </c>
      <c r="F619" t="str">
        <f t="shared" si="24"/>
        <v>1.4</v>
      </c>
    </row>
    <row r="620" spans="1:6" x14ac:dyDescent="0.25">
      <c r="A620" s="109">
        <v>2426</v>
      </c>
      <c r="B620" t="s">
        <v>1305</v>
      </c>
      <c r="C620" t="s">
        <v>1113</v>
      </c>
      <c r="D620" s="110">
        <v>-31</v>
      </c>
      <c r="E620" t="str">
        <f t="shared" si="25"/>
        <v>3</v>
      </c>
      <c r="F620" t="str">
        <f t="shared" si="24"/>
        <v>1.4</v>
      </c>
    </row>
    <row r="621" spans="1:6" x14ac:dyDescent="0.25">
      <c r="A621" s="109">
        <v>2427</v>
      </c>
      <c r="B621" t="s">
        <v>1306</v>
      </c>
      <c r="C621" t="s">
        <v>1113</v>
      </c>
      <c r="D621" s="110">
        <v>-31</v>
      </c>
      <c r="E621" t="str">
        <f t="shared" si="25"/>
        <v>3</v>
      </c>
      <c r="F621" t="str">
        <f t="shared" si="24"/>
        <v>1.4</v>
      </c>
    </row>
    <row r="622" spans="1:6" x14ac:dyDescent="0.25">
      <c r="A622" s="109">
        <v>2429</v>
      </c>
      <c r="B622" t="s">
        <v>1307</v>
      </c>
      <c r="C622" t="s">
        <v>1113</v>
      </c>
      <c r="D622" s="110">
        <v>-31</v>
      </c>
      <c r="E622" t="str">
        <f t="shared" si="25"/>
        <v>3</v>
      </c>
      <c r="F622" t="str">
        <f t="shared" si="24"/>
        <v>1.4</v>
      </c>
    </row>
    <row r="623" spans="1:6" x14ac:dyDescent="0.25">
      <c r="A623" s="109">
        <v>2439</v>
      </c>
      <c r="B623" t="s">
        <v>1308</v>
      </c>
      <c r="C623" t="s">
        <v>1113</v>
      </c>
      <c r="D623" s="110">
        <v>-31</v>
      </c>
      <c r="E623" t="str">
        <f t="shared" si="25"/>
        <v>3</v>
      </c>
      <c r="F623" t="str">
        <f t="shared" si="24"/>
        <v>1.4</v>
      </c>
    </row>
    <row r="624" spans="1:6" x14ac:dyDescent="0.25">
      <c r="A624" s="109">
        <v>2440</v>
      </c>
      <c r="B624" t="s">
        <v>1309</v>
      </c>
      <c r="C624" t="s">
        <v>1113</v>
      </c>
      <c r="D624" s="110">
        <v>-31</v>
      </c>
      <c r="E624" t="str">
        <f t="shared" si="25"/>
        <v>3</v>
      </c>
      <c r="F624" t="str">
        <f t="shared" si="24"/>
        <v>1.4</v>
      </c>
    </row>
    <row r="625" spans="1:6" x14ac:dyDescent="0.25">
      <c r="A625" s="109">
        <v>2443</v>
      </c>
      <c r="B625" t="s">
        <v>1310</v>
      </c>
      <c r="C625" t="s">
        <v>1113</v>
      </c>
      <c r="D625" s="110">
        <v>-31</v>
      </c>
      <c r="E625" t="str">
        <f t="shared" si="25"/>
        <v>3</v>
      </c>
      <c r="F625" t="str">
        <f t="shared" si="24"/>
        <v>1.4</v>
      </c>
    </row>
    <row r="626" spans="1:6" x14ac:dyDescent="0.25">
      <c r="A626" s="109">
        <v>2444</v>
      </c>
      <c r="B626" t="s">
        <v>1311</v>
      </c>
      <c r="C626" t="s">
        <v>1113</v>
      </c>
      <c r="D626" s="110">
        <v>-31</v>
      </c>
      <c r="E626" t="str">
        <f t="shared" si="25"/>
        <v>3</v>
      </c>
      <c r="F626" t="str">
        <f t="shared" si="24"/>
        <v>1.4</v>
      </c>
    </row>
    <row r="627" spans="1:6" x14ac:dyDescent="0.25">
      <c r="A627" s="109">
        <v>2445</v>
      </c>
      <c r="B627" t="s">
        <v>1312</v>
      </c>
      <c r="C627" t="s">
        <v>1113</v>
      </c>
      <c r="D627" s="110">
        <v>-31</v>
      </c>
      <c r="E627" t="str">
        <f t="shared" si="25"/>
        <v>3</v>
      </c>
      <c r="F627" t="str">
        <f t="shared" si="24"/>
        <v>1.4</v>
      </c>
    </row>
    <row r="628" spans="1:6" x14ac:dyDescent="0.25">
      <c r="A628" s="109">
        <v>2446</v>
      </c>
      <c r="B628" t="s">
        <v>1313</v>
      </c>
      <c r="C628" t="s">
        <v>1113</v>
      </c>
      <c r="D628" s="110">
        <v>-31</v>
      </c>
      <c r="E628" t="str">
        <f t="shared" si="25"/>
        <v>3</v>
      </c>
      <c r="F628" t="str">
        <f t="shared" si="24"/>
        <v>1.4</v>
      </c>
    </row>
    <row r="629" spans="1:6" x14ac:dyDescent="0.25">
      <c r="A629" s="109">
        <v>2824</v>
      </c>
      <c r="B629" t="s">
        <v>1314</v>
      </c>
      <c r="C629" t="s">
        <v>1113</v>
      </c>
      <c r="D629" s="110">
        <v>-31</v>
      </c>
      <c r="E629" t="str">
        <f t="shared" si="25"/>
        <v>3</v>
      </c>
      <c r="F629" t="str">
        <f t="shared" si="24"/>
        <v>1.4</v>
      </c>
    </row>
    <row r="630" spans="1:6" x14ac:dyDescent="0.25">
      <c r="A630" s="109">
        <v>2825</v>
      </c>
      <c r="B630" t="s">
        <v>1315</v>
      </c>
      <c r="C630" t="s">
        <v>1113</v>
      </c>
      <c r="D630" s="110">
        <v>-31</v>
      </c>
      <c r="E630" t="str">
        <f t="shared" si="25"/>
        <v>3</v>
      </c>
      <c r="F630" t="str">
        <f t="shared" si="24"/>
        <v>1.4</v>
      </c>
    </row>
    <row r="631" spans="1:6" x14ac:dyDescent="0.25">
      <c r="A631" s="109">
        <v>2827</v>
      </c>
      <c r="B631" t="s">
        <v>1316</v>
      </c>
      <c r="C631" t="s">
        <v>1113</v>
      </c>
      <c r="D631" s="110">
        <v>-31</v>
      </c>
      <c r="E631" t="str">
        <f t="shared" si="25"/>
        <v>3</v>
      </c>
      <c r="F631" t="str">
        <f t="shared" si="24"/>
        <v>1.4</v>
      </c>
    </row>
    <row r="632" spans="1:6" x14ac:dyDescent="0.25">
      <c r="A632" s="109">
        <v>2828</v>
      </c>
      <c r="B632" t="s">
        <v>1317</v>
      </c>
      <c r="C632" t="s">
        <v>1113</v>
      </c>
      <c r="D632" s="110">
        <v>-31</v>
      </c>
      <c r="E632" t="str">
        <f t="shared" si="25"/>
        <v>3</v>
      </c>
      <c r="F632" t="str">
        <f t="shared" si="24"/>
        <v>1.4</v>
      </c>
    </row>
    <row r="633" spans="1:6" x14ac:dyDescent="0.25">
      <c r="A633" s="109">
        <v>2829</v>
      </c>
      <c r="B633" t="s">
        <v>1318</v>
      </c>
      <c r="C633" t="s">
        <v>1113</v>
      </c>
      <c r="D633" s="110">
        <v>-31</v>
      </c>
      <c r="E633" t="str">
        <f t="shared" si="25"/>
        <v>3</v>
      </c>
      <c r="F633" t="str">
        <f t="shared" si="24"/>
        <v>1.4</v>
      </c>
    </row>
    <row r="634" spans="1:6" x14ac:dyDescent="0.25">
      <c r="A634" s="109">
        <v>2835</v>
      </c>
      <c r="B634" t="s">
        <v>1319</v>
      </c>
      <c r="C634" t="s">
        <v>1113</v>
      </c>
      <c r="D634" s="110">
        <v>-31</v>
      </c>
      <c r="E634" t="str">
        <f t="shared" si="25"/>
        <v>3</v>
      </c>
      <c r="F634" t="str">
        <f t="shared" si="24"/>
        <v>1.4</v>
      </c>
    </row>
    <row r="635" spans="1:6" x14ac:dyDescent="0.25">
      <c r="A635" s="109">
        <v>2842</v>
      </c>
      <c r="B635" t="s">
        <v>1320</v>
      </c>
      <c r="C635" t="s">
        <v>1113</v>
      </c>
      <c r="D635" s="110">
        <v>-31</v>
      </c>
      <c r="E635" t="str">
        <f t="shared" si="25"/>
        <v>3</v>
      </c>
      <c r="F635" t="str">
        <f t="shared" si="24"/>
        <v>1.4</v>
      </c>
    </row>
    <row r="636" spans="1:6" x14ac:dyDescent="0.25">
      <c r="A636" s="109">
        <v>2843</v>
      </c>
      <c r="B636" t="s">
        <v>1321</v>
      </c>
      <c r="C636" t="s">
        <v>1113</v>
      </c>
      <c r="D636" s="110">
        <v>-31</v>
      </c>
      <c r="E636" t="str">
        <f t="shared" si="25"/>
        <v>3</v>
      </c>
      <c r="F636" t="str">
        <f t="shared" si="24"/>
        <v>1.4</v>
      </c>
    </row>
    <row r="637" spans="1:6" x14ac:dyDescent="0.25">
      <c r="A637" s="109">
        <v>2880</v>
      </c>
      <c r="B637" t="s">
        <v>1322</v>
      </c>
      <c r="C637" t="s">
        <v>1113</v>
      </c>
      <c r="D637" s="110">
        <v>-31</v>
      </c>
      <c r="E637" t="str">
        <f t="shared" si="25"/>
        <v>3</v>
      </c>
      <c r="F637" t="str">
        <f t="shared" si="24"/>
        <v>1.4</v>
      </c>
    </row>
    <row r="638" spans="1:6" x14ac:dyDescent="0.25">
      <c r="A638" s="109">
        <v>2898</v>
      </c>
      <c r="B638" t="s">
        <v>1323</v>
      </c>
      <c r="C638" t="s">
        <v>1113</v>
      </c>
      <c r="D638" s="110">
        <v>-31</v>
      </c>
      <c r="E638" t="str">
        <f t="shared" si="25"/>
        <v>3</v>
      </c>
      <c r="F638" t="str">
        <f t="shared" si="24"/>
        <v>1.4</v>
      </c>
    </row>
    <row r="639" spans="1:6" x14ac:dyDescent="0.25">
      <c r="A639" s="109">
        <v>5434</v>
      </c>
      <c r="B639" t="s">
        <v>1324</v>
      </c>
      <c r="C639" t="s">
        <v>1105</v>
      </c>
      <c r="D639" s="110">
        <v>-31</v>
      </c>
      <c r="E639" t="str">
        <f t="shared" si="25"/>
        <v>3</v>
      </c>
      <c r="F639" t="str">
        <f t="shared" si="24"/>
        <v>1.4</v>
      </c>
    </row>
    <row r="640" spans="1:6" x14ac:dyDescent="0.25">
      <c r="A640" s="109">
        <v>5720</v>
      </c>
      <c r="B640" t="s">
        <v>1325</v>
      </c>
      <c r="C640" t="s">
        <v>1105</v>
      </c>
      <c r="D640" s="110">
        <v>-31</v>
      </c>
      <c r="E640" t="str">
        <f t="shared" si="25"/>
        <v>3</v>
      </c>
      <c r="F640" t="str">
        <f t="shared" si="24"/>
        <v>1.4</v>
      </c>
    </row>
    <row r="641" spans="1:6" x14ac:dyDescent="0.25">
      <c r="A641" s="109">
        <v>5730</v>
      </c>
      <c r="B641" t="s">
        <v>1326</v>
      </c>
      <c r="C641" t="s">
        <v>1105</v>
      </c>
      <c r="D641" s="110">
        <v>-31</v>
      </c>
      <c r="E641" t="str">
        <f t="shared" si="25"/>
        <v>3</v>
      </c>
      <c r="F641" t="str">
        <f t="shared" si="24"/>
        <v>1.4</v>
      </c>
    </row>
    <row r="642" spans="1:6" x14ac:dyDescent="0.25">
      <c r="A642" s="109">
        <v>6000</v>
      </c>
      <c r="B642" t="s">
        <v>1327</v>
      </c>
      <c r="C642" t="s">
        <v>686</v>
      </c>
      <c r="D642" s="110">
        <v>-31</v>
      </c>
      <c r="E642" t="str">
        <f t="shared" si="25"/>
        <v>3</v>
      </c>
      <c r="F642" t="str">
        <f t="shared" si="24"/>
        <v>1.4</v>
      </c>
    </row>
    <row r="643" spans="1:6" x14ac:dyDescent="0.25">
      <c r="A643" s="109">
        <v>6004</v>
      </c>
      <c r="B643" t="s">
        <v>1328</v>
      </c>
      <c r="C643" t="s">
        <v>686</v>
      </c>
      <c r="D643" s="110">
        <v>-31</v>
      </c>
      <c r="E643" t="str">
        <f t="shared" si="25"/>
        <v>3</v>
      </c>
      <c r="F643" t="str">
        <f t="shared" ref="F643:F706" si="26">IF(D643&lt;-34,"1.6",IF(D643&lt;-26,"1.4",IF(D643&lt;-18,"1.2",IF(D643&lt;-8,"1","lits"))))</f>
        <v>1.4</v>
      </c>
    </row>
    <row r="644" spans="1:6" x14ac:dyDescent="0.25">
      <c r="A644" s="109">
        <v>6005</v>
      </c>
      <c r="B644" t="s">
        <v>1329</v>
      </c>
      <c r="C644" t="s">
        <v>686</v>
      </c>
      <c r="D644" s="110">
        <v>-31</v>
      </c>
      <c r="E644" t="str">
        <f t="shared" si="25"/>
        <v>3</v>
      </c>
      <c r="F644" t="str">
        <f t="shared" si="26"/>
        <v>1.4</v>
      </c>
    </row>
    <row r="645" spans="1:6" x14ac:dyDescent="0.25">
      <c r="A645" s="109">
        <v>6006</v>
      </c>
      <c r="B645" t="s">
        <v>1330</v>
      </c>
      <c r="C645" t="s">
        <v>686</v>
      </c>
      <c r="D645" s="110">
        <v>-31</v>
      </c>
      <c r="E645" t="str">
        <f t="shared" si="25"/>
        <v>3</v>
      </c>
      <c r="F645" t="str">
        <f t="shared" si="26"/>
        <v>1.4</v>
      </c>
    </row>
    <row r="646" spans="1:6" x14ac:dyDescent="0.25">
      <c r="A646" s="109">
        <v>6007</v>
      </c>
      <c r="B646" t="s">
        <v>1331</v>
      </c>
      <c r="C646" t="s">
        <v>686</v>
      </c>
      <c r="D646" s="110">
        <v>-31</v>
      </c>
      <c r="E646" t="str">
        <f t="shared" si="25"/>
        <v>3</v>
      </c>
      <c r="F646" t="str">
        <f t="shared" si="26"/>
        <v>1.4</v>
      </c>
    </row>
    <row r="647" spans="1:6" x14ac:dyDescent="0.25">
      <c r="A647" s="109">
        <v>6008</v>
      </c>
      <c r="B647" t="s">
        <v>1332</v>
      </c>
      <c r="C647" t="s">
        <v>686</v>
      </c>
      <c r="D647" s="110">
        <v>-31</v>
      </c>
      <c r="E647" t="str">
        <f t="shared" si="25"/>
        <v>3</v>
      </c>
      <c r="F647" t="str">
        <f t="shared" si="26"/>
        <v>1.4</v>
      </c>
    </row>
    <row r="648" spans="1:6" x14ac:dyDescent="0.25">
      <c r="A648" s="109">
        <v>6009</v>
      </c>
      <c r="B648" t="s">
        <v>1333</v>
      </c>
      <c r="C648" t="s">
        <v>686</v>
      </c>
      <c r="D648" s="110">
        <v>-31</v>
      </c>
      <c r="E648" t="str">
        <f t="shared" si="25"/>
        <v>3</v>
      </c>
      <c r="F648" t="str">
        <f t="shared" si="26"/>
        <v>1.4</v>
      </c>
    </row>
    <row r="649" spans="1:6" x14ac:dyDescent="0.25">
      <c r="A649" s="109">
        <v>6010</v>
      </c>
      <c r="B649" t="s">
        <v>1334</v>
      </c>
      <c r="C649" t="s">
        <v>686</v>
      </c>
      <c r="D649" s="110">
        <v>-31</v>
      </c>
      <c r="E649" t="str">
        <f t="shared" si="25"/>
        <v>3</v>
      </c>
      <c r="F649" t="str">
        <f t="shared" si="26"/>
        <v>1.4</v>
      </c>
    </row>
    <row r="650" spans="1:6" x14ac:dyDescent="0.25">
      <c r="A650" s="109">
        <v>6014</v>
      </c>
      <c r="B650" t="s">
        <v>1335</v>
      </c>
      <c r="C650" t="s">
        <v>686</v>
      </c>
      <c r="D650" s="110">
        <v>-31</v>
      </c>
      <c r="E650" t="str">
        <f t="shared" si="25"/>
        <v>3</v>
      </c>
      <c r="F650" t="str">
        <f t="shared" si="26"/>
        <v>1.4</v>
      </c>
    </row>
    <row r="651" spans="1:6" x14ac:dyDescent="0.25">
      <c r="A651" s="109">
        <v>6015</v>
      </c>
      <c r="B651" t="s">
        <v>1336</v>
      </c>
      <c r="C651" t="s">
        <v>686</v>
      </c>
      <c r="D651" s="110">
        <v>-31</v>
      </c>
      <c r="E651" t="str">
        <f t="shared" si="25"/>
        <v>3</v>
      </c>
      <c r="F651" t="str">
        <f t="shared" si="26"/>
        <v>1.4</v>
      </c>
    </row>
    <row r="652" spans="1:6" x14ac:dyDescent="0.25">
      <c r="A652" s="109">
        <v>6016</v>
      </c>
      <c r="B652" t="s">
        <v>1337</v>
      </c>
      <c r="C652" t="s">
        <v>686</v>
      </c>
      <c r="D652" s="110">
        <v>-31</v>
      </c>
      <c r="E652" t="str">
        <f t="shared" si="25"/>
        <v>3</v>
      </c>
      <c r="F652" t="str">
        <f t="shared" si="26"/>
        <v>1.4</v>
      </c>
    </row>
    <row r="653" spans="1:6" x14ac:dyDescent="0.25">
      <c r="A653" s="109">
        <v>6017</v>
      </c>
      <c r="B653" t="s">
        <v>1338</v>
      </c>
      <c r="C653" t="s">
        <v>686</v>
      </c>
      <c r="D653" s="110">
        <v>-31</v>
      </c>
      <c r="E653" t="str">
        <f t="shared" si="25"/>
        <v>3</v>
      </c>
      <c r="F653" t="str">
        <f t="shared" si="26"/>
        <v>1.4</v>
      </c>
    </row>
    <row r="654" spans="1:6" x14ac:dyDescent="0.25">
      <c r="A654" s="109">
        <v>6018</v>
      </c>
      <c r="B654" t="s">
        <v>1067</v>
      </c>
      <c r="C654" t="s">
        <v>686</v>
      </c>
      <c r="D654" s="110">
        <v>-31</v>
      </c>
      <c r="E654" t="str">
        <f t="shared" si="25"/>
        <v>3</v>
      </c>
      <c r="F654" t="str">
        <f t="shared" si="26"/>
        <v>1.4</v>
      </c>
    </row>
    <row r="655" spans="1:6" x14ac:dyDescent="0.25">
      <c r="A655" s="109">
        <v>6019</v>
      </c>
      <c r="B655" t="s">
        <v>1339</v>
      </c>
      <c r="C655" t="s">
        <v>686</v>
      </c>
      <c r="D655" s="110">
        <v>-31</v>
      </c>
      <c r="E655" t="str">
        <f t="shared" si="25"/>
        <v>3</v>
      </c>
      <c r="F655" t="str">
        <f t="shared" si="26"/>
        <v>1.4</v>
      </c>
    </row>
    <row r="656" spans="1:6" x14ac:dyDescent="0.25">
      <c r="A656" s="109">
        <v>6020</v>
      </c>
      <c r="B656" t="s">
        <v>1340</v>
      </c>
      <c r="C656" t="s">
        <v>686</v>
      </c>
      <c r="D656" s="110">
        <v>-31</v>
      </c>
      <c r="E656" t="str">
        <f t="shared" si="25"/>
        <v>3</v>
      </c>
      <c r="F656" t="str">
        <f t="shared" si="26"/>
        <v>1.4</v>
      </c>
    </row>
    <row r="657" spans="1:6" x14ac:dyDescent="0.25">
      <c r="A657" s="109">
        <v>6021</v>
      </c>
      <c r="B657" t="s">
        <v>1341</v>
      </c>
      <c r="C657" t="s">
        <v>686</v>
      </c>
      <c r="D657" s="110">
        <v>-31</v>
      </c>
      <c r="E657" t="str">
        <f t="shared" si="25"/>
        <v>3</v>
      </c>
      <c r="F657" t="str">
        <f t="shared" si="26"/>
        <v>1.4</v>
      </c>
    </row>
    <row r="658" spans="1:6" x14ac:dyDescent="0.25">
      <c r="A658" s="109">
        <v>6022</v>
      </c>
      <c r="B658" t="s">
        <v>1342</v>
      </c>
      <c r="C658" t="s">
        <v>686</v>
      </c>
      <c r="D658" s="110">
        <v>-31</v>
      </c>
      <c r="E658" t="str">
        <f t="shared" si="25"/>
        <v>3</v>
      </c>
      <c r="F658" t="str">
        <f t="shared" si="26"/>
        <v>1.4</v>
      </c>
    </row>
    <row r="659" spans="1:6" x14ac:dyDescent="0.25">
      <c r="A659" s="109">
        <v>6023</v>
      </c>
      <c r="B659" t="s">
        <v>1343</v>
      </c>
      <c r="C659" t="s">
        <v>686</v>
      </c>
      <c r="D659" s="110">
        <v>-31</v>
      </c>
      <c r="E659" t="str">
        <f t="shared" si="25"/>
        <v>3</v>
      </c>
      <c r="F659" t="str">
        <f t="shared" si="26"/>
        <v>1.4</v>
      </c>
    </row>
    <row r="660" spans="1:6" x14ac:dyDescent="0.25">
      <c r="A660" s="109">
        <v>6024</v>
      </c>
      <c r="B660" t="s">
        <v>1149</v>
      </c>
      <c r="C660" t="s">
        <v>686</v>
      </c>
      <c r="D660" s="110">
        <v>-31</v>
      </c>
      <c r="E660" t="str">
        <f t="shared" si="25"/>
        <v>3</v>
      </c>
      <c r="F660" t="str">
        <f t="shared" si="26"/>
        <v>1.4</v>
      </c>
    </row>
    <row r="661" spans="1:6" x14ac:dyDescent="0.25">
      <c r="A661" s="109">
        <v>6025</v>
      </c>
      <c r="B661" t="s">
        <v>1344</v>
      </c>
      <c r="C661" t="s">
        <v>686</v>
      </c>
      <c r="D661" s="110">
        <v>-31</v>
      </c>
      <c r="E661" t="str">
        <f t="shared" si="25"/>
        <v>3</v>
      </c>
      <c r="F661" t="str">
        <f t="shared" si="26"/>
        <v>1.4</v>
      </c>
    </row>
    <row r="662" spans="1:6" x14ac:dyDescent="0.25">
      <c r="A662" s="109">
        <v>6026</v>
      </c>
      <c r="B662" t="s">
        <v>1345</v>
      </c>
      <c r="C662" t="s">
        <v>686</v>
      </c>
      <c r="D662" s="110">
        <v>-31</v>
      </c>
      <c r="E662" t="str">
        <f t="shared" si="25"/>
        <v>3</v>
      </c>
      <c r="F662" t="str">
        <f t="shared" si="26"/>
        <v>1.4</v>
      </c>
    </row>
    <row r="663" spans="1:6" x14ac:dyDescent="0.25">
      <c r="A663" s="109">
        <v>6027</v>
      </c>
      <c r="B663" t="s">
        <v>1346</v>
      </c>
      <c r="C663" t="s">
        <v>686</v>
      </c>
      <c r="D663" s="110">
        <v>-31</v>
      </c>
      <c r="E663" t="str">
        <f t="shared" si="25"/>
        <v>3</v>
      </c>
      <c r="F663" t="str">
        <f t="shared" si="26"/>
        <v>1.4</v>
      </c>
    </row>
    <row r="664" spans="1:6" x14ac:dyDescent="0.25">
      <c r="A664" s="109">
        <v>6028</v>
      </c>
      <c r="B664" t="s">
        <v>1347</v>
      </c>
      <c r="C664" t="s">
        <v>686</v>
      </c>
      <c r="D664" s="110">
        <v>-31</v>
      </c>
      <c r="E664" t="str">
        <f t="shared" si="25"/>
        <v>3</v>
      </c>
      <c r="F664" t="str">
        <f t="shared" si="26"/>
        <v>1.4</v>
      </c>
    </row>
    <row r="665" spans="1:6" x14ac:dyDescent="0.25">
      <c r="A665" s="109">
        <v>6029</v>
      </c>
      <c r="B665" t="s">
        <v>1348</v>
      </c>
      <c r="C665" t="s">
        <v>686</v>
      </c>
      <c r="D665" s="110">
        <v>-31</v>
      </c>
      <c r="E665" t="str">
        <f t="shared" si="25"/>
        <v>3</v>
      </c>
      <c r="F665" t="str">
        <f t="shared" si="26"/>
        <v>1.4</v>
      </c>
    </row>
    <row r="666" spans="1:6" x14ac:dyDescent="0.25">
      <c r="A666" s="109">
        <v>6030</v>
      </c>
      <c r="B666" t="s">
        <v>1349</v>
      </c>
      <c r="C666" t="s">
        <v>686</v>
      </c>
      <c r="D666" s="110">
        <v>-31</v>
      </c>
      <c r="E666" t="str">
        <f t="shared" si="25"/>
        <v>3</v>
      </c>
      <c r="F666" t="str">
        <f t="shared" si="26"/>
        <v>1.4</v>
      </c>
    </row>
    <row r="667" spans="1:6" x14ac:dyDescent="0.25">
      <c r="A667" s="109">
        <v>6031</v>
      </c>
      <c r="B667" t="s">
        <v>1350</v>
      </c>
      <c r="C667" t="s">
        <v>686</v>
      </c>
      <c r="D667" s="110">
        <v>-31</v>
      </c>
      <c r="E667" t="str">
        <f t="shared" ref="E667:E730" si="27">IF(D667&lt;-34,"4",IF(D667&lt;-26,"3",IF(D667&lt;-18,"2",IF(D667&lt;-8,"1","lits"))))</f>
        <v>3</v>
      </c>
      <c r="F667" t="str">
        <f t="shared" si="26"/>
        <v>1.4</v>
      </c>
    </row>
    <row r="668" spans="1:6" x14ac:dyDescent="0.25">
      <c r="A668" s="109">
        <v>6032</v>
      </c>
      <c r="B668" t="s">
        <v>1351</v>
      </c>
      <c r="C668" t="s">
        <v>686</v>
      </c>
      <c r="D668" s="110">
        <v>-31</v>
      </c>
      <c r="E668" t="str">
        <f t="shared" si="27"/>
        <v>3</v>
      </c>
      <c r="F668" t="str">
        <f t="shared" si="26"/>
        <v>1.4</v>
      </c>
    </row>
    <row r="669" spans="1:6" x14ac:dyDescent="0.25">
      <c r="A669" s="109">
        <v>6033</v>
      </c>
      <c r="B669" t="s">
        <v>1352</v>
      </c>
      <c r="C669" t="s">
        <v>686</v>
      </c>
      <c r="D669" s="110">
        <v>-31</v>
      </c>
      <c r="E669" t="str">
        <f t="shared" si="27"/>
        <v>3</v>
      </c>
      <c r="F669" t="str">
        <f t="shared" si="26"/>
        <v>1.4</v>
      </c>
    </row>
    <row r="670" spans="1:6" x14ac:dyDescent="0.25">
      <c r="A670" s="109">
        <v>6035</v>
      </c>
      <c r="B670" t="s">
        <v>1353</v>
      </c>
      <c r="C670" t="s">
        <v>686</v>
      </c>
      <c r="D670" s="110">
        <v>-31</v>
      </c>
      <c r="E670" t="str">
        <f t="shared" si="27"/>
        <v>3</v>
      </c>
      <c r="F670" t="str">
        <f t="shared" si="26"/>
        <v>1.4</v>
      </c>
    </row>
    <row r="671" spans="1:6" x14ac:dyDescent="0.25">
      <c r="A671" s="109">
        <v>6037</v>
      </c>
      <c r="B671" t="s">
        <v>1354</v>
      </c>
      <c r="C671" t="s">
        <v>686</v>
      </c>
      <c r="D671" s="110">
        <v>-31</v>
      </c>
      <c r="E671" t="str">
        <f t="shared" si="27"/>
        <v>3</v>
      </c>
      <c r="F671" t="str">
        <f t="shared" si="26"/>
        <v>1.4</v>
      </c>
    </row>
    <row r="672" spans="1:6" x14ac:dyDescent="0.25">
      <c r="A672" s="109">
        <v>6041</v>
      </c>
      <c r="B672" t="s">
        <v>994</v>
      </c>
      <c r="C672" t="s">
        <v>686</v>
      </c>
      <c r="D672" s="110">
        <v>-31</v>
      </c>
      <c r="E672" t="str">
        <f t="shared" si="27"/>
        <v>3</v>
      </c>
      <c r="F672" t="str">
        <f t="shared" si="26"/>
        <v>1.4</v>
      </c>
    </row>
    <row r="673" spans="1:6" x14ac:dyDescent="0.25">
      <c r="A673" s="109">
        <v>6042</v>
      </c>
      <c r="B673" t="s">
        <v>1355</v>
      </c>
      <c r="C673" t="s">
        <v>686</v>
      </c>
      <c r="D673" s="110">
        <v>-31</v>
      </c>
      <c r="E673" t="str">
        <f t="shared" si="27"/>
        <v>3</v>
      </c>
      <c r="F673" t="str">
        <f t="shared" si="26"/>
        <v>1.4</v>
      </c>
    </row>
    <row r="674" spans="1:6" x14ac:dyDescent="0.25">
      <c r="A674" s="109">
        <v>6043</v>
      </c>
      <c r="B674" t="s">
        <v>1356</v>
      </c>
      <c r="C674" t="s">
        <v>686</v>
      </c>
      <c r="D674" s="110">
        <v>-31</v>
      </c>
      <c r="E674" t="str">
        <f t="shared" si="27"/>
        <v>3</v>
      </c>
      <c r="F674" t="str">
        <f t="shared" si="26"/>
        <v>1.4</v>
      </c>
    </row>
    <row r="675" spans="1:6" x14ac:dyDescent="0.25">
      <c r="A675" s="109">
        <v>6044</v>
      </c>
      <c r="B675" t="s">
        <v>1357</v>
      </c>
      <c r="C675" t="s">
        <v>686</v>
      </c>
      <c r="D675" s="110">
        <v>-31</v>
      </c>
      <c r="E675" t="str">
        <f t="shared" si="27"/>
        <v>3</v>
      </c>
      <c r="F675" t="str">
        <f t="shared" si="26"/>
        <v>1.4</v>
      </c>
    </row>
    <row r="676" spans="1:6" x14ac:dyDescent="0.25">
      <c r="A676" s="109">
        <v>6050</v>
      </c>
      <c r="B676" t="s">
        <v>1358</v>
      </c>
      <c r="C676" t="s">
        <v>686</v>
      </c>
      <c r="D676" s="110">
        <v>-31</v>
      </c>
      <c r="E676" t="str">
        <f t="shared" si="27"/>
        <v>3</v>
      </c>
      <c r="F676" t="str">
        <f t="shared" si="26"/>
        <v>1.4</v>
      </c>
    </row>
    <row r="677" spans="1:6" x14ac:dyDescent="0.25">
      <c r="A677" s="109">
        <v>6051</v>
      </c>
      <c r="B677" t="s">
        <v>1359</v>
      </c>
      <c r="C677" t="s">
        <v>686</v>
      </c>
      <c r="D677" s="110">
        <v>-31</v>
      </c>
      <c r="E677" t="str">
        <f t="shared" si="27"/>
        <v>3</v>
      </c>
      <c r="F677" t="str">
        <f t="shared" si="26"/>
        <v>1.4</v>
      </c>
    </row>
    <row r="678" spans="1:6" x14ac:dyDescent="0.25">
      <c r="A678" s="109">
        <v>6052</v>
      </c>
      <c r="B678" t="s">
        <v>1158</v>
      </c>
      <c r="C678" t="s">
        <v>686</v>
      </c>
      <c r="D678" s="110">
        <v>-31</v>
      </c>
      <c r="E678" t="str">
        <f t="shared" si="27"/>
        <v>3</v>
      </c>
      <c r="F678" t="str">
        <f t="shared" si="26"/>
        <v>1.4</v>
      </c>
    </row>
    <row r="679" spans="1:6" x14ac:dyDescent="0.25">
      <c r="A679" s="109">
        <v>6053</v>
      </c>
      <c r="B679" t="s">
        <v>1360</v>
      </c>
      <c r="C679" t="s">
        <v>686</v>
      </c>
      <c r="D679" s="110">
        <v>-31</v>
      </c>
      <c r="E679" t="str">
        <f t="shared" si="27"/>
        <v>3</v>
      </c>
      <c r="F679" t="str">
        <f t="shared" si="26"/>
        <v>1.4</v>
      </c>
    </row>
    <row r="680" spans="1:6" x14ac:dyDescent="0.25">
      <c r="A680" s="109">
        <v>6054</v>
      </c>
      <c r="B680" t="s">
        <v>1361</v>
      </c>
      <c r="C680" t="s">
        <v>686</v>
      </c>
      <c r="D680" s="110">
        <v>-31</v>
      </c>
      <c r="E680" t="str">
        <f t="shared" si="27"/>
        <v>3</v>
      </c>
      <c r="F680" t="str">
        <f t="shared" si="26"/>
        <v>1.4</v>
      </c>
    </row>
    <row r="681" spans="1:6" x14ac:dyDescent="0.25">
      <c r="A681" s="109">
        <v>6055</v>
      </c>
      <c r="B681" t="s">
        <v>1362</v>
      </c>
      <c r="C681" t="s">
        <v>686</v>
      </c>
      <c r="D681" s="110">
        <v>-31</v>
      </c>
      <c r="E681" t="str">
        <f t="shared" si="27"/>
        <v>3</v>
      </c>
      <c r="F681" t="str">
        <f t="shared" si="26"/>
        <v>1.4</v>
      </c>
    </row>
    <row r="682" spans="1:6" x14ac:dyDescent="0.25">
      <c r="A682" s="109">
        <v>6056</v>
      </c>
      <c r="B682" t="s">
        <v>1363</v>
      </c>
      <c r="C682" t="s">
        <v>686</v>
      </c>
      <c r="D682" s="110">
        <v>-31</v>
      </c>
      <c r="E682" t="str">
        <f t="shared" si="27"/>
        <v>3</v>
      </c>
      <c r="F682" t="str">
        <f t="shared" si="26"/>
        <v>1.4</v>
      </c>
    </row>
    <row r="683" spans="1:6" x14ac:dyDescent="0.25">
      <c r="A683" s="109">
        <v>6057</v>
      </c>
      <c r="B683" t="s">
        <v>1364</v>
      </c>
      <c r="C683" t="s">
        <v>686</v>
      </c>
      <c r="D683" s="110">
        <v>-31</v>
      </c>
      <c r="E683" t="str">
        <f t="shared" si="27"/>
        <v>3</v>
      </c>
      <c r="F683" t="str">
        <f t="shared" si="26"/>
        <v>1.4</v>
      </c>
    </row>
    <row r="684" spans="1:6" x14ac:dyDescent="0.25">
      <c r="A684" s="109">
        <v>6058</v>
      </c>
      <c r="B684" t="s">
        <v>1365</v>
      </c>
      <c r="C684" t="s">
        <v>686</v>
      </c>
      <c r="D684" s="110">
        <v>-31</v>
      </c>
      <c r="E684" t="str">
        <f t="shared" si="27"/>
        <v>3</v>
      </c>
      <c r="F684" t="str">
        <f t="shared" si="26"/>
        <v>1.4</v>
      </c>
    </row>
    <row r="685" spans="1:6" x14ac:dyDescent="0.25">
      <c r="A685" s="109">
        <v>6060</v>
      </c>
      <c r="B685" t="s">
        <v>1366</v>
      </c>
      <c r="C685" t="s">
        <v>686</v>
      </c>
      <c r="D685" s="110">
        <v>-31</v>
      </c>
      <c r="E685" t="str">
        <f t="shared" si="27"/>
        <v>3</v>
      </c>
      <c r="F685" t="str">
        <f t="shared" si="26"/>
        <v>1.4</v>
      </c>
    </row>
    <row r="686" spans="1:6" x14ac:dyDescent="0.25">
      <c r="A686" s="109">
        <v>6061</v>
      </c>
      <c r="B686" t="s">
        <v>1367</v>
      </c>
      <c r="C686" t="s">
        <v>686</v>
      </c>
      <c r="D686" s="110">
        <v>-31</v>
      </c>
      <c r="E686" t="str">
        <f t="shared" si="27"/>
        <v>3</v>
      </c>
      <c r="F686" t="str">
        <f t="shared" si="26"/>
        <v>1.4</v>
      </c>
    </row>
    <row r="687" spans="1:6" x14ac:dyDescent="0.25">
      <c r="A687" s="109">
        <v>6062</v>
      </c>
      <c r="B687" t="s">
        <v>1368</v>
      </c>
      <c r="C687" t="s">
        <v>686</v>
      </c>
      <c r="D687" s="110">
        <v>-31</v>
      </c>
      <c r="E687" t="str">
        <f t="shared" si="27"/>
        <v>3</v>
      </c>
      <c r="F687" t="str">
        <f t="shared" si="26"/>
        <v>1.4</v>
      </c>
    </row>
    <row r="688" spans="1:6" x14ac:dyDescent="0.25">
      <c r="A688" s="109">
        <v>6063</v>
      </c>
      <c r="B688" t="s">
        <v>1369</v>
      </c>
      <c r="C688" t="s">
        <v>686</v>
      </c>
      <c r="D688" s="110">
        <v>-31</v>
      </c>
      <c r="E688" t="str">
        <f t="shared" si="27"/>
        <v>3</v>
      </c>
      <c r="F688" t="str">
        <f t="shared" si="26"/>
        <v>1.4</v>
      </c>
    </row>
    <row r="689" spans="1:6" x14ac:dyDescent="0.25">
      <c r="A689" s="109">
        <v>6064</v>
      </c>
      <c r="B689" t="s">
        <v>1370</v>
      </c>
      <c r="C689" t="s">
        <v>686</v>
      </c>
      <c r="D689" s="110">
        <v>-31</v>
      </c>
      <c r="E689" t="str">
        <f t="shared" si="27"/>
        <v>3</v>
      </c>
      <c r="F689" t="str">
        <f t="shared" si="26"/>
        <v>1.4</v>
      </c>
    </row>
    <row r="690" spans="1:6" x14ac:dyDescent="0.25">
      <c r="A690" s="109">
        <v>6065</v>
      </c>
      <c r="B690" t="s">
        <v>1371</v>
      </c>
      <c r="C690" t="s">
        <v>686</v>
      </c>
      <c r="D690" s="110">
        <v>-31</v>
      </c>
      <c r="E690" t="str">
        <f t="shared" si="27"/>
        <v>3</v>
      </c>
      <c r="F690" t="str">
        <f t="shared" si="26"/>
        <v>1.4</v>
      </c>
    </row>
    <row r="691" spans="1:6" x14ac:dyDescent="0.25">
      <c r="A691" s="109">
        <v>6067</v>
      </c>
      <c r="B691" t="s">
        <v>1372</v>
      </c>
      <c r="C691" t="s">
        <v>686</v>
      </c>
      <c r="D691" s="110">
        <v>-31</v>
      </c>
      <c r="E691" t="str">
        <f t="shared" si="27"/>
        <v>3</v>
      </c>
      <c r="F691" t="str">
        <f t="shared" si="26"/>
        <v>1.4</v>
      </c>
    </row>
    <row r="692" spans="1:6" x14ac:dyDescent="0.25">
      <c r="A692" s="109">
        <v>6068</v>
      </c>
      <c r="B692" t="s">
        <v>1373</v>
      </c>
      <c r="C692" t="s">
        <v>686</v>
      </c>
      <c r="D692" s="110">
        <v>-31</v>
      </c>
      <c r="E692" t="str">
        <f t="shared" si="27"/>
        <v>3</v>
      </c>
      <c r="F692" t="str">
        <f t="shared" si="26"/>
        <v>1.4</v>
      </c>
    </row>
    <row r="693" spans="1:6" x14ac:dyDescent="0.25">
      <c r="A693" s="109">
        <v>6070</v>
      </c>
      <c r="B693" t="s">
        <v>1374</v>
      </c>
      <c r="C693" t="s">
        <v>686</v>
      </c>
      <c r="D693" s="110">
        <v>-31</v>
      </c>
      <c r="E693" t="str">
        <f t="shared" si="27"/>
        <v>3</v>
      </c>
      <c r="F693" t="str">
        <f t="shared" si="26"/>
        <v>1.4</v>
      </c>
    </row>
    <row r="694" spans="1:6" x14ac:dyDescent="0.25">
      <c r="A694" s="109">
        <v>6071</v>
      </c>
      <c r="B694" t="s">
        <v>1375</v>
      </c>
      <c r="C694" t="s">
        <v>686</v>
      </c>
      <c r="D694" s="110">
        <v>-31</v>
      </c>
      <c r="E694" t="str">
        <f t="shared" si="27"/>
        <v>3</v>
      </c>
      <c r="F694" t="str">
        <f t="shared" si="26"/>
        <v>1.4</v>
      </c>
    </row>
    <row r="695" spans="1:6" x14ac:dyDescent="0.25">
      <c r="A695" s="109">
        <v>6073</v>
      </c>
      <c r="B695" t="s">
        <v>1376</v>
      </c>
      <c r="C695" t="s">
        <v>686</v>
      </c>
      <c r="D695" s="110">
        <v>-31</v>
      </c>
      <c r="E695" t="str">
        <f t="shared" si="27"/>
        <v>3</v>
      </c>
      <c r="F695" t="str">
        <f t="shared" si="26"/>
        <v>1.4</v>
      </c>
    </row>
    <row r="696" spans="1:6" x14ac:dyDescent="0.25">
      <c r="A696" s="109">
        <v>6074</v>
      </c>
      <c r="B696" t="s">
        <v>1377</v>
      </c>
      <c r="C696" t="s">
        <v>686</v>
      </c>
      <c r="D696" s="110">
        <v>-31</v>
      </c>
      <c r="E696" t="str">
        <f t="shared" si="27"/>
        <v>3</v>
      </c>
      <c r="F696" t="str">
        <f t="shared" si="26"/>
        <v>1.4</v>
      </c>
    </row>
    <row r="697" spans="1:6" x14ac:dyDescent="0.25">
      <c r="A697" s="109">
        <v>6076</v>
      </c>
      <c r="B697" t="s">
        <v>1378</v>
      </c>
      <c r="C697" t="s">
        <v>686</v>
      </c>
      <c r="D697" s="110">
        <v>-31</v>
      </c>
      <c r="E697" t="str">
        <f t="shared" si="27"/>
        <v>3</v>
      </c>
      <c r="F697" t="str">
        <f t="shared" si="26"/>
        <v>1.4</v>
      </c>
    </row>
    <row r="698" spans="1:6" x14ac:dyDescent="0.25">
      <c r="A698" s="109">
        <v>6084</v>
      </c>
      <c r="B698" t="s">
        <v>1379</v>
      </c>
      <c r="C698" t="s">
        <v>686</v>
      </c>
      <c r="D698" s="110">
        <v>-31</v>
      </c>
      <c r="E698" t="str">
        <f t="shared" si="27"/>
        <v>3</v>
      </c>
      <c r="F698" t="str">
        <f t="shared" si="26"/>
        <v>1.4</v>
      </c>
    </row>
    <row r="699" spans="1:6" x14ac:dyDescent="0.25">
      <c r="A699" s="109">
        <v>6100</v>
      </c>
      <c r="B699" t="s">
        <v>1380</v>
      </c>
      <c r="C699" t="s">
        <v>686</v>
      </c>
      <c r="D699" s="110">
        <v>-31</v>
      </c>
      <c r="E699" t="str">
        <f t="shared" si="27"/>
        <v>3</v>
      </c>
      <c r="F699" t="str">
        <f t="shared" si="26"/>
        <v>1.4</v>
      </c>
    </row>
    <row r="700" spans="1:6" x14ac:dyDescent="0.25">
      <c r="A700" s="109">
        <v>6101</v>
      </c>
      <c r="B700" t="s">
        <v>1381</v>
      </c>
      <c r="C700" t="s">
        <v>686</v>
      </c>
      <c r="D700" s="110">
        <v>-31</v>
      </c>
      <c r="E700" t="str">
        <f t="shared" si="27"/>
        <v>3</v>
      </c>
      <c r="F700" t="str">
        <f t="shared" si="26"/>
        <v>1.4</v>
      </c>
    </row>
    <row r="701" spans="1:6" x14ac:dyDescent="0.25">
      <c r="A701" s="109">
        <v>6103</v>
      </c>
      <c r="B701" t="s">
        <v>1382</v>
      </c>
      <c r="C701" t="s">
        <v>686</v>
      </c>
      <c r="D701" s="110">
        <v>-31</v>
      </c>
      <c r="E701" t="str">
        <f t="shared" si="27"/>
        <v>3</v>
      </c>
      <c r="F701" t="str">
        <f t="shared" si="26"/>
        <v>1.4</v>
      </c>
    </row>
    <row r="702" spans="1:6" x14ac:dyDescent="0.25">
      <c r="A702" s="109">
        <v>6104</v>
      </c>
      <c r="B702" t="s">
        <v>1383</v>
      </c>
      <c r="C702" t="s">
        <v>686</v>
      </c>
      <c r="D702" s="110">
        <v>-31</v>
      </c>
      <c r="E702" t="str">
        <f t="shared" si="27"/>
        <v>3</v>
      </c>
      <c r="F702" t="str">
        <f t="shared" si="26"/>
        <v>1.4</v>
      </c>
    </row>
    <row r="703" spans="1:6" x14ac:dyDescent="0.25">
      <c r="A703" s="109">
        <v>6105</v>
      </c>
      <c r="B703" t="s">
        <v>1384</v>
      </c>
      <c r="C703" t="s">
        <v>686</v>
      </c>
      <c r="D703" s="110">
        <v>-31</v>
      </c>
      <c r="E703" t="str">
        <f t="shared" si="27"/>
        <v>3</v>
      </c>
      <c r="F703" t="str">
        <f t="shared" si="26"/>
        <v>1.4</v>
      </c>
    </row>
    <row r="704" spans="1:6" x14ac:dyDescent="0.25">
      <c r="A704" s="109">
        <v>6106</v>
      </c>
      <c r="B704" t="s">
        <v>1385</v>
      </c>
      <c r="C704" t="s">
        <v>686</v>
      </c>
      <c r="D704" s="110">
        <v>-31</v>
      </c>
      <c r="E704" t="str">
        <f t="shared" si="27"/>
        <v>3</v>
      </c>
      <c r="F704" t="str">
        <f t="shared" si="26"/>
        <v>1.4</v>
      </c>
    </row>
    <row r="705" spans="1:6" x14ac:dyDescent="0.25">
      <c r="A705" s="109">
        <v>6151</v>
      </c>
      <c r="B705" t="s">
        <v>1386</v>
      </c>
      <c r="C705" t="s">
        <v>686</v>
      </c>
      <c r="D705" s="110">
        <v>-31</v>
      </c>
      <c r="E705" t="str">
        <f t="shared" si="27"/>
        <v>3</v>
      </c>
      <c r="F705" t="str">
        <f t="shared" si="26"/>
        <v>1.4</v>
      </c>
    </row>
    <row r="706" spans="1:6" x14ac:dyDescent="0.25">
      <c r="A706" s="109">
        <v>6152</v>
      </c>
      <c r="B706" t="s">
        <v>1387</v>
      </c>
      <c r="C706" t="s">
        <v>686</v>
      </c>
      <c r="D706" s="110">
        <v>-31</v>
      </c>
      <c r="E706" t="str">
        <f t="shared" si="27"/>
        <v>3</v>
      </c>
      <c r="F706" t="str">
        <f t="shared" si="26"/>
        <v>1.4</v>
      </c>
    </row>
    <row r="707" spans="1:6" x14ac:dyDescent="0.25">
      <c r="A707" s="109">
        <v>6302</v>
      </c>
      <c r="B707" t="s">
        <v>1388</v>
      </c>
      <c r="C707" t="s">
        <v>686</v>
      </c>
      <c r="D707" s="110">
        <v>-31</v>
      </c>
      <c r="E707" t="str">
        <f t="shared" si="27"/>
        <v>3</v>
      </c>
      <c r="F707" t="str">
        <f t="shared" ref="F707:F770" si="28">IF(D707&lt;-34,"1.6",IF(D707&lt;-26,"1.4",IF(D707&lt;-18,"1.2",IF(D707&lt;-8,"1","lits"))))</f>
        <v>1.4</v>
      </c>
    </row>
    <row r="708" spans="1:6" x14ac:dyDescent="0.25">
      <c r="A708" s="109">
        <v>6401</v>
      </c>
      <c r="B708" t="s">
        <v>1389</v>
      </c>
      <c r="C708" t="s">
        <v>686</v>
      </c>
      <c r="D708" s="110">
        <v>-31</v>
      </c>
      <c r="E708" t="str">
        <f t="shared" si="27"/>
        <v>3</v>
      </c>
      <c r="F708" t="str">
        <f t="shared" si="28"/>
        <v>1.4</v>
      </c>
    </row>
    <row r="709" spans="1:6" x14ac:dyDescent="0.25">
      <c r="A709" s="109">
        <v>6403</v>
      </c>
      <c r="B709" t="s">
        <v>1390</v>
      </c>
      <c r="C709" t="s">
        <v>686</v>
      </c>
      <c r="D709" s="110">
        <v>-31</v>
      </c>
      <c r="E709" t="str">
        <f t="shared" si="27"/>
        <v>3</v>
      </c>
      <c r="F709" t="str">
        <f t="shared" si="28"/>
        <v>1.4</v>
      </c>
    </row>
    <row r="710" spans="1:6" x14ac:dyDescent="0.25">
      <c r="A710" s="109">
        <v>6405</v>
      </c>
      <c r="B710" t="s">
        <v>1391</v>
      </c>
      <c r="C710" t="s">
        <v>686</v>
      </c>
      <c r="D710" s="110">
        <v>-31</v>
      </c>
      <c r="E710" t="str">
        <f t="shared" si="27"/>
        <v>3</v>
      </c>
      <c r="F710" t="str">
        <f t="shared" si="28"/>
        <v>1.4</v>
      </c>
    </row>
    <row r="711" spans="1:6" x14ac:dyDescent="0.25">
      <c r="A711" s="109">
        <v>6407</v>
      </c>
      <c r="B711" t="s">
        <v>1392</v>
      </c>
      <c r="C711" t="s">
        <v>686</v>
      </c>
      <c r="D711" s="110">
        <v>-31</v>
      </c>
      <c r="E711" t="str">
        <f t="shared" si="27"/>
        <v>3</v>
      </c>
      <c r="F711" t="str">
        <f t="shared" si="28"/>
        <v>1.4</v>
      </c>
    </row>
    <row r="712" spans="1:6" x14ac:dyDescent="0.25">
      <c r="A712" s="109">
        <v>6409</v>
      </c>
      <c r="B712" t="s">
        <v>1393</v>
      </c>
      <c r="C712" t="s">
        <v>686</v>
      </c>
      <c r="D712" s="110">
        <v>-31</v>
      </c>
      <c r="E712" t="str">
        <f t="shared" si="27"/>
        <v>3</v>
      </c>
      <c r="F712" t="str">
        <f t="shared" si="28"/>
        <v>1.4</v>
      </c>
    </row>
    <row r="713" spans="1:6" x14ac:dyDescent="0.25">
      <c r="A713" s="109">
        <v>6410</v>
      </c>
      <c r="B713" t="s">
        <v>1394</v>
      </c>
      <c r="C713" t="s">
        <v>686</v>
      </c>
      <c r="D713" s="110">
        <v>-31</v>
      </c>
      <c r="E713" t="str">
        <f t="shared" si="27"/>
        <v>3</v>
      </c>
      <c r="F713" t="str">
        <f t="shared" si="28"/>
        <v>1.4</v>
      </c>
    </row>
    <row r="714" spans="1:6" x14ac:dyDescent="0.25">
      <c r="A714" s="109">
        <v>6411</v>
      </c>
      <c r="B714" t="s">
        <v>1395</v>
      </c>
      <c r="C714" t="s">
        <v>686</v>
      </c>
      <c r="D714" s="110">
        <v>-31</v>
      </c>
      <c r="E714" t="str">
        <f t="shared" si="27"/>
        <v>3</v>
      </c>
      <c r="F714" t="str">
        <f t="shared" si="28"/>
        <v>1.4</v>
      </c>
    </row>
    <row r="715" spans="1:6" x14ac:dyDescent="0.25">
      <c r="A715" s="109">
        <v>6412</v>
      </c>
      <c r="B715" t="s">
        <v>1396</v>
      </c>
      <c r="C715" t="s">
        <v>686</v>
      </c>
      <c r="D715" s="110">
        <v>-31</v>
      </c>
      <c r="E715" t="str">
        <f t="shared" si="27"/>
        <v>3</v>
      </c>
      <c r="F715" t="str">
        <f t="shared" si="28"/>
        <v>1.4</v>
      </c>
    </row>
    <row r="716" spans="1:6" x14ac:dyDescent="0.25">
      <c r="A716" s="109">
        <v>6413</v>
      </c>
      <c r="B716" t="s">
        <v>1397</v>
      </c>
      <c r="C716" t="s">
        <v>686</v>
      </c>
      <c r="D716" s="110">
        <v>-31</v>
      </c>
      <c r="E716" t="str">
        <f t="shared" si="27"/>
        <v>3</v>
      </c>
      <c r="F716" t="str">
        <f t="shared" si="28"/>
        <v>1.4</v>
      </c>
    </row>
    <row r="717" spans="1:6" x14ac:dyDescent="0.25">
      <c r="A717" s="109">
        <v>6414</v>
      </c>
      <c r="B717" t="s">
        <v>1398</v>
      </c>
      <c r="C717" t="s">
        <v>686</v>
      </c>
      <c r="D717" s="110">
        <v>-31</v>
      </c>
      <c r="E717" t="str">
        <f t="shared" si="27"/>
        <v>3</v>
      </c>
      <c r="F717" t="str">
        <f t="shared" si="28"/>
        <v>1.4</v>
      </c>
    </row>
    <row r="718" spans="1:6" x14ac:dyDescent="0.25">
      <c r="A718" s="109">
        <v>6415</v>
      </c>
      <c r="B718" t="s">
        <v>1399</v>
      </c>
      <c r="C718" t="s">
        <v>686</v>
      </c>
      <c r="D718" s="110">
        <v>-31</v>
      </c>
      <c r="E718" t="str">
        <f t="shared" si="27"/>
        <v>3</v>
      </c>
      <c r="F718" t="str">
        <f t="shared" si="28"/>
        <v>1.4</v>
      </c>
    </row>
    <row r="719" spans="1:6" x14ac:dyDescent="0.25">
      <c r="A719" s="109">
        <v>6418</v>
      </c>
      <c r="B719" t="s">
        <v>1400</v>
      </c>
      <c r="C719" t="s">
        <v>686</v>
      </c>
      <c r="D719" s="110">
        <v>-31</v>
      </c>
      <c r="E719" t="str">
        <f t="shared" si="27"/>
        <v>3</v>
      </c>
      <c r="F719" t="str">
        <f t="shared" si="28"/>
        <v>1.4</v>
      </c>
    </row>
    <row r="720" spans="1:6" x14ac:dyDescent="0.25">
      <c r="A720" s="109">
        <v>6420</v>
      </c>
      <c r="B720" t="s">
        <v>1401</v>
      </c>
      <c r="C720" t="s">
        <v>686</v>
      </c>
      <c r="D720" s="110">
        <v>-31</v>
      </c>
      <c r="E720" t="str">
        <f t="shared" si="27"/>
        <v>3</v>
      </c>
      <c r="F720" t="str">
        <f t="shared" si="28"/>
        <v>1.4</v>
      </c>
    </row>
    <row r="721" spans="1:6" x14ac:dyDescent="0.25">
      <c r="A721" s="109">
        <v>6421</v>
      </c>
      <c r="B721" t="s">
        <v>1402</v>
      </c>
      <c r="C721" t="s">
        <v>686</v>
      </c>
      <c r="D721" s="110">
        <v>-31</v>
      </c>
      <c r="E721" t="str">
        <f t="shared" si="27"/>
        <v>3</v>
      </c>
      <c r="F721" t="str">
        <f t="shared" si="28"/>
        <v>1.4</v>
      </c>
    </row>
    <row r="722" spans="1:6" x14ac:dyDescent="0.25">
      <c r="A722" s="109">
        <v>6422</v>
      </c>
      <c r="B722" t="s">
        <v>1403</v>
      </c>
      <c r="C722" t="s">
        <v>686</v>
      </c>
      <c r="D722" s="110">
        <v>-31</v>
      </c>
      <c r="E722" t="str">
        <f t="shared" si="27"/>
        <v>3</v>
      </c>
      <c r="F722" t="str">
        <f t="shared" si="28"/>
        <v>1.4</v>
      </c>
    </row>
    <row r="723" spans="1:6" x14ac:dyDescent="0.25">
      <c r="A723" s="109">
        <v>6423</v>
      </c>
      <c r="B723" t="s">
        <v>1404</v>
      </c>
      <c r="C723" t="s">
        <v>686</v>
      </c>
      <c r="D723" s="110">
        <v>-31</v>
      </c>
      <c r="E723" t="str">
        <f t="shared" si="27"/>
        <v>3</v>
      </c>
      <c r="F723" t="str">
        <f t="shared" si="28"/>
        <v>1.4</v>
      </c>
    </row>
    <row r="724" spans="1:6" x14ac:dyDescent="0.25">
      <c r="A724" s="109">
        <v>6424</v>
      </c>
      <c r="B724" t="s">
        <v>1405</v>
      </c>
      <c r="C724" t="s">
        <v>686</v>
      </c>
      <c r="D724" s="110">
        <v>-31</v>
      </c>
      <c r="E724" t="str">
        <f t="shared" si="27"/>
        <v>3</v>
      </c>
      <c r="F724" t="str">
        <f t="shared" si="28"/>
        <v>1.4</v>
      </c>
    </row>
    <row r="725" spans="1:6" x14ac:dyDescent="0.25">
      <c r="A725" s="109">
        <v>6425</v>
      </c>
      <c r="B725" t="s">
        <v>1406</v>
      </c>
      <c r="C725" t="s">
        <v>686</v>
      </c>
      <c r="D725" s="110">
        <v>-31</v>
      </c>
      <c r="E725" t="str">
        <f t="shared" si="27"/>
        <v>3</v>
      </c>
      <c r="F725" t="str">
        <f t="shared" si="28"/>
        <v>1.4</v>
      </c>
    </row>
    <row r="726" spans="1:6" x14ac:dyDescent="0.25">
      <c r="A726" s="109">
        <v>6442</v>
      </c>
      <c r="B726" t="s">
        <v>1407</v>
      </c>
      <c r="C726" t="s">
        <v>686</v>
      </c>
      <c r="D726" s="110">
        <v>-31</v>
      </c>
      <c r="E726" t="str">
        <f t="shared" si="27"/>
        <v>3</v>
      </c>
      <c r="F726" t="str">
        <f t="shared" si="28"/>
        <v>1.4</v>
      </c>
    </row>
    <row r="727" spans="1:6" x14ac:dyDescent="0.25">
      <c r="A727" s="109">
        <v>6443</v>
      </c>
      <c r="B727" t="s">
        <v>1408</v>
      </c>
      <c r="C727" t="s">
        <v>686</v>
      </c>
      <c r="D727" s="110">
        <v>-31</v>
      </c>
      <c r="E727" t="str">
        <f t="shared" si="27"/>
        <v>3</v>
      </c>
      <c r="F727" t="str">
        <f t="shared" si="28"/>
        <v>1.4</v>
      </c>
    </row>
    <row r="728" spans="1:6" x14ac:dyDescent="0.25">
      <c r="A728" s="109">
        <v>6460</v>
      </c>
      <c r="B728" t="s">
        <v>1409</v>
      </c>
      <c r="C728" t="s">
        <v>686</v>
      </c>
      <c r="D728" s="110">
        <v>-31</v>
      </c>
      <c r="E728" t="str">
        <f t="shared" si="27"/>
        <v>3</v>
      </c>
      <c r="F728" t="str">
        <f t="shared" si="28"/>
        <v>1.4</v>
      </c>
    </row>
    <row r="729" spans="1:6" x14ac:dyDescent="0.25">
      <c r="A729" s="109">
        <v>6461</v>
      </c>
      <c r="B729" t="s">
        <v>1410</v>
      </c>
      <c r="C729" t="s">
        <v>686</v>
      </c>
      <c r="D729" s="110">
        <v>-31</v>
      </c>
      <c r="E729" t="str">
        <f t="shared" si="27"/>
        <v>3</v>
      </c>
      <c r="F729" t="str">
        <f t="shared" si="28"/>
        <v>1.4</v>
      </c>
    </row>
    <row r="730" spans="1:6" x14ac:dyDescent="0.25">
      <c r="A730" s="109">
        <v>6479</v>
      </c>
      <c r="B730" t="s">
        <v>1411</v>
      </c>
      <c r="C730" t="s">
        <v>686</v>
      </c>
      <c r="D730" s="110">
        <v>-31</v>
      </c>
      <c r="E730" t="str">
        <f t="shared" si="27"/>
        <v>3</v>
      </c>
      <c r="F730" t="str">
        <f t="shared" si="28"/>
        <v>1.4</v>
      </c>
    </row>
    <row r="731" spans="1:6" x14ac:dyDescent="0.25">
      <c r="A731" s="109">
        <v>6485</v>
      </c>
      <c r="B731" t="s">
        <v>1412</v>
      </c>
      <c r="C731" t="s">
        <v>686</v>
      </c>
      <c r="D731" s="110">
        <v>-31</v>
      </c>
      <c r="E731" t="str">
        <f t="shared" ref="E731:E732" si="29">IF(D731&lt;-34,"4",IF(D731&lt;-26,"3",IF(D731&lt;-18,"2",IF(D731&lt;-8,"1","lits"))))</f>
        <v>3</v>
      </c>
      <c r="F731" t="str">
        <f t="shared" si="28"/>
        <v>1.4</v>
      </c>
    </row>
    <row r="732" spans="1:6" x14ac:dyDescent="0.25">
      <c r="A732" s="109">
        <v>6488</v>
      </c>
      <c r="B732" t="s">
        <v>1413</v>
      </c>
      <c r="C732" t="s">
        <v>686</v>
      </c>
      <c r="D732" s="110">
        <v>-31</v>
      </c>
      <c r="E732" t="str">
        <f t="shared" si="29"/>
        <v>3</v>
      </c>
      <c r="F732" t="str">
        <f t="shared" si="28"/>
        <v>1.4</v>
      </c>
    </row>
    <row r="733" spans="1:6" x14ac:dyDescent="0.25">
      <c r="A733" s="109">
        <v>6489</v>
      </c>
      <c r="B733" t="s">
        <v>1414</v>
      </c>
      <c r="C733" t="s">
        <v>686</v>
      </c>
      <c r="D733" s="110">
        <v>-31</v>
      </c>
      <c r="E733" t="str">
        <f t="shared" ref="E733" si="30">IF(D733&lt;-8,"1",IF(D733&lt;-18,"2",IF(D733&lt;-26,"3",IF(D733&lt;-34,"4","lits"))))</f>
        <v>1</v>
      </c>
      <c r="F733" t="str">
        <f t="shared" si="28"/>
        <v>1.4</v>
      </c>
    </row>
    <row r="734" spans="1:6" x14ac:dyDescent="0.25">
      <c r="A734" s="109">
        <v>6490</v>
      </c>
      <c r="B734" t="s">
        <v>1415</v>
      </c>
      <c r="C734" t="s">
        <v>686</v>
      </c>
      <c r="D734" s="110">
        <v>-31</v>
      </c>
      <c r="E734" t="str">
        <f t="shared" ref="E734:E797" si="31">IF(D734&lt;-34,"4",IF(D734&lt;-26,"3",IF(D734&lt;-18,"2",IF(D734&lt;-8,"1","lits"))))</f>
        <v>3</v>
      </c>
      <c r="F734" t="str">
        <f t="shared" si="28"/>
        <v>1.4</v>
      </c>
    </row>
    <row r="735" spans="1:6" x14ac:dyDescent="0.25">
      <c r="A735" s="109">
        <v>6501</v>
      </c>
      <c r="B735" t="s">
        <v>1416</v>
      </c>
      <c r="C735" t="s">
        <v>686</v>
      </c>
      <c r="D735" s="110">
        <v>-31</v>
      </c>
      <c r="E735" t="str">
        <f t="shared" si="31"/>
        <v>3</v>
      </c>
      <c r="F735" t="str">
        <f t="shared" si="28"/>
        <v>1.4</v>
      </c>
    </row>
    <row r="736" spans="1:6" x14ac:dyDescent="0.25">
      <c r="A736" s="109">
        <v>6502</v>
      </c>
      <c r="B736" t="s">
        <v>1417</v>
      </c>
      <c r="C736" t="s">
        <v>686</v>
      </c>
      <c r="D736" s="110">
        <v>-31</v>
      </c>
      <c r="E736" t="str">
        <f t="shared" si="31"/>
        <v>3</v>
      </c>
      <c r="F736" t="str">
        <f t="shared" si="28"/>
        <v>1.4</v>
      </c>
    </row>
    <row r="737" spans="1:6" x14ac:dyDescent="0.25">
      <c r="A737" s="109">
        <v>6503</v>
      </c>
      <c r="B737" t="s">
        <v>1418</v>
      </c>
      <c r="C737" t="s">
        <v>686</v>
      </c>
      <c r="D737" s="110">
        <v>-31</v>
      </c>
      <c r="E737" t="str">
        <f t="shared" si="31"/>
        <v>3</v>
      </c>
      <c r="F737" t="str">
        <f t="shared" si="28"/>
        <v>1.4</v>
      </c>
    </row>
    <row r="738" spans="1:6" x14ac:dyDescent="0.25">
      <c r="A738" s="109">
        <v>6505</v>
      </c>
      <c r="B738" t="s">
        <v>1419</v>
      </c>
      <c r="C738" t="s">
        <v>686</v>
      </c>
      <c r="D738" s="110">
        <v>-31</v>
      </c>
      <c r="E738" t="str">
        <f t="shared" si="31"/>
        <v>3</v>
      </c>
      <c r="F738" t="str">
        <f t="shared" si="28"/>
        <v>1.4</v>
      </c>
    </row>
    <row r="739" spans="1:6" x14ac:dyDescent="0.25">
      <c r="A739" s="109">
        <v>6506</v>
      </c>
      <c r="B739" t="s">
        <v>1420</v>
      </c>
      <c r="C739" t="s">
        <v>686</v>
      </c>
      <c r="D739" s="110">
        <v>-31</v>
      </c>
      <c r="E739" t="str">
        <f t="shared" si="31"/>
        <v>3</v>
      </c>
      <c r="F739" t="str">
        <f t="shared" si="28"/>
        <v>1.4</v>
      </c>
    </row>
    <row r="740" spans="1:6" x14ac:dyDescent="0.25">
      <c r="A740" s="109">
        <v>6556</v>
      </c>
      <c r="B740" t="s">
        <v>1421</v>
      </c>
      <c r="C740" t="s">
        <v>686</v>
      </c>
      <c r="D740" s="110">
        <v>-31</v>
      </c>
      <c r="E740" t="str">
        <f t="shared" si="31"/>
        <v>3</v>
      </c>
      <c r="F740" t="str">
        <f t="shared" si="28"/>
        <v>1.4</v>
      </c>
    </row>
    <row r="741" spans="1:6" x14ac:dyDescent="0.25">
      <c r="A741" s="109">
        <v>6558</v>
      </c>
      <c r="B741" t="s">
        <v>1422</v>
      </c>
      <c r="C741" t="s">
        <v>686</v>
      </c>
      <c r="D741" s="110">
        <v>-31</v>
      </c>
      <c r="E741" t="str">
        <f t="shared" si="31"/>
        <v>3</v>
      </c>
      <c r="F741" t="str">
        <f t="shared" si="28"/>
        <v>1.4</v>
      </c>
    </row>
    <row r="742" spans="1:6" x14ac:dyDescent="0.25">
      <c r="A742" s="109">
        <v>6560</v>
      </c>
      <c r="B742" t="s">
        <v>1423</v>
      </c>
      <c r="C742" t="s">
        <v>686</v>
      </c>
      <c r="D742" s="110">
        <v>-31</v>
      </c>
      <c r="E742" t="str">
        <f t="shared" si="31"/>
        <v>3</v>
      </c>
      <c r="F742" t="str">
        <f t="shared" si="28"/>
        <v>1.4</v>
      </c>
    </row>
    <row r="743" spans="1:6" x14ac:dyDescent="0.25">
      <c r="A743" s="109">
        <v>6562</v>
      </c>
      <c r="B743" t="s">
        <v>1424</v>
      </c>
      <c r="C743" t="s">
        <v>686</v>
      </c>
      <c r="D743" s="110">
        <v>-31</v>
      </c>
      <c r="E743" t="str">
        <f t="shared" si="31"/>
        <v>3</v>
      </c>
      <c r="F743" t="str">
        <f t="shared" si="28"/>
        <v>1.4</v>
      </c>
    </row>
    <row r="744" spans="1:6" x14ac:dyDescent="0.25">
      <c r="A744" s="109">
        <v>6564</v>
      </c>
      <c r="B744" t="s">
        <v>1425</v>
      </c>
      <c r="C744" t="s">
        <v>686</v>
      </c>
      <c r="D744" s="110">
        <v>-31</v>
      </c>
      <c r="E744" t="str">
        <f t="shared" si="31"/>
        <v>3</v>
      </c>
      <c r="F744" t="str">
        <f t="shared" si="28"/>
        <v>1.4</v>
      </c>
    </row>
    <row r="745" spans="1:6" x14ac:dyDescent="0.25">
      <c r="A745" s="109">
        <v>6566</v>
      </c>
      <c r="B745" t="s">
        <v>1426</v>
      </c>
      <c r="C745" t="s">
        <v>686</v>
      </c>
      <c r="D745" s="110">
        <v>-31</v>
      </c>
      <c r="E745" t="str">
        <f t="shared" si="31"/>
        <v>3</v>
      </c>
      <c r="F745" t="str">
        <f t="shared" si="28"/>
        <v>1.4</v>
      </c>
    </row>
    <row r="746" spans="1:6" x14ac:dyDescent="0.25">
      <c r="A746" s="109">
        <v>6568</v>
      </c>
      <c r="B746" t="s">
        <v>1427</v>
      </c>
      <c r="C746" t="s">
        <v>686</v>
      </c>
      <c r="D746" s="110">
        <v>-31</v>
      </c>
      <c r="E746" t="str">
        <f t="shared" si="31"/>
        <v>3</v>
      </c>
      <c r="F746" t="str">
        <f t="shared" si="28"/>
        <v>1.4</v>
      </c>
    </row>
    <row r="747" spans="1:6" x14ac:dyDescent="0.25">
      <c r="A747" s="109">
        <v>6569</v>
      </c>
      <c r="B747" t="s">
        <v>1428</v>
      </c>
      <c r="C747" t="s">
        <v>686</v>
      </c>
      <c r="D747" s="110">
        <v>-31</v>
      </c>
      <c r="E747" t="str">
        <f t="shared" si="31"/>
        <v>3</v>
      </c>
      <c r="F747" t="str">
        <f t="shared" si="28"/>
        <v>1.4</v>
      </c>
    </row>
    <row r="748" spans="1:6" x14ac:dyDescent="0.25">
      <c r="A748" s="109">
        <v>2284</v>
      </c>
      <c r="B748" t="s">
        <v>1429</v>
      </c>
      <c r="C748" t="s">
        <v>1113</v>
      </c>
      <c r="D748" s="110">
        <v>-32</v>
      </c>
      <c r="E748" t="str">
        <f t="shared" si="31"/>
        <v>3</v>
      </c>
      <c r="F748" t="str">
        <f t="shared" si="28"/>
        <v>1.4</v>
      </c>
    </row>
    <row r="749" spans="1:6" x14ac:dyDescent="0.25">
      <c r="A749" s="109">
        <v>2285</v>
      </c>
      <c r="B749" t="s">
        <v>1430</v>
      </c>
      <c r="C749" t="s">
        <v>1113</v>
      </c>
      <c r="D749" s="110">
        <v>-32</v>
      </c>
      <c r="E749" t="str">
        <f t="shared" si="31"/>
        <v>3</v>
      </c>
      <c r="F749" t="str">
        <f t="shared" si="28"/>
        <v>1.4</v>
      </c>
    </row>
    <row r="750" spans="1:6" x14ac:dyDescent="0.25">
      <c r="A750" s="109">
        <v>2286</v>
      </c>
      <c r="B750" t="s">
        <v>1431</v>
      </c>
      <c r="C750" t="s">
        <v>1113</v>
      </c>
      <c r="D750" s="110">
        <v>-32</v>
      </c>
      <c r="E750" t="str">
        <f t="shared" si="31"/>
        <v>3</v>
      </c>
      <c r="F750" t="str">
        <f t="shared" si="28"/>
        <v>1.4</v>
      </c>
    </row>
    <row r="751" spans="1:6" x14ac:dyDescent="0.25">
      <c r="A751" s="109">
        <v>2287</v>
      </c>
      <c r="B751" t="s">
        <v>1432</v>
      </c>
      <c r="C751" t="s">
        <v>1113</v>
      </c>
      <c r="D751" s="110">
        <v>-32</v>
      </c>
      <c r="E751" t="str">
        <f t="shared" si="31"/>
        <v>3</v>
      </c>
      <c r="F751" t="str">
        <f t="shared" si="28"/>
        <v>1.4</v>
      </c>
    </row>
    <row r="752" spans="1:6" x14ac:dyDescent="0.25">
      <c r="A752" s="109">
        <v>2289</v>
      </c>
      <c r="B752" t="s">
        <v>1433</v>
      </c>
      <c r="C752" t="s">
        <v>1113</v>
      </c>
      <c r="D752" s="110">
        <v>-32</v>
      </c>
      <c r="E752" t="str">
        <f t="shared" si="31"/>
        <v>3</v>
      </c>
      <c r="F752" t="str">
        <f t="shared" si="28"/>
        <v>1.4</v>
      </c>
    </row>
    <row r="753" spans="1:6" x14ac:dyDescent="0.25">
      <c r="A753" s="109">
        <v>2290</v>
      </c>
      <c r="B753" t="s">
        <v>1434</v>
      </c>
      <c r="C753" t="s">
        <v>1113</v>
      </c>
      <c r="D753" s="110">
        <v>-32</v>
      </c>
      <c r="E753" t="str">
        <f t="shared" si="31"/>
        <v>3</v>
      </c>
      <c r="F753" t="str">
        <f t="shared" si="28"/>
        <v>1.4</v>
      </c>
    </row>
    <row r="754" spans="1:6" x14ac:dyDescent="0.25">
      <c r="A754" s="109">
        <v>2291</v>
      </c>
      <c r="B754" t="s">
        <v>1435</v>
      </c>
      <c r="C754" t="s">
        <v>1113</v>
      </c>
      <c r="D754" s="110">
        <v>-32</v>
      </c>
      <c r="E754" t="str">
        <f t="shared" si="31"/>
        <v>3</v>
      </c>
      <c r="F754" t="str">
        <f t="shared" si="28"/>
        <v>1.4</v>
      </c>
    </row>
    <row r="755" spans="1:6" x14ac:dyDescent="0.25">
      <c r="A755" s="109">
        <v>2292</v>
      </c>
      <c r="B755" t="s">
        <v>1436</v>
      </c>
      <c r="C755" t="s">
        <v>1113</v>
      </c>
      <c r="D755" s="110">
        <v>-32</v>
      </c>
      <c r="E755" t="str">
        <f t="shared" si="31"/>
        <v>3</v>
      </c>
      <c r="F755" t="str">
        <f t="shared" si="28"/>
        <v>1.4</v>
      </c>
    </row>
    <row r="756" spans="1:6" x14ac:dyDescent="0.25">
      <c r="A756" s="109">
        <v>2293</v>
      </c>
      <c r="B756" t="s">
        <v>776</v>
      </c>
      <c r="C756" t="s">
        <v>1113</v>
      </c>
      <c r="D756" s="110">
        <v>-32</v>
      </c>
      <c r="E756" t="str">
        <f t="shared" si="31"/>
        <v>3</v>
      </c>
      <c r="F756" t="str">
        <f t="shared" si="28"/>
        <v>1.4</v>
      </c>
    </row>
    <row r="757" spans="1:6" x14ac:dyDescent="0.25">
      <c r="A757" s="109">
        <v>2294</v>
      </c>
      <c r="B757" t="s">
        <v>1437</v>
      </c>
      <c r="C757" t="s">
        <v>1113</v>
      </c>
      <c r="D757" s="110">
        <v>-32</v>
      </c>
      <c r="E757" t="str">
        <f t="shared" si="31"/>
        <v>3</v>
      </c>
      <c r="F757" t="str">
        <f t="shared" si="28"/>
        <v>1.4</v>
      </c>
    </row>
    <row r="758" spans="1:6" x14ac:dyDescent="0.25">
      <c r="A758" s="109">
        <v>2295</v>
      </c>
      <c r="B758" t="s">
        <v>1438</v>
      </c>
      <c r="C758" t="s">
        <v>1113</v>
      </c>
      <c r="D758" s="110">
        <v>-32</v>
      </c>
      <c r="E758" t="str">
        <f t="shared" si="31"/>
        <v>3</v>
      </c>
      <c r="F758" t="str">
        <f t="shared" si="28"/>
        <v>1.4</v>
      </c>
    </row>
    <row r="759" spans="1:6" x14ac:dyDescent="0.25">
      <c r="A759" s="109">
        <v>2296</v>
      </c>
      <c r="B759" t="s">
        <v>1439</v>
      </c>
      <c r="C759" t="s">
        <v>1113</v>
      </c>
      <c r="D759" s="110">
        <v>-32</v>
      </c>
      <c r="E759" t="str">
        <f t="shared" si="31"/>
        <v>3</v>
      </c>
      <c r="F759" t="str">
        <f t="shared" si="28"/>
        <v>1.4</v>
      </c>
    </row>
    <row r="760" spans="1:6" x14ac:dyDescent="0.25">
      <c r="A760" s="109">
        <v>2297</v>
      </c>
      <c r="B760" t="s">
        <v>1440</v>
      </c>
      <c r="C760" t="s">
        <v>1113</v>
      </c>
      <c r="D760" s="110">
        <v>-32</v>
      </c>
      <c r="E760" t="str">
        <f t="shared" si="31"/>
        <v>3</v>
      </c>
      <c r="F760" t="str">
        <f t="shared" si="28"/>
        <v>1.4</v>
      </c>
    </row>
    <row r="761" spans="1:6" x14ac:dyDescent="0.25">
      <c r="A761" s="109">
        <v>2298</v>
      </c>
      <c r="B761" t="s">
        <v>1441</v>
      </c>
      <c r="C761" t="s">
        <v>1113</v>
      </c>
      <c r="D761" s="110">
        <v>-32</v>
      </c>
      <c r="E761" t="str">
        <f t="shared" si="31"/>
        <v>3</v>
      </c>
      <c r="F761" t="str">
        <f t="shared" si="28"/>
        <v>1.4</v>
      </c>
    </row>
    <row r="762" spans="1:6" x14ac:dyDescent="0.25">
      <c r="A762" s="109">
        <v>2299</v>
      </c>
      <c r="B762" t="s">
        <v>1442</v>
      </c>
      <c r="C762" t="s">
        <v>1113</v>
      </c>
      <c r="D762" s="110">
        <v>-32</v>
      </c>
      <c r="E762" t="str">
        <f t="shared" si="31"/>
        <v>3</v>
      </c>
      <c r="F762" t="str">
        <f t="shared" si="28"/>
        <v>1.4</v>
      </c>
    </row>
    <row r="763" spans="1:6" x14ac:dyDescent="0.25">
      <c r="A763" s="109">
        <v>2300</v>
      </c>
      <c r="B763" t="s">
        <v>1443</v>
      </c>
      <c r="C763" t="s">
        <v>1113</v>
      </c>
      <c r="D763" s="110">
        <v>-32</v>
      </c>
      <c r="E763" t="str">
        <f t="shared" si="31"/>
        <v>3</v>
      </c>
      <c r="F763" t="str">
        <f t="shared" si="28"/>
        <v>1.4</v>
      </c>
    </row>
    <row r="764" spans="1:6" x14ac:dyDescent="0.25">
      <c r="A764" s="109">
        <v>2302</v>
      </c>
      <c r="B764" t="s">
        <v>1444</v>
      </c>
      <c r="C764" t="s">
        <v>1113</v>
      </c>
      <c r="D764" s="110">
        <v>-32</v>
      </c>
      <c r="E764" t="str">
        <f t="shared" si="31"/>
        <v>3</v>
      </c>
      <c r="F764" t="str">
        <f t="shared" si="28"/>
        <v>1.4</v>
      </c>
    </row>
    <row r="765" spans="1:6" x14ac:dyDescent="0.25">
      <c r="A765" s="109">
        <v>2303</v>
      </c>
      <c r="B765" t="s">
        <v>1445</v>
      </c>
      <c r="C765" t="s">
        <v>1113</v>
      </c>
      <c r="D765" s="110">
        <v>-32</v>
      </c>
      <c r="E765" t="str">
        <f t="shared" si="31"/>
        <v>3</v>
      </c>
      <c r="F765" t="str">
        <f t="shared" si="28"/>
        <v>1.4</v>
      </c>
    </row>
    <row r="766" spans="1:6" x14ac:dyDescent="0.25">
      <c r="A766" s="109">
        <v>2304</v>
      </c>
      <c r="B766" t="s">
        <v>1446</v>
      </c>
      <c r="C766" t="s">
        <v>1113</v>
      </c>
      <c r="D766" s="110">
        <v>-32</v>
      </c>
      <c r="E766" t="str">
        <f t="shared" si="31"/>
        <v>3</v>
      </c>
      <c r="F766" t="str">
        <f t="shared" si="28"/>
        <v>1.4</v>
      </c>
    </row>
    <row r="767" spans="1:6" x14ac:dyDescent="0.25">
      <c r="A767" s="109">
        <v>2305</v>
      </c>
      <c r="B767" t="s">
        <v>1447</v>
      </c>
      <c r="C767" t="s">
        <v>1113</v>
      </c>
      <c r="D767" s="110">
        <v>-32</v>
      </c>
      <c r="E767" t="str">
        <f t="shared" si="31"/>
        <v>3</v>
      </c>
      <c r="F767" t="str">
        <f t="shared" si="28"/>
        <v>1.4</v>
      </c>
    </row>
    <row r="768" spans="1:6" x14ac:dyDescent="0.25">
      <c r="A768" s="109">
        <v>2306</v>
      </c>
      <c r="B768" t="s">
        <v>1448</v>
      </c>
      <c r="C768" t="s">
        <v>1113</v>
      </c>
      <c r="D768" s="110">
        <v>-32</v>
      </c>
      <c r="E768" t="str">
        <f t="shared" si="31"/>
        <v>3</v>
      </c>
      <c r="F768" t="str">
        <f t="shared" si="28"/>
        <v>1.4</v>
      </c>
    </row>
    <row r="769" spans="1:6" x14ac:dyDescent="0.25">
      <c r="A769" s="109">
        <v>2307</v>
      </c>
      <c r="B769" t="s">
        <v>1449</v>
      </c>
      <c r="C769" t="s">
        <v>1113</v>
      </c>
      <c r="D769" s="110">
        <v>-32</v>
      </c>
      <c r="E769" t="str">
        <f t="shared" si="31"/>
        <v>3</v>
      </c>
      <c r="F769" t="str">
        <f t="shared" si="28"/>
        <v>1.4</v>
      </c>
    </row>
    <row r="770" spans="1:6" x14ac:dyDescent="0.25">
      <c r="A770" s="109">
        <v>2308</v>
      </c>
      <c r="B770" t="s">
        <v>1450</v>
      </c>
      <c r="C770" t="s">
        <v>1113</v>
      </c>
      <c r="D770" s="110">
        <v>-32</v>
      </c>
      <c r="E770" t="str">
        <f t="shared" si="31"/>
        <v>3</v>
      </c>
      <c r="F770" t="str">
        <f t="shared" si="28"/>
        <v>1.4</v>
      </c>
    </row>
    <row r="771" spans="1:6" x14ac:dyDescent="0.25">
      <c r="A771" s="109">
        <v>2311</v>
      </c>
      <c r="B771" t="s">
        <v>1451</v>
      </c>
      <c r="C771" t="s">
        <v>1113</v>
      </c>
      <c r="D771" s="110">
        <v>-32</v>
      </c>
      <c r="E771" t="str">
        <f t="shared" si="31"/>
        <v>3</v>
      </c>
      <c r="F771" t="str">
        <f t="shared" ref="F771:F834" si="32">IF(D771&lt;-34,"1.6",IF(D771&lt;-26,"1.4",IF(D771&lt;-18,"1.2",IF(D771&lt;-8,"1","lits"))))</f>
        <v>1.4</v>
      </c>
    </row>
    <row r="772" spans="1:6" x14ac:dyDescent="0.25">
      <c r="A772" s="109">
        <v>2312</v>
      </c>
      <c r="B772" t="s">
        <v>1452</v>
      </c>
      <c r="C772" t="s">
        <v>1113</v>
      </c>
      <c r="D772" s="110">
        <v>-32</v>
      </c>
      <c r="E772" t="str">
        <f t="shared" si="31"/>
        <v>3</v>
      </c>
      <c r="F772" t="str">
        <f t="shared" si="32"/>
        <v>1.4</v>
      </c>
    </row>
    <row r="773" spans="1:6" x14ac:dyDescent="0.25">
      <c r="A773" s="109">
        <v>2314</v>
      </c>
      <c r="B773" t="s">
        <v>1453</v>
      </c>
      <c r="C773" t="s">
        <v>1113</v>
      </c>
      <c r="D773" s="110">
        <v>-32</v>
      </c>
      <c r="E773" t="str">
        <f t="shared" si="31"/>
        <v>3</v>
      </c>
      <c r="F773" t="str">
        <f t="shared" si="32"/>
        <v>1.4</v>
      </c>
    </row>
    <row r="774" spans="1:6" x14ac:dyDescent="0.25">
      <c r="A774" s="109">
        <v>2315</v>
      </c>
      <c r="B774" t="s">
        <v>1454</v>
      </c>
      <c r="C774" t="s">
        <v>1113</v>
      </c>
      <c r="D774" s="110">
        <v>-32</v>
      </c>
      <c r="E774" t="str">
        <f t="shared" si="31"/>
        <v>3</v>
      </c>
      <c r="F774" t="str">
        <f t="shared" si="32"/>
        <v>1.4</v>
      </c>
    </row>
    <row r="775" spans="1:6" x14ac:dyDescent="0.25">
      <c r="A775" s="109">
        <v>2320</v>
      </c>
      <c r="B775" t="s">
        <v>1455</v>
      </c>
      <c r="C775" t="s">
        <v>1113</v>
      </c>
      <c r="D775" s="110">
        <v>-32</v>
      </c>
      <c r="E775" t="str">
        <f t="shared" si="31"/>
        <v>3</v>
      </c>
      <c r="F775" t="str">
        <f t="shared" si="32"/>
        <v>1.4</v>
      </c>
    </row>
    <row r="776" spans="1:6" x14ac:dyDescent="0.25">
      <c r="A776" s="109">
        <v>2321</v>
      </c>
      <c r="B776" t="s">
        <v>1456</v>
      </c>
      <c r="C776" t="s">
        <v>1113</v>
      </c>
      <c r="D776" s="110">
        <v>-32</v>
      </c>
      <c r="E776" t="str">
        <f t="shared" si="31"/>
        <v>3</v>
      </c>
      <c r="F776" t="str">
        <f t="shared" si="32"/>
        <v>1.4</v>
      </c>
    </row>
    <row r="777" spans="1:6" x14ac:dyDescent="0.25">
      <c r="A777" s="109">
        <v>2322</v>
      </c>
      <c r="B777" t="s">
        <v>1457</v>
      </c>
      <c r="C777" t="s">
        <v>1113</v>
      </c>
      <c r="D777" s="110">
        <v>-32</v>
      </c>
      <c r="E777" t="str">
        <f t="shared" si="31"/>
        <v>3</v>
      </c>
      <c r="F777" t="str">
        <f t="shared" si="32"/>
        <v>1.4</v>
      </c>
    </row>
    <row r="778" spans="1:6" x14ac:dyDescent="0.25">
      <c r="A778" s="109">
        <v>2323</v>
      </c>
      <c r="B778" t="s">
        <v>1458</v>
      </c>
      <c r="C778" t="s">
        <v>1113</v>
      </c>
      <c r="D778" s="110">
        <v>-32</v>
      </c>
      <c r="E778" t="str">
        <f t="shared" si="31"/>
        <v>3</v>
      </c>
      <c r="F778" t="str">
        <f t="shared" si="32"/>
        <v>1.4</v>
      </c>
    </row>
    <row r="779" spans="1:6" x14ac:dyDescent="0.25">
      <c r="A779" s="109">
        <v>2324</v>
      </c>
      <c r="B779" t="s">
        <v>1459</v>
      </c>
      <c r="C779" t="s">
        <v>1113</v>
      </c>
      <c r="D779" s="110">
        <v>-32</v>
      </c>
      <c r="E779" t="str">
        <f t="shared" si="31"/>
        <v>3</v>
      </c>
      <c r="F779" t="str">
        <f t="shared" si="32"/>
        <v>1.4</v>
      </c>
    </row>
    <row r="780" spans="1:6" x14ac:dyDescent="0.25">
      <c r="A780" s="109">
        <v>2326</v>
      </c>
      <c r="B780" t="s">
        <v>1460</v>
      </c>
      <c r="C780" t="s">
        <v>1113</v>
      </c>
      <c r="D780" s="110">
        <v>-32</v>
      </c>
      <c r="E780" t="str">
        <f t="shared" si="31"/>
        <v>3</v>
      </c>
      <c r="F780" t="str">
        <f t="shared" si="32"/>
        <v>1.4</v>
      </c>
    </row>
    <row r="781" spans="1:6" x14ac:dyDescent="0.25">
      <c r="A781" s="109">
        <v>2327</v>
      </c>
      <c r="B781" t="s">
        <v>1461</v>
      </c>
      <c r="C781" t="s">
        <v>1113</v>
      </c>
      <c r="D781" s="110">
        <v>-32</v>
      </c>
      <c r="E781" t="str">
        <f t="shared" si="31"/>
        <v>3</v>
      </c>
      <c r="F781" t="str">
        <f t="shared" si="32"/>
        <v>1.4</v>
      </c>
    </row>
    <row r="782" spans="1:6" x14ac:dyDescent="0.25">
      <c r="A782" s="109">
        <v>2328</v>
      </c>
      <c r="B782" t="s">
        <v>1462</v>
      </c>
      <c r="C782" t="s">
        <v>1113</v>
      </c>
      <c r="D782" s="110">
        <v>-32</v>
      </c>
      <c r="E782" t="str">
        <f t="shared" si="31"/>
        <v>3</v>
      </c>
      <c r="F782" t="str">
        <f t="shared" si="32"/>
        <v>1.4</v>
      </c>
    </row>
    <row r="783" spans="1:6" x14ac:dyDescent="0.25">
      <c r="A783" s="109">
        <v>2329</v>
      </c>
      <c r="B783" t="s">
        <v>1463</v>
      </c>
      <c r="C783" t="s">
        <v>1113</v>
      </c>
      <c r="D783" s="110">
        <v>-32</v>
      </c>
      <c r="E783" t="str">
        <f t="shared" si="31"/>
        <v>3</v>
      </c>
      <c r="F783" t="str">
        <f t="shared" si="32"/>
        <v>1.4</v>
      </c>
    </row>
    <row r="784" spans="1:6" x14ac:dyDescent="0.25">
      <c r="A784" s="109">
        <v>2330</v>
      </c>
      <c r="B784" t="s">
        <v>1464</v>
      </c>
      <c r="C784" t="s">
        <v>1113</v>
      </c>
      <c r="D784" s="110">
        <v>-32</v>
      </c>
      <c r="E784" t="str">
        <f t="shared" si="31"/>
        <v>3</v>
      </c>
      <c r="F784" t="str">
        <f t="shared" si="32"/>
        <v>1.4</v>
      </c>
    </row>
    <row r="785" spans="1:6" x14ac:dyDescent="0.25">
      <c r="A785" s="109">
        <v>2333</v>
      </c>
      <c r="B785" t="s">
        <v>1465</v>
      </c>
      <c r="C785" t="s">
        <v>1113</v>
      </c>
      <c r="D785" s="110">
        <v>-32</v>
      </c>
      <c r="E785" t="str">
        <f t="shared" si="31"/>
        <v>3</v>
      </c>
      <c r="F785" t="str">
        <f t="shared" si="32"/>
        <v>1.4</v>
      </c>
    </row>
    <row r="786" spans="1:6" x14ac:dyDescent="0.25">
      <c r="A786" s="109">
        <v>2334</v>
      </c>
      <c r="B786" t="s">
        <v>1466</v>
      </c>
      <c r="C786" t="s">
        <v>1113</v>
      </c>
      <c r="D786" s="110">
        <v>-32</v>
      </c>
      <c r="E786" t="str">
        <f t="shared" si="31"/>
        <v>3</v>
      </c>
      <c r="F786" t="str">
        <f t="shared" si="32"/>
        <v>1.4</v>
      </c>
    </row>
    <row r="787" spans="1:6" x14ac:dyDescent="0.25">
      <c r="A787" s="109">
        <v>2335</v>
      </c>
      <c r="B787" t="s">
        <v>1467</v>
      </c>
      <c r="C787" t="s">
        <v>1113</v>
      </c>
      <c r="D787" s="110">
        <v>-32</v>
      </c>
      <c r="E787" t="str">
        <f t="shared" si="31"/>
        <v>3</v>
      </c>
      <c r="F787" t="str">
        <f t="shared" si="32"/>
        <v>1.4</v>
      </c>
    </row>
    <row r="788" spans="1:6" x14ac:dyDescent="0.25">
      <c r="A788" s="109">
        <v>2336</v>
      </c>
      <c r="B788" t="s">
        <v>1468</v>
      </c>
      <c r="C788" t="s">
        <v>1113</v>
      </c>
      <c r="D788" s="110">
        <v>-32</v>
      </c>
      <c r="E788" t="str">
        <f t="shared" si="31"/>
        <v>3</v>
      </c>
      <c r="F788" t="str">
        <f t="shared" si="32"/>
        <v>1.4</v>
      </c>
    </row>
    <row r="789" spans="1:6" x14ac:dyDescent="0.25">
      <c r="A789" s="109">
        <v>2415</v>
      </c>
      <c r="B789" t="s">
        <v>1469</v>
      </c>
      <c r="C789" t="s">
        <v>1113</v>
      </c>
      <c r="D789" s="110">
        <v>-32</v>
      </c>
      <c r="E789" t="str">
        <f t="shared" si="31"/>
        <v>3</v>
      </c>
      <c r="F789" t="str">
        <f t="shared" si="32"/>
        <v>1.4</v>
      </c>
    </row>
    <row r="790" spans="1:6" x14ac:dyDescent="0.25">
      <c r="A790" s="109">
        <v>2421</v>
      </c>
      <c r="B790" t="s">
        <v>1470</v>
      </c>
      <c r="C790" t="s">
        <v>1113</v>
      </c>
      <c r="D790" s="110">
        <v>-32</v>
      </c>
      <c r="E790" t="str">
        <f t="shared" si="31"/>
        <v>3</v>
      </c>
      <c r="F790" t="str">
        <f t="shared" si="32"/>
        <v>1.4</v>
      </c>
    </row>
    <row r="791" spans="1:6" x14ac:dyDescent="0.25">
      <c r="A791" s="109">
        <v>2423</v>
      </c>
      <c r="B791" t="s">
        <v>1471</v>
      </c>
      <c r="C791" t="s">
        <v>1113</v>
      </c>
      <c r="D791" s="110">
        <v>-32</v>
      </c>
      <c r="E791" t="str">
        <f t="shared" si="31"/>
        <v>3</v>
      </c>
      <c r="F791" t="str">
        <f t="shared" si="32"/>
        <v>1.4</v>
      </c>
    </row>
    <row r="792" spans="1:6" x14ac:dyDescent="0.25">
      <c r="A792" s="109">
        <v>2425</v>
      </c>
      <c r="B792" t="s">
        <v>1472</v>
      </c>
      <c r="C792" t="s">
        <v>1113</v>
      </c>
      <c r="D792" s="110">
        <v>-32</v>
      </c>
      <c r="E792" t="str">
        <f t="shared" si="31"/>
        <v>3</v>
      </c>
      <c r="F792" t="str">
        <f t="shared" si="32"/>
        <v>1.4</v>
      </c>
    </row>
    <row r="793" spans="1:6" x14ac:dyDescent="0.25">
      <c r="A793" s="109">
        <v>2428</v>
      </c>
      <c r="B793" t="s">
        <v>1473</v>
      </c>
      <c r="C793" t="s">
        <v>1113</v>
      </c>
      <c r="D793" s="110">
        <v>-32</v>
      </c>
      <c r="E793" t="str">
        <f t="shared" si="31"/>
        <v>3</v>
      </c>
      <c r="F793" t="str">
        <f t="shared" si="32"/>
        <v>1.4</v>
      </c>
    </row>
    <row r="794" spans="1:6" x14ac:dyDescent="0.25">
      <c r="A794" s="109">
        <v>2430</v>
      </c>
      <c r="B794" t="s">
        <v>1474</v>
      </c>
      <c r="C794" t="s">
        <v>1113</v>
      </c>
      <c r="D794" s="110">
        <v>-32</v>
      </c>
      <c r="E794" t="str">
        <f t="shared" si="31"/>
        <v>3</v>
      </c>
      <c r="F794" t="str">
        <f t="shared" si="32"/>
        <v>1.4</v>
      </c>
    </row>
    <row r="795" spans="1:6" x14ac:dyDescent="0.25">
      <c r="A795" s="109">
        <v>2648</v>
      </c>
      <c r="B795" t="s">
        <v>1475</v>
      </c>
      <c r="C795" t="s">
        <v>1113</v>
      </c>
      <c r="D795" s="110">
        <v>-32</v>
      </c>
      <c r="E795" t="str">
        <f t="shared" si="31"/>
        <v>3</v>
      </c>
      <c r="F795" t="str">
        <f t="shared" si="32"/>
        <v>1.4</v>
      </c>
    </row>
    <row r="796" spans="1:6" x14ac:dyDescent="0.25">
      <c r="A796" s="109">
        <v>2820</v>
      </c>
      <c r="B796" t="s">
        <v>1476</v>
      </c>
      <c r="C796" t="s">
        <v>1113</v>
      </c>
      <c r="D796" s="110">
        <v>-32</v>
      </c>
      <c r="E796" t="str">
        <f t="shared" si="31"/>
        <v>3</v>
      </c>
      <c r="F796" t="str">
        <f t="shared" si="32"/>
        <v>1.4</v>
      </c>
    </row>
    <row r="797" spans="1:6" x14ac:dyDescent="0.25">
      <c r="A797" s="109">
        <v>2821</v>
      </c>
      <c r="B797" t="s">
        <v>1477</v>
      </c>
      <c r="C797" t="s">
        <v>1113</v>
      </c>
      <c r="D797" s="110">
        <v>-32</v>
      </c>
      <c r="E797" t="str">
        <f t="shared" si="31"/>
        <v>3</v>
      </c>
      <c r="F797" t="str">
        <f t="shared" si="32"/>
        <v>1.4</v>
      </c>
    </row>
    <row r="798" spans="1:6" x14ac:dyDescent="0.25">
      <c r="A798" s="109">
        <v>2823</v>
      </c>
      <c r="B798" t="s">
        <v>1478</v>
      </c>
      <c r="C798" t="s">
        <v>1113</v>
      </c>
      <c r="D798" s="110">
        <v>-32</v>
      </c>
      <c r="E798" t="str">
        <f t="shared" ref="E798:E861" si="33">IF(D798&lt;-34,"4",IF(D798&lt;-26,"3",IF(D798&lt;-18,"2",IF(D798&lt;-8,"1","lits"))))</f>
        <v>3</v>
      </c>
      <c r="F798" t="str">
        <f t="shared" si="32"/>
        <v>1.4</v>
      </c>
    </row>
    <row r="799" spans="1:6" x14ac:dyDescent="0.25">
      <c r="A799" s="109">
        <v>2830</v>
      </c>
      <c r="B799" t="s">
        <v>1479</v>
      </c>
      <c r="C799" t="s">
        <v>1113</v>
      </c>
      <c r="D799" s="110">
        <v>-32</v>
      </c>
      <c r="E799" t="str">
        <f t="shared" si="33"/>
        <v>3</v>
      </c>
      <c r="F799" t="str">
        <f t="shared" si="32"/>
        <v>1.4</v>
      </c>
    </row>
    <row r="800" spans="1:6" x14ac:dyDescent="0.25">
      <c r="A800" s="109">
        <v>2831</v>
      </c>
      <c r="B800" t="s">
        <v>1480</v>
      </c>
      <c r="C800" t="s">
        <v>1113</v>
      </c>
      <c r="D800" s="110">
        <v>-32</v>
      </c>
      <c r="E800" t="str">
        <f t="shared" si="33"/>
        <v>3</v>
      </c>
      <c r="F800" t="str">
        <f t="shared" si="32"/>
        <v>1.4</v>
      </c>
    </row>
    <row r="801" spans="1:6" x14ac:dyDescent="0.25">
      <c r="A801" s="109">
        <v>2844</v>
      </c>
      <c r="B801" t="s">
        <v>1481</v>
      </c>
      <c r="C801" t="s">
        <v>1113</v>
      </c>
      <c r="D801" s="110">
        <v>-32</v>
      </c>
      <c r="E801" t="str">
        <f t="shared" si="33"/>
        <v>3</v>
      </c>
      <c r="F801" t="str">
        <f t="shared" si="32"/>
        <v>1.4</v>
      </c>
    </row>
    <row r="802" spans="1:6" x14ac:dyDescent="0.25">
      <c r="A802" s="109">
        <v>2848</v>
      </c>
      <c r="B802" t="s">
        <v>1482</v>
      </c>
      <c r="C802" t="s">
        <v>1113</v>
      </c>
      <c r="D802" s="110">
        <v>-32</v>
      </c>
      <c r="E802" t="str">
        <f t="shared" si="33"/>
        <v>3</v>
      </c>
      <c r="F802" t="str">
        <f t="shared" si="32"/>
        <v>1.4</v>
      </c>
    </row>
    <row r="803" spans="1:6" x14ac:dyDescent="0.25">
      <c r="A803" s="109">
        <v>2849</v>
      </c>
      <c r="B803" t="s">
        <v>1483</v>
      </c>
      <c r="C803" t="s">
        <v>1113</v>
      </c>
      <c r="D803" s="110">
        <v>-32</v>
      </c>
      <c r="E803" t="str">
        <f t="shared" si="33"/>
        <v>3</v>
      </c>
      <c r="F803" t="str">
        <f t="shared" si="32"/>
        <v>1.4</v>
      </c>
    </row>
    <row r="804" spans="1:6" x14ac:dyDescent="0.25">
      <c r="A804" s="109">
        <v>2850</v>
      </c>
      <c r="B804" t="s">
        <v>694</v>
      </c>
      <c r="C804" t="s">
        <v>1113</v>
      </c>
      <c r="D804" s="110">
        <v>-32</v>
      </c>
      <c r="E804" t="str">
        <f t="shared" si="33"/>
        <v>3</v>
      </c>
      <c r="F804" t="str">
        <f t="shared" si="32"/>
        <v>1.4</v>
      </c>
    </row>
    <row r="805" spans="1:6" x14ac:dyDescent="0.25">
      <c r="A805" s="109">
        <v>2852</v>
      </c>
      <c r="B805" t="s">
        <v>1484</v>
      </c>
      <c r="C805" t="s">
        <v>1113</v>
      </c>
      <c r="D805" s="110">
        <v>-32</v>
      </c>
      <c r="E805" t="str">
        <f t="shared" si="33"/>
        <v>3</v>
      </c>
      <c r="F805" t="str">
        <f t="shared" si="32"/>
        <v>1.4</v>
      </c>
    </row>
    <row r="806" spans="1:6" x14ac:dyDescent="0.25">
      <c r="A806" s="109">
        <v>2866</v>
      </c>
      <c r="B806" t="s">
        <v>1485</v>
      </c>
      <c r="C806" t="s">
        <v>1113</v>
      </c>
      <c r="D806" s="110">
        <v>-32</v>
      </c>
      <c r="E806" t="str">
        <f t="shared" si="33"/>
        <v>3</v>
      </c>
      <c r="F806" t="str">
        <f t="shared" si="32"/>
        <v>1.4</v>
      </c>
    </row>
    <row r="807" spans="1:6" x14ac:dyDescent="0.25">
      <c r="A807" s="109">
        <v>2867</v>
      </c>
      <c r="B807" t="s">
        <v>1486</v>
      </c>
      <c r="C807" t="s">
        <v>1113</v>
      </c>
      <c r="D807" s="110">
        <v>-32</v>
      </c>
      <c r="E807" t="str">
        <f t="shared" si="33"/>
        <v>3</v>
      </c>
      <c r="F807" t="str">
        <f t="shared" si="32"/>
        <v>1.4</v>
      </c>
    </row>
    <row r="808" spans="1:6" x14ac:dyDescent="0.25">
      <c r="A808" s="109">
        <v>2868</v>
      </c>
      <c r="B808" t="s">
        <v>1487</v>
      </c>
      <c r="C808" t="s">
        <v>1113</v>
      </c>
      <c r="D808" s="110">
        <v>-32</v>
      </c>
      <c r="E808" t="str">
        <f t="shared" si="33"/>
        <v>3</v>
      </c>
      <c r="F808" t="str">
        <f t="shared" si="32"/>
        <v>1.4</v>
      </c>
    </row>
    <row r="809" spans="1:6" x14ac:dyDescent="0.25">
      <c r="A809" s="109">
        <v>2869</v>
      </c>
      <c r="B809" t="s">
        <v>1488</v>
      </c>
      <c r="C809" t="s">
        <v>1113</v>
      </c>
      <c r="D809" s="110">
        <v>-32</v>
      </c>
      <c r="E809" t="str">
        <f t="shared" si="33"/>
        <v>3</v>
      </c>
      <c r="F809" t="str">
        <f t="shared" si="32"/>
        <v>1.4</v>
      </c>
    </row>
    <row r="810" spans="1:6" x14ac:dyDescent="0.25">
      <c r="A810" s="109">
        <v>2870</v>
      </c>
      <c r="B810" t="s">
        <v>1489</v>
      </c>
      <c r="C810" t="s">
        <v>1113</v>
      </c>
      <c r="D810" s="110">
        <v>-32</v>
      </c>
      <c r="E810" t="str">
        <f t="shared" si="33"/>
        <v>3</v>
      </c>
      <c r="F810" t="str">
        <f t="shared" si="32"/>
        <v>1.4</v>
      </c>
    </row>
    <row r="811" spans="1:6" x14ac:dyDescent="0.25">
      <c r="A811" s="109">
        <v>2873</v>
      </c>
      <c r="B811" t="s">
        <v>1490</v>
      </c>
      <c r="C811" t="s">
        <v>1113</v>
      </c>
      <c r="D811" s="110">
        <v>-32</v>
      </c>
      <c r="E811" t="str">
        <f t="shared" si="33"/>
        <v>3</v>
      </c>
      <c r="F811" t="str">
        <f t="shared" si="32"/>
        <v>1.4</v>
      </c>
    </row>
    <row r="812" spans="1:6" x14ac:dyDescent="0.25">
      <c r="A812" s="109">
        <v>2874</v>
      </c>
      <c r="B812" t="s">
        <v>1491</v>
      </c>
      <c r="C812" t="s">
        <v>1113</v>
      </c>
      <c r="D812" s="110">
        <v>-32</v>
      </c>
      <c r="E812" t="str">
        <f t="shared" si="33"/>
        <v>3</v>
      </c>
      <c r="F812" t="str">
        <f t="shared" si="32"/>
        <v>1.4</v>
      </c>
    </row>
    <row r="813" spans="1:6" x14ac:dyDescent="0.25">
      <c r="A813" s="109">
        <v>2878</v>
      </c>
      <c r="B813" t="s">
        <v>1492</v>
      </c>
      <c r="C813" t="s">
        <v>1113</v>
      </c>
      <c r="D813" s="110">
        <v>-32</v>
      </c>
      <c r="E813" t="str">
        <f t="shared" si="33"/>
        <v>3</v>
      </c>
      <c r="F813" t="str">
        <f t="shared" si="32"/>
        <v>1.4</v>
      </c>
    </row>
    <row r="814" spans="1:6" x14ac:dyDescent="0.25">
      <c r="A814" s="109">
        <v>2879</v>
      </c>
      <c r="B814" t="s">
        <v>1493</v>
      </c>
      <c r="C814" t="s">
        <v>1113</v>
      </c>
      <c r="D814" s="110">
        <v>-32</v>
      </c>
      <c r="E814" t="str">
        <f t="shared" si="33"/>
        <v>3</v>
      </c>
      <c r="F814" t="str">
        <f t="shared" si="32"/>
        <v>1.4</v>
      </c>
    </row>
    <row r="815" spans="1:6" x14ac:dyDescent="0.25">
      <c r="A815" s="109">
        <v>5431</v>
      </c>
      <c r="B815" t="s">
        <v>1494</v>
      </c>
      <c r="C815" t="s">
        <v>1105</v>
      </c>
      <c r="D815" s="110">
        <v>-32</v>
      </c>
      <c r="E815" t="str">
        <f t="shared" si="33"/>
        <v>3</v>
      </c>
      <c r="F815" t="str">
        <f t="shared" si="32"/>
        <v>1.4</v>
      </c>
    </row>
    <row r="816" spans="1:6" x14ac:dyDescent="0.25">
      <c r="A816" s="109">
        <v>5432</v>
      </c>
      <c r="B816" t="s">
        <v>1495</v>
      </c>
      <c r="C816" t="s">
        <v>1105</v>
      </c>
      <c r="D816" s="110">
        <v>-32</v>
      </c>
      <c r="E816" t="str">
        <f t="shared" si="33"/>
        <v>3</v>
      </c>
      <c r="F816" t="str">
        <f t="shared" si="32"/>
        <v>1.4</v>
      </c>
    </row>
    <row r="817" spans="1:6" x14ac:dyDescent="0.25">
      <c r="A817" s="109">
        <v>5433</v>
      </c>
      <c r="B817" t="s">
        <v>1496</v>
      </c>
      <c r="C817" t="s">
        <v>1105</v>
      </c>
      <c r="D817" s="110">
        <v>-32</v>
      </c>
      <c r="E817" t="str">
        <f t="shared" si="33"/>
        <v>3</v>
      </c>
      <c r="F817" t="str">
        <f t="shared" si="32"/>
        <v>1.4</v>
      </c>
    </row>
    <row r="818" spans="1:6" x14ac:dyDescent="0.25">
      <c r="A818" s="109">
        <v>5440</v>
      </c>
      <c r="B818" t="s">
        <v>1497</v>
      </c>
      <c r="C818" t="s">
        <v>1105</v>
      </c>
      <c r="D818" s="110">
        <v>-32</v>
      </c>
      <c r="E818" t="str">
        <f t="shared" si="33"/>
        <v>3</v>
      </c>
      <c r="F818" t="str">
        <f t="shared" si="32"/>
        <v>1.4</v>
      </c>
    </row>
    <row r="819" spans="1:6" x14ac:dyDescent="0.25">
      <c r="A819" s="109">
        <v>5481</v>
      </c>
      <c r="B819" t="s">
        <v>1498</v>
      </c>
      <c r="C819" t="s">
        <v>1105</v>
      </c>
      <c r="D819" s="110">
        <v>-32</v>
      </c>
      <c r="E819" t="str">
        <f t="shared" si="33"/>
        <v>3</v>
      </c>
      <c r="F819" t="str">
        <f t="shared" si="32"/>
        <v>1.4</v>
      </c>
    </row>
    <row r="820" spans="1:6" x14ac:dyDescent="0.25">
      <c r="A820" s="109">
        <v>5482</v>
      </c>
      <c r="B820" t="s">
        <v>1499</v>
      </c>
      <c r="C820" t="s">
        <v>1105</v>
      </c>
      <c r="D820" s="110">
        <v>-32</v>
      </c>
      <c r="E820" t="str">
        <f t="shared" si="33"/>
        <v>3</v>
      </c>
      <c r="F820" t="str">
        <f t="shared" si="32"/>
        <v>1.4</v>
      </c>
    </row>
    <row r="821" spans="1:6" x14ac:dyDescent="0.25">
      <c r="A821" s="109">
        <v>5483</v>
      </c>
      <c r="B821" t="s">
        <v>1500</v>
      </c>
      <c r="C821" t="s">
        <v>1105</v>
      </c>
      <c r="D821" s="110">
        <v>-32</v>
      </c>
      <c r="E821" t="str">
        <f t="shared" si="33"/>
        <v>3</v>
      </c>
      <c r="F821" t="str">
        <f t="shared" si="32"/>
        <v>1.4</v>
      </c>
    </row>
    <row r="822" spans="1:6" x14ac:dyDescent="0.25">
      <c r="A822" s="109">
        <v>5485</v>
      </c>
      <c r="B822" t="s">
        <v>1501</v>
      </c>
      <c r="C822" t="s">
        <v>1105</v>
      </c>
      <c r="D822" s="110">
        <v>-32</v>
      </c>
      <c r="E822" t="str">
        <f t="shared" si="33"/>
        <v>3</v>
      </c>
      <c r="F822" t="str">
        <f t="shared" si="32"/>
        <v>1.4</v>
      </c>
    </row>
    <row r="823" spans="1:6" x14ac:dyDescent="0.25">
      <c r="A823" s="109">
        <v>5601</v>
      </c>
      <c r="B823" t="s">
        <v>1502</v>
      </c>
      <c r="C823" t="s">
        <v>1105</v>
      </c>
      <c r="D823" s="110">
        <v>-32</v>
      </c>
      <c r="E823" t="str">
        <f t="shared" si="33"/>
        <v>3</v>
      </c>
      <c r="F823" t="str">
        <f t="shared" si="32"/>
        <v>1.4</v>
      </c>
    </row>
    <row r="824" spans="1:6" x14ac:dyDescent="0.25">
      <c r="A824" s="109">
        <v>5653</v>
      </c>
      <c r="B824" t="s">
        <v>1503</v>
      </c>
      <c r="C824" t="s">
        <v>1105</v>
      </c>
      <c r="D824" s="110">
        <v>-32</v>
      </c>
      <c r="E824" t="str">
        <f t="shared" si="33"/>
        <v>3</v>
      </c>
      <c r="F824" t="str">
        <f t="shared" si="32"/>
        <v>1.4</v>
      </c>
    </row>
    <row r="825" spans="1:6" x14ac:dyDescent="0.25">
      <c r="A825" s="109">
        <v>5654</v>
      </c>
      <c r="B825" t="s">
        <v>1504</v>
      </c>
      <c r="C825" t="s">
        <v>1105</v>
      </c>
      <c r="D825" s="110">
        <v>-32</v>
      </c>
      <c r="E825" t="str">
        <f t="shared" si="33"/>
        <v>3</v>
      </c>
      <c r="F825" t="str">
        <f t="shared" si="32"/>
        <v>1.4</v>
      </c>
    </row>
    <row r="826" spans="1:6" x14ac:dyDescent="0.25">
      <c r="A826" s="109">
        <v>5655</v>
      </c>
      <c r="B826" t="s">
        <v>1505</v>
      </c>
      <c r="C826" t="s">
        <v>1105</v>
      </c>
      <c r="D826" s="110">
        <v>-32</v>
      </c>
      <c r="E826" t="str">
        <f t="shared" si="33"/>
        <v>3</v>
      </c>
      <c r="F826" t="str">
        <f t="shared" si="32"/>
        <v>1.4</v>
      </c>
    </row>
    <row r="827" spans="1:6" x14ac:dyDescent="0.25">
      <c r="A827" s="109">
        <v>5661</v>
      </c>
      <c r="B827" t="s">
        <v>1506</v>
      </c>
      <c r="C827" t="s">
        <v>1105</v>
      </c>
      <c r="D827" s="110">
        <v>-32</v>
      </c>
      <c r="E827" t="str">
        <f t="shared" si="33"/>
        <v>3</v>
      </c>
      <c r="F827" t="str">
        <f t="shared" si="32"/>
        <v>1.4</v>
      </c>
    </row>
    <row r="828" spans="1:6" x14ac:dyDescent="0.25">
      <c r="A828" s="109">
        <v>5680</v>
      </c>
      <c r="B828" t="s">
        <v>1507</v>
      </c>
      <c r="C828" t="s">
        <v>1105</v>
      </c>
      <c r="D828" s="110">
        <v>-32</v>
      </c>
      <c r="E828" t="str">
        <f t="shared" si="33"/>
        <v>3</v>
      </c>
      <c r="F828" t="str">
        <f t="shared" si="32"/>
        <v>1.4</v>
      </c>
    </row>
    <row r="829" spans="1:6" x14ac:dyDescent="0.25">
      <c r="A829" s="109">
        <v>5690</v>
      </c>
      <c r="B829" t="s">
        <v>1508</v>
      </c>
      <c r="C829" t="s">
        <v>1105</v>
      </c>
      <c r="D829" s="110">
        <v>-32</v>
      </c>
      <c r="E829" t="str">
        <f t="shared" si="33"/>
        <v>3</v>
      </c>
      <c r="F829" t="str">
        <f t="shared" si="32"/>
        <v>1.4</v>
      </c>
    </row>
    <row r="830" spans="1:6" x14ac:dyDescent="0.25">
      <c r="A830" s="109">
        <v>5700</v>
      </c>
      <c r="B830" t="s">
        <v>1509</v>
      </c>
      <c r="C830" t="s">
        <v>1105</v>
      </c>
      <c r="D830" s="110">
        <v>-32</v>
      </c>
      <c r="E830" t="str">
        <f t="shared" si="33"/>
        <v>3</v>
      </c>
      <c r="F830" t="str">
        <f t="shared" si="32"/>
        <v>1.4</v>
      </c>
    </row>
    <row r="831" spans="1:6" x14ac:dyDescent="0.25">
      <c r="A831" s="109">
        <v>6011</v>
      </c>
      <c r="B831" t="s">
        <v>1510</v>
      </c>
      <c r="C831" t="s">
        <v>686</v>
      </c>
      <c r="D831" s="110">
        <v>-32</v>
      </c>
      <c r="E831" t="str">
        <f t="shared" si="33"/>
        <v>3</v>
      </c>
      <c r="F831" t="str">
        <f t="shared" si="32"/>
        <v>1.4</v>
      </c>
    </row>
    <row r="832" spans="1:6" x14ac:dyDescent="0.25">
      <c r="A832" s="109">
        <v>6012</v>
      </c>
      <c r="B832" t="s">
        <v>1511</v>
      </c>
      <c r="C832" t="s">
        <v>686</v>
      </c>
      <c r="D832" s="110">
        <v>-32</v>
      </c>
      <c r="E832" t="str">
        <f t="shared" si="33"/>
        <v>3</v>
      </c>
      <c r="F832" t="str">
        <f t="shared" si="32"/>
        <v>1.4</v>
      </c>
    </row>
    <row r="833" spans="1:6" x14ac:dyDescent="0.25">
      <c r="A833" s="109">
        <v>6102</v>
      </c>
      <c r="B833" t="s">
        <v>1512</v>
      </c>
      <c r="C833" t="s">
        <v>686</v>
      </c>
      <c r="D833" s="110">
        <v>-32</v>
      </c>
      <c r="E833" t="str">
        <f t="shared" si="33"/>
        <v>3</v>
      </c>
      <c r="F833" t="str">
        <f t="shared" si="32"/>
        <v>1.4</v>
      </c>
    </row>
    <row r="834" spans="1:6" x14ac:dyDescent="0.25">
      <c r="A834" s="109">
        <v>6107</v>
      </c>
      <c r="B834" t="s">
        <v>1513</v>
      </c>
      <c r="C834" t="s">
        <v>686</v>
      </c>
      <c r="D834" s="110">
        <v>-32</v>
      </c>
      <c r="E834" t="str">
        <f t="shared" si="33"/>
        <v>3</v>
      </c>
      <c r="F834" t="str">
        <f t="shared" si="32"/>
        <v>1.4</v>
      </c>
    </row>
    <row r="835" spans="1:6" x14ac:dyDescent="0.25">
      <c r="A835" s="109">
        <v>6108</v>
      </c>
      <c r="B835" t="s">
        <v>1514</v>
      </c>
      <c r="C835" t="s">
        <v>686</v>
      </c>
      <c r="D835" s="110">
        <v>-32</v>
      </c>
      <c r="E835" t="str">
        <f t="shared" si="33"/>
        <v>3</v>
      </c>
      <c r="F835" t="str">
        <f t="shared" ref="F835:F898" si="34">IF(D835&lt;-34,"1.6",IF(D835&lt;-26,"1.4",IF(D835&lt;-18,"1.2",IF(D835&lt;-8,"1","lits"))))</f>
        <v>1.4</v>
      </c>
    </row>
    <row r="836" spans="1:6" x14ac:dyDescent="0.25">
      <c r="A836" s="109">
        <v>6109</v>
      </c>
      <c r="B836" t="s">
        <v>1299</v>
      </c>
      <c r="C836" t="s">
        <v>686</v>
      </c>
      <c r="D836" s="110">
        <v>-32</v>
      </c>
      <c r="E836" t="str">
        <f t="shared" si="33"/>
        <v>3</v>
      </c>
      <c r="F836" t="str">
        <f t="shared" si="34"/>
        <v>1.4</v>
      </c>
    </row>
    <row r="837" spans="1:6" x14ac:dyDescent="0.25">
      <c r="A837" s="109">
        <v>6110</v>
      </c>
      <c r="B837" t="s">
        <v>1515</v>
      </c>
      <c r="C837" t="s">
        <v>686</v>
      </c>
      <c r="D837" s="110">
        <v>-32</v>
      </c>
      <c r="E837" t="str">
        <f t="shared" si="33"/>
        <v>3</v>
      </c>
      <c r="F837" t="str">
        <f t="shared" si="34"/>
        <v>1.4</v>
      </c>
    </row>
    <row r="838" spans="1:6" x14ac:dyDescent="0.25">
      <c r="A838" s="109">
        <v>6111</v>
      </c>
      <c r="B838" t="s">
        <v>1516</v>
      </c>
      <c r="C838" t="s">
        <v>686</v>
      </c>
      <c r="D838" s="110">
        <v>-32</v>
      </c>
      <c r="E838" t="str">
        <f t="shared" si="33"/>
        <v>3</v>
      </c>
      <c r="F838" t="str">
        <f t="shared" si="34"/>
        <v>1.4</v>
      </c>
    </row>
    <row r="839" spans="1:6" x14ac:dyDescent="0.25">
      <c r="A839" s="109">
        <v>6112</v>
      </c>
      <c r="B839" t="s">
        <v>1517</v>
      </c>
      <c r="C839" t="s">
        <v>686</v>
      </c>
      <c r="D839" s="110">
        <v>-32</v>
      </c>
      <c r="E839" t="str">
        <f t="shared" si="33"/>
        <v>3</v>
      </c>
      <c r="F839" t="str">
        <f t="shared" si="34"/>
        <v>1.4</v>
      </c>
    </row>
    <row r="840" spans="1:6" x14ac:dyDescent="0.25">
      <c r="A840" s="109">
        <v>6150</v>
      </c>
      <c r="B840" t="s">
        <v>1518</v>
      </c>
      <c r="C840" t="s">
        <v>686</v>
      </c>
      <c r="D840" s="110">
        <v>-32</v>
      </c>
      <c r="E840" t="str">
        <f t="shared" si="33"/>
        <v>3</v>
      </c>
      <c r="F840" t="str">
        <f t="shared" si="34"/>
        <v>1.4</v>
      </c>
    </row>
    <row r="841" spans="1:6" x14ac:dyDescent="0.25">
      <c r="A841" s="109">
        <v>6153</v>
      </c>
      <c r="B841" t="s">
        <v>1519</v>
      </c>
      <c r="C841" t="s">
        <v>686</v>
      </c>
      <c r="D841" s="110">
        <v>-32</v>
      </c>
      <c r="E841" t="str">
        <f t="shared" si="33"/>
        <v>3</v>
      </c>
      <c r="F841" t="str">
        <f t="shared" si="34"/>
        <v>1.4</v>
      </c>
    </row>
    <row r="842" spans="1:6" x14ac:dyDescent="0.25">
      <c r="A842" s="109">
        <v>6154</v>
      </c>
      <c r="B842" t="s">
        <v>1520</v>
      </c>
      <c r="C842" t="s">
        <v>686</v>
      </c>
      <c r="D842" s="110">
        <v>-32</v>
      </c>
      <c r="E842" t="str">
        <f t="shared" si="33"/>
        <v>3</v>
      </c>
      <c r="F842" t="str">
        <f t="shared" si="34"/>
        <v>1.4</v>
      </c>
    </row>
    <row r="843" spans="1:6" x14ac:dyDescent="0.25">
      <c r="A843" s="109">
        <v>6155</v>
      </c>
      <c r="B843" t="s">
        <v>1521</v>
      </c>
      <c r="C843" t="s">
        <v>686</v>
      </c>
      <c r="D843" s="110">
        <v>-32</v>
      </c>
      <c r="E843" t="str">
        <f t="shared" si="33"/>
        <v>3</v>
      </c>
      <c r="F843" t="str">
        <f t="shared" si="34"/>
        <v>1.4</v>
      </c>
    </row>
    <row r="844" spans="1:6" x14ac:dyDescent="0.25">
      <c r="A844" s="109">
        <v>6156</v>
      </c>
      <c r="B844" t="s">
        <v>1522</v>
      </c>
      <c r="C844" t="s">
        <v>686</v>
      </c>
      <c r="D844" s="110">
        <v>-32</v>
      </c>
      <c r="E844" t="str">
        <f t="shared" si="33"/>
        <v>3</v>
      </c>
      <c r="F844" t="str">
        <f t="shared" si="34"/>
        <v>1.4</v>
      </c>
    </row>
    <row r="845" spans="1:6" x14ac:dyDescent="0.25">
      <c r="A845" s="109">
        <v>6157</v>
      </c>
      <c r="B845" t="s">
        <v>1523</v>
      </c>
      <c r="C845" t="s">
        <v>686</v>
      </c>
      <c r="D845" s="110">
        <v>-32</v>
      </c>
      <c r="E845" t="str">
        <f t="shared" si="33"/>
        <v>3</v>
      </c>
      <c r="F845" t="str">
        <f t="shared" si="34"/>
        <v>1.4</v>
      </c>
    </row>
    <row r="846" spans="1:6" x14ac:dyDescent="0.25">
      <c r="A846" s="109">
        <v>6158</v>
      </c>
      <c r="B846" t="s">
        <v>1524</v>
      </c>
      <c r="C846" t="s">
        <v>686</v>
      </c>
      <c r="D846" s="110">
        <v>-32</v>
      </c>
      <c r="E846" t="str">
        <f t="shared" si="33"/>
        <v>3</v>
      </c>
      <c r="F846" t="str">
        <f t="shared" si="34"/>
        <v>1.4</v>
      </c>
    </row>
    <row r="847" spans="1:6" x14ac:dyDescent="0.25">
      <c r="A847" s="109">
        <v>6159</v>
      </c>
      <c r="B847" t="s">
        <v>1525</v>
      </c>
      <c r="C847" t="s">
        <v>686</v>
      </c>
      <c r="D847" s="110">
        <v>-32</v>
      </c>
      <c r="E847" t="str">
        <f t="shared" si="33"/>
        <v>3</v>
      </c>
      <c r="F847" t="str">
        <f t="shared" si="34"/>
        <v>1.4</v>
      </c>
    </row>
    <row r="848" spans="1:6" x14ac:dyDescent="0.25">
      <c r="A848" s="109">
        <v>6160</v>
      </c>
      <c r="B848" t="s">
        <v>1526</v>
      </c>
      <c r="C848" t="s">
        <v>686</v>
      </c>
      <c r="D848" s="110">
        <v>-32</v>
      </c>
      <c r="E848" t="str">
        <f t="shared" si="33"/>
        <v>3</v>
      </c>
      <c r="F848" t="str">
        <f t="shared" si="34"/>
        <v>1.4</v>
      </c>
    </row>
    <row r="849" spans="1:6" x14ac:dyDescent="0.25">
      <c r="A849" s="109">
        <v>6161</v>
      </c>
      <c r="B849" t="s">
        <v>1527</v>
      </c>
      <c r="C849" t="s">
        <v>686</v>
      </c>
      <c r="D849" s="110">
        <v>-32</v>
      </c>
      <c r="E849" t="str">
        <f t="shared" si="33"/>
        <v>3</v>
      </c>
      <c r="F849" t="str">
        <f t="shared" si="34"/>
        <v>1.4</v>
      </c>
    </row>
    <row r="850" spans="1:6" x14ac:dyDescent="0.25">
      <c r="A850" s="109">
        <v>6162</v>
      </c>
      <c r="B850" t="s">
        <v>1528</v>
      </c>
      <c r="C850" t="s">
        <v>686</v>
      </c>
      <c r="D850" s="110">
        <v>-32</v>
      </c>
      <c r="E850" t="str">
        <f t="shared" si="33"/>
        <v>3</v>
      </c>
      <c r="F850" t="str">
        <f t="shared" si="34"/>
        <v>1.4</v>
      </c>
    </row>
    <row r="851" spans="1:6" x14ac:dyDescent="0.25">
      <c r="A851" s="109">
        <v>6163</v>
      </c>
      <c r="B851" t="s">
        <v>1529</v>
      </c>
      <c r="C851" t="s">
        <v>686</v>
      </c>
      <c r="D851" s="110">
        <v>-32</v>
      </c>
      <c r="E851" t="str">
        <f t="shared" si="33"/>
        <v>3</v>
      </c>
      <c r="F851" t="str">
        <f t="shared" si="34"/>
        <v>1.4</v>
      </c>
    </row>
    <row r="852" spans="1:6" x14ac:dyDescent="0.25">
      <c r="A852" s="109">
        <v>6164</v>
      </c>
      <c r="B852" t="s">
        <v>1530</v>
      </c>
      <c r="C852" t="s">
        <v>686</v>
      </c>
      <c r="D852" s="110">
        <v>-32</v>
      </c>
      <c r="E852" t="str">
        <f t="shared" si="33"/>
        <v>3</v>
      </c>
      <c r="F852" t="str">
        <f t="shared" si="34"/>
        <v>1.4</v>
      </c>
    </row>
    <row r="853" spans="1:6" x14ac:dyDescent="0.25">
      <c r="A853" s="109">
        <v>6165</v>
      </c>
      <c r="B853" t="s">
        <v>1531</v>
      </c>
      <c r="C853" t="s">
        <v>686</v>
      </c>
      <c r="D853" s="110">
        <v>-32</v>
      </c>
      <c r="E853" t="str">
        <f t="shared" si="33"/>
        <v>3</v>
      </c>
      <c r="F853" t="str">
        <f t="shared" si="34"/>
        <v>1.4</v>
      </c>
    </row>
    <row r="854" spans="1:6" x14ac:dyDescent="0.25">
      <c r="A854" s="109">
        <v>6166</v>
      </c>
      <c r="B854" t="s">
        <v>1532</v>
      </c>
      <c r="C854" t="s">
        <v>686</v>
      </c>
      <c r="D854" s="110">
        <v>-32</v>
      </c>
      <c r="E854" t="str">
        <f t="shared" si="33"/>
        <v>3</v>
      </c>
      <c r="F854" t="str">
        <f t="shared" si="34"/>
        <v>1.4</v>
      </c>
    </row>
    <row r="855" spans="1:6" x14ac:dyDescent="0.25">
      <c r="A855" s="109">
        <v>6167</v>
      </c>
      <c r="B855" t="s">
        <v>1533</v>
      </c>
      <c r="C855" t="s">
        <v>686</v>
      </c>
      <c r="D855" s="110">
        <v>-32</v>
      </c>
      <c r="E855" t="str">
        <f t="shared" si="33"/>
        <v>3</v>
      </c>
      <c r="F855" t="str">
        <f t="shared" si="34"/>
        <v>1.4</v>
      </c>
    </row>
    <row r="856" spans="1:6" x14ac:dyDescent="0.25">
      <c r="A856" s="109">
        <v>6168</v>
      </c>
      <c r="B856" t="s">
        <v>1534</v>
      </c>
      <c r="C856" t="s">
        <v>686</v>
      </c>
      <c r="D856" s="110">
        <v>-32</v>
      </c>
      <c r="E856" t="str">
        <f t="shared" si="33"/>
        <v>3</v>
      </c>
      <c r="F856" t="str">
        <f t="shared" si="34"/>
        <v>1.4</v>
      </c>
    </row>
    <row r="857" spans="1:6" x14ac:dyDescent="0.25">
      <c r="A857" s="109">
        <v>6169</v>
      </c>
      <c r="B857" t="s">
        <v>1535</v>
      </c>
      <c r="C857" t="s">
        <v>686</v>
      </c>
      <c r="D857" s="110">
        <v>-32</v>
      </c>
      <c r="E857" t="str">
        <f t="shared" si="33"/>
        <v>3</v>
      </c>
      <c r="F857" t="str">
        <f t="shared" si="34"/>
        <v>1.4</v>
      </c>
    </row>
    <row r="858" spans="1:6" x14ac:dyDescent="0.25">
      <c r="A858" s="109">
        <v>6170</v>
      </c>
      <c r="B858" t="s">
        <v>1536</v>
      </c>
      <c r="C858" t="s">
        <v>686</v>
      </c>
      <c r="D858" s="110">
        <v>-32</v>
      </c>
      <c r="E858" t="str">
        <f t="shared" si="33"/>
        <v>3</v>
      </c>
      <c r="F858" t="str">
        <f t="shared" si="34"/>
        <v>1.4</v>
      </c>
    </row>
    <row r="859" spans="1:6" x14ac:dyDescent="0.25">
      <c r="A859" s="109">
        <v>6171</v>
      </c>
      <c r="B859" t="s">
        <v>1537</v>
      </c>
      <c r="C859" t="s">
        <v>686</v>
      </c>
      <c r="D859" s="110">
        <v>-32</v>
      </c>
      <c r="E859" t="str">
        <f t="shared" si="33"/>
        <v>3</v>
      </c>
      <c r="F859" t="str">
        <f t="shared" si="34"/>
        <v>1.4</v>
      </c>
    </row>
    <row r="860" spans="1:6" x14ac:dyDescent="0.25">
      <c r="A860" s="109">
        <v>6173</v>
      </c>
      <c r="B860" t="s">
        <v>1538</v>
      </c>
      <c r="C860" t="s">
        <v>686</v>
      </c>
      <c r="D860" s="110">
        <v>-32</v>
      </c>
      <c r="E860" t="str">
        <f t="shared" si="33"/>
        <v>3</v>
      </c>
      <c r="F860" t="str">
        <f t="shared" si="34"/>
        <v>1.4</v>
      </c>
    </row>
    <row r="861" spans="1:6" x14ac:dyDescent="0.25">
      <c r="A861" s="109">
        <v>6174</v>
      </c>
      <c r="B861" t="s">
        <v>1539</v>
      </c>
      <c r="C861" t="s">
        <v>686</v>
      </c>
      <c r="D861" s="110">
        <v>-32</v>
      </c>
      <c r="E861" t="str">
        <f t="shared" si="33"/>
        <v>3</v>
      </c>
      <c r="F861" t="str">
        <f t="shared" si="34"/>
        <v>1.4</v>
      </c>
    </row>
    <row r="862" spans="1:6" x14ac:dyDescent="0.25">
      <c r="A862" s="109">
        <v>6175</v>
      </c>
      <c r="B862" t="s">
        <v>1540</v>
      </c>
      <c r="C862" t="s">
        <v>686</v>
      </c>
      <c r="D862" s="110">
        <v>-32</v>
      </c>
      <c r="E862" t="str">
        <f t="shared" ref="E862:E925" si="35">IF(D862&lt;-34,"4",IF(D862&lt;-26,"3",IF(D862&lt;-18,"2",IF(D862&lt;-8,"1","lits"))))</f>
        <v>3</v>
      </c>
      <c r="F862" t="str">
        <f t="shared" si="34"/>
        <v>1.4</v>
      </c>
    </row>
    <row r="863" spans="1:6" x14ac:dyDescent="0.25">
      <c r="A863" s="109">
        <v>6207</v>
      </c>
      <c r="B863" t="s">
        <v>1541</v>
      </c>
      <c r="C863" t="s">
        <v>686</v>
      </c>
      <c r="D863" s="110">
        <v>-32</v>
      </c>
      <c r="E863" t="str">
        <f t="shared" si="35"/>
        <v>3</v>
      </c>
      <c r="F863" t="str">
        <f t="shared" si="34"/>
        <v>1.4</v>
      </c>
    </row>
    <row r="864" spans="1:6" x14ac:dyDescent="0.25">
      <c r="A864" s="109">
        <v>6208</v>
      </c>
      <c r="B864" t="s">
        <v>1542</v>
      </c>
      <c r="C864" t="s">
        <v>686</v>
      </c>
      <c r="D864" s="110">
        <v>-32</v>
      </c>
      <c r="E864" t="str">
        <f t="shared" si="35"/>
        <v>3</v>
      </c>
      <c r="F864" t="str">
        <f t="shared" si="34"/>
        <v>1.4</v>
      </c>
    </row>
    <row r="865" spans="1:6" x14ac:dyDescent="0.25">
      <c r="A865" s="109">
        <v>6210</v>
      </c>
      <c r="B865" t="s">
        <v>1543</v>
      </c>
      <c r="C865" t="s">
        <v>686</v>
      </c>
      <c r="D865" s="110">
        <v>-32</v>
      </c>
      <c r="E865" t="str">
        <f t="shared" si="35"/>
        <v>3</v>
      </c>
      <c r="F865" t="str">
        <f t="shared" si="34"/>
        <v>1.4</v>
      </c>
    </row>
    <row r="866" spans="1:6" x14ac:dyDescent="0.25">
      <c r="A866" s="109">
        <v>6213</v>
      </c>
      <c r="B866" t="s">
        <v>1544</v>
      </c>
      <c r="C866" t="s">
        <v>686</v>
      </c>
      <c r="D866" s="110">
        <v>-32</v>
      </c>
      <c r="E866" t="str">
        <f t="shared" si="35"/>
        <v>3</v>
      </c>
      <c r="F866" t="str">
        <f t="shared" si="34"/>
        <v>1.4</v>
      </c>
    </row>
    <row r="867" spans="1:6" x14ac:dyDescent="0.25">
      <c r="A867" s="109">
        <v>6214</v>
      </c>
      <c r="B867" t="s">
        <v>1545</v>
      </c>
      <c r="C867" t="s">
        <v>686</v>
      </c>
      <c r="D867" s="110">
        <v>-32</v>
      </c>
      <c r="E867" t="str">
        <f t="shared" si="35"/>
        <v>3</v>
      </c>
      <c r="F867" t="str">
        <f t="shared" si="34"/>
        <v>1.4</v>
      </c>
    </row>
    <row r="868" spans="1:6" x14ac:dyDescent="0.25">
      <c r="A868" s="109">
        <v>6215</v>
      </c>
      <c r="B868" t="s">
        <v>1546</v>
      </c>
      <c r="C868" t="s">
        <v>686</v>
      </c>
      <c r="D868" s="110">
        <v>-32</v>
      </c>
      <c r="E868" t="str">
        <f t="shared" si="35"/>
        <v>3</v>
      </c>
      <c r="F868" t="str">
        <f t="shared" si="34"/>
        <v>1.4</v>
      </c>
    </row>
    <row r="869" spans="1:6" x14ac:dyDescent="0.25">
      <c r="A869" s="109">
        <v>6218</v>
      </c>
      <c r="B869" t="s">
        <v>1547</v>
      </c>
      <c r="C869" t="s">
        <v>686</v>
      </c>
      <c r="D869" s="110">
        <v>-32</v>
      </c>
      <c r="E869" t="str">
        <f t="shared" si="35"/>
        <v>3</v>
      </c>
      <c r="F869" t="str">
        <f t="shared" si="34"/>
        <v>1.4</v>
      </c>
    </row>
    <row r="870" spans="1:6" x14ac:dyDescent="0.25">
      <c r="A870" s="109">
        <v>6220</v>
      </c>
      <c r="B870" t="s">
        <v>1548</v>
      </c>
      <c r="C870" t="s">
        <v>686</v>
      </c>
      <c r="D870" s="110">
        <v>-32</v>
      </c>
      <c r="E870" t="str">
        <f t="shared" si="35"/>
        <v>3</v>
      </c>
      <c r="F870" t="str">
        <f t="shared" si="34"/>
        <v>1.4</v>
      </c>
    </row>
    <row r="871" spans="1:6" x14ac:dyDescent="0.25">
      <c r="A871" s="109">
        <v>6304</v>
      </c>
      <c r="B871" t="s">
        <v>1549</v>
      </c>
      <c r="C871" t="s">
        <v>686</v>
      </c>
      <c r="D871" s="110">
        <v>-32</v>
      </c>
      <c r="E871" t="str">
        <f t="shared" si="35"/>
        <v>3</v>
      </c>
      <c r="F871" t="str">
        <f t="shared" si="34"/>
        <v>1.4</v>
      </c>
    </row>
    <row r="872" spans="1:6" x14ac:dyDescent="0.25">
      <c r="A872" s="109">
        <v>6306</v>
      </c>
      <c r="B872" t="s">
        <v>1550</v>
      </c>
      <c r="C872" t="s">
        <v>686</v>
      </c>
      <c r="D872" s="110">
        <v>-32</v>
      </c>
      <c r="E872" t="str">
        <f t="shared" si="35"/>
        <v>3</v>
      </c>
      <c r="F872" t="str">
        <f t="shared" si="34"/>
        <v>1.4</v>
      </c>
    </row>
    <row r="873" spans="1:6" x14ac:dyDescent="0.25">
      <c r="A873" s="109">
        <v>6308</v>
      </c>
      <c r="B873" t="s">
        <v>1551</v>
      </c>
      <c r="C873" t="s">
        <v>686</v>
      </c>
      <c r="D873" s="110">
        <v>-32</v>
      </c>
      <c r="E873" t="str">
        <f t="shared" si="35"/>
        <v>3</v>
      </c>
      <c r="F873" t="str">
        <f t="shared" si="34"/>
        <v>1.4</v>
      </c>
    </row>
    <row r="874" spans="1:6" x14ac:dyDescent="0.25">
      <c r="A874" s="109">
        <v>6309</v>
      </c>
      <c r="B874" t="s">
        <v>1552</v>
      </c>
      <c r="C874" t="s">
        <v>686</v>
      </c>
      <c r="D874" s="110">
        <v>-32</v>
      </c>
      <c r="E874" t="str">
        <f t="shared" si="35"/>
        <v>3</v>
      </c>
      <c r="F874" t="str">
        <f t="shared" si="34"/>
        <v>1.4</v>
      </c>
    </row>
    <row r="875" spans="1:6" x14ac:dyDescent="0.25">
      <c r="A875" s="109">
        <v>6311</v>
      </c>
      <c r="B875" t="s">
        <v>1553</v>
      </c>
      <c r="C875" t="s">
        <v>686</v>
      </c>
      <c r="D875" s="110">
        <v>-32</v>
      </c>
      <c r="E875" t="str">
        <f t="shared" si="35"/>
        <v>3</v>
      </c>
      <c r="F875" t="str">
        <f t="shared" si="34"/>
        <v>1.4</v>
      </c>
    </row>
    <row r="876" spans="1:6" x14ac:dyDescent="0.25">
      <c r="A876" s="109">
        <v>6312</v>
      </c>
      <c r="B876" t="s">
        <v>1554</v>
      </c>
      <c r="C876" t="s">
        <v>686</v>
      </c>
      <c r="D876" s="110">
        <v>-32</v>
      </c>
      <c r="E876" t="str">
        <f t="shared" si="35"/>
        <v>3</v>
      </c>
      <c r="F876" t="str">
        <f t="shared" si="34"/>
        <v>1.4</v>
      </c>
    </row>
    <row r="877" spans="1:6" x14ac:dyDescent="0.25">
      <c r="A877" s="109">
        <v>6356</v>
      </c>
      <c r="B877" t="s">
        <v>1555</v>
      </c>
      <c r="C877" t="s">
        <v>686</v>
      </c>
      <c r="D877" s="110">
        <v>-32</v>
      </c>
      <c r="E877" t="str">
        <f t="shared" si="35"/>
        <v>3</v>
      </c>
      <c r="F877" t="str">
        <f t="shared" si="34"/>
        <v>1.4</v>
      </c>
    </row>
    <row r="878" spans="1:6" x14ac:dyDescent="0.25">
      <c r="A878" s="109">
        <v>6357</v>
      </c>
      <c r="B878" t="s">
        <v>1556</v>
      </c>
      <c r="C878" t="s">
        <v>686</v>
      </c>
      <c r="D878" s="110">
        <v>-32</v>
      </c>
      <c r="E878" t="str">
        <f t="shared" si="35"/>
        <v>3</v>
      </c>
      <c r="F878" t="str">
        <f t="shared" si="34"/>
        <v>1.4</v>
      </c>
    </row>
    <row r="879" spans="1:6" x14ac:dyDescent="0.25">
      <c r="A879" s="109">
        <v>6358</v>
      </c>
      <c r="B879" t="s">
        <v>1557</v>
      </c>
      <c r="C879" t="s">
        <v>686</v>
      </c>
      <c r="D879" s="110">
        <v>-32</v>
      </c>
      <c r="E879" t="str">
        <f t="shared" si="35"/>
        <v>3</v>
      </c>
      <c r="F879" t="str">
        <f t="shared" si="34"/>
        <v>1.4</v>
      </c>
    </row>
    <row r="880" spans="1:6" x14ac:dyDescent="0.25">
      <c r="A880" s="109">
        <v>6359</v>
      </c>
      <c r="B880" t="s">
        <v>1558</v>
      </c>
      <c r="C880" t="s">
        <v>686</v>
      </c>
      <c r="D880" s="110">
        <v>-32</v>
      </c>
      <c r="E880" t="str">
        <f t="shared" si="35"/>
        <v>3</v>
      </c>
      <c r="F880" t="str">
        <f t="shared" si="34"/>
        <v>1.4</v>
      </c>
    </row>
    <row r="881" spans="1:6" x14ac:dyDescent="0.25">
      <c r="A881" s="109">
        <v>6365</v>
      </c>
      <c r="B881" t="s">
        <v>1559</v>
      </c>
      <c r="C881" t="s">
        <v>686</v>
      </c>
      <c r="D881" s="110">
        <v>-32</v>
      </c>
      <c r="E881" t="str">
        <f t="shared" si="35"/>
        <v>3</v>
      </c>
      <c r="F881" t="str">
        <f t="shared" si="34"/>
        <v>1.4</v>
      </c>
    </row>
    <row r="882" spans="1:6" x14ac:dyDescent="0.25">
      <c r="A882" s="109">
        <v>6367</v>
      </c>
      <c r="B882" t="s">
        <v>1560</v>
      </c>
      <c r="C882" t="s">
        <v>686</v>
      </c>
      <c r="D882" s="110">
        <v>-32</v>
      </c>
      <c r="E882" t="str">
        <f t="shared" si="35"/>
        <v>3</v>
      </c>
      <c r="F882" t="str">
        <f t="shared" si="34"/>
        <v>1.4</v>
      </c>
    </row>
    <row r="883" spans="1:6" x14ac:dyDescent="0.25">
      <c r="A883" s="109">
        <v>6369</v>
      </c>
      <c r="B883" t="s">
        <v>1561</v>
      </c>
      <c r="C883" t="s">
        <v>686</v>
      </c>
      <c r="D883" s="110">
        <v>-32</v>
      </c>
      <c r="E883" t="str">
        <f t="shared" si="35"/>
        <v>3</v>
      </c>
      <c r="F883" t="str">
        <f t="shared" si="34"/>
        <v>1.4</v>
      </c>
    </row>
    <row r="884" spans="1:6" x14ac:dyDescent="0.25">
      <c r="A884" s="109">
        <v>6373</v>
      </c>
      <c r="B884" t="s">
        <v>1562</v>
      </c>
      <c r="C884" t="s">
        <v>686</v>
      </c>
      <c r="D884" s="110">
        <v>-32</v>
      </c>
      <c r="E884" t="str">
        <f t="shared" si="35"/>
        <v>3</v>
      </c>
      <c r="F884" t="str">
        <f t="shared" si="34"/>
        <v>1.4</v>
      </c>
    </row>
    <row r="885" spans="1:6" x14ac:dyDescent="0.25">
      <c r="A885" s="109">
        <v>6375</v>
      </c>
      <c r="B885" t="s">
        <v>1563</v>
      </c>
      <c r="C885" t="s">
        <v>686</v>
      </c>
      <c r="D885" s="110">
        <v>-32</v>
      </c>
      <c r="E885" t="str">
        <f t="shared" si="35"/>
        <v>3</v>
      </c>
      <c r="F885" t="str">
        <f t="shared" si="34"/>
        <v>1.4</v>
      </c>
    </row>
    <row r="886" spans="1:6" x14ac:dyDescent="0.25">
      <c r="A886" s="109">
        <v>6390</v>
      </c>
      <c r="B886" t="s">
        <v>1564</v>
      </c>
      <c r="C886" t="s">
        <v>686</v>
      </c>
      <c r="D886" s="110">
        <v>-32</v>
      </c>
      <c r="E886" t="str">
        <f t="shared" si="35"/>
        <v>3</v>
      </c>
      <c r="F886" t="str">
        <f t="shared" si="34"/>
        <v>1.4</v>
      </c>
    </row>
    <row r="887" spans="1:6" x14ac:dyDescent="0.25">
      <c r="A887" s="109">
        <v>6391</v>
      </c>
      <c r="B887" t="s">
        <v>1565</v>
      </c>
      <c r="C887" t="s">
        <v>686</v>
      </c>
      <c r="D887" s="110">
        <v>-32</v>
      </c>
      <c r="E887" t="str">
        <f t="shared" si="35"/>
        <v>3</v>
      </c>
      <c r="F887" t="str">
        <f t="shared" si="34"/>
        <v>1.4</v>
      </c>
    </row>
    <row r="888" spans="1:6" x14ac:dyDescent="0.25">
      <c r="A888" s="109">
        <v>1639</v>
      </c>
      <c r="B888" t="s">
        <v>1566</v>
      </c>
      <c r="C888" t="s">
        <v>1113</v>
      </c>
      <c r="D888" s="111">
        <v>-33</v>
      </c>
      <c r="E888" t="str">
        <f t="shared" si="35"/>
        <v>3</v>
      </c>
      <c r="F888" t="str">
        <f t="shared" si="34"/>
        <v>1.4</v>
      </c>
    </row>
    <row r="889" spans="1:6" x14ac:dyDescent="0.25">
      <c r="A889" s="109">
        <v>2000</v>
      </c>
      <c r="B889" t="s">
        <v>1567</v>
      </c>
      <c r="C889" t="s">
        <v>1113</v>
      </c>
      <c r="D889" s="110">
        <v>-33</v>
      </c>
      <c r="E889" t="str">
        <f t="shared" si="35"/>
        <v>3</v>
      </c>
      <c r="F889" t="str">
        <f t="shared" si="34"/>
        <v>1.4</v>
      </c>
    </row>
    <row r="890" spans="1:6" x14ac:dyDescent="0.25">
      <c r="A890" s="109">
        <v>2006</v>
      </c>
      <c r="B890" t="s">
        <v>1568</v>
      </c>
      <c r="C890" t="s">
        <v>1113</v>
      </c>
      <c r="D890" s="110">
        <v>-33</v>
      </c>
      <c r="E890" t="str">
        <f t="shared" si="35"/>
        <v>3</v>
      </c>
      <c r="F890" t="str">
        <f t="shared" si="34"/>
        <v>1.4</v>
      </c>
    </row>
    <row r="891" spans="1:6" x14ac:dyDescent="0.25">
      <c r="A891" s="109">
        <v>2007</v>
      </c>
      <c r="B891" t="s">
        <v>1569</v>
      </c>
      <c r="C891" t="s">
        <v>1113</v>
      </c>
      <c r="D891" s="110">
        <v>-33</v>
      </c>
      <c r="E891" t="str">
        <f t="shared" si="35"/>
        <v>3</v>
      </c>
      <c r="F891" t="str">
        <f t="shared" si="34"/>
        <v>1.4</v>
      </c>
    </row>
    <row r="892" spans="1:6" x14ac:dyDescent="0.25">
      <c r="A892" s="109">
        <v>2008</v>
      </c>
      <c r="B892" t="s">
        <v>1374</v>
      </c>
      <c r="C892" t="s">
        <v>1113</v>
      </c>
      <c r="D892" s="110">
        <v>-33</v>
      </c>
      <c r="E892" t="str">
        <f t="shared" si="35"/>
        <v>3</v>
      </c>
      <c r="F892" t="str">
        <f t="shared" si="34"/>
        <v>1.4</v>
      </c>
    </row>
    <row r="893" spans="1:6" x14ac:dyDescent="0.25">
      <c r="A893" s="109">
        <v>2009</v>
      </c>
      <c r="B893" t="s">
        <v>1570</v>
      </c>
      <c r="C893" t="s">
        <v>1113</v>
      </c>
      <c r="D893" s="110">
        <v>-33</v>
      </c>
      <c r="E893" t="str">
        <f t="shared" si="35"/>
        <v>3</v>
      </c>
      <c r="F893" t="str">
        <f t="shared" si="34"/>
        <v>1.4</v>
      </c>
    </row>
    <row r="894" spans="1:6" x14ac:dyDescent="0.25">
      <c r="A894" s="109">
        <v>2010</v>
      </c>
      <c r="B894" t="s">
        <v>1571</v>
      </c>
      <c r="C894" t="s">
        <v>1113</v>
      </c>
      <c r="D894" s="110">
        <v>-33</v>
      </c>
      <c r="E894" t="str">
        <f t="shared" si="35"/>
        <v>3</v>
      </c>
      <c r="F894" t="str">
        <f t="shared" si="34"/>
        <v>1.4</v>
      </c>
    </row>
    <row r="895" spans="1:6" x14ac:dyDescent="0.25">
      <c r="A895" s="109">
        <v>2011</v>
      </c>
      <c r="B895" t="s">
        <v>1572</v>
      </c>
      <c r="C895" t="s">
        <v>1113</v>
      </c>
      <c r="D895" s="110">
        <v>-33</v>
      </c>
      <c r="E895" t="str">
        <f t="shared" si="35"/>
        <v>3</v>
      </c>
      <c r="F895" t="str">
        <f t="shared" si="34"/>
        <v>1.4</v>
      </c>
    </row>
    <row r="896" spans="1:6" x14ac:dyDescent="0.25">
      <c r="A896" s="109">
        <v>2015</v>
      </c>
      <c r="B896" t="s">
        <v>1573</v>
      </c>
      <c r="C896" t="s">
        <v>1113</v>
      </c>
      <c r="D896" s="110">
        <v>-33</v>
      </c>
      <c r="E896" t="str">
        <f t="shared" si="35"/>
        <v>3</v>
      </c>
      <c r="F896" t="str">
        <f t="shared" si="34"/>
        <v>1.4</v>
      </c>
    </row>
    <row r="897" spans="1:6" x14ac:dyDescent="0.25">
      <c r="A897" s="109">
        <v>2016</v>
      </c>
      <c r="B897" t="s">
        <v>1574</v>
      </c>
      <c r="C897" t="s">
        <v>1113</v>
      </c>
      <c r="D897" s="110">
        <v>-33</v>
      </c>
      <c r="E897" t="str">
        <f t="shared" si="35"/>
        <v>3</v>
      </c>
      <c r="F897" t="str">
        <f t="shared" si="34"/>
        <v>1.4</v>
      </c>
    </row>
    <row r="898" spans="1:6" x14ac:dyDescent="0.25">
      <c r="A898" s="109">
        <v>2017</v>
      </c>
      <c r="B898" t="s">
        <v>1575</v>
      </c>
      <c r="C898" t="s">
        <v>1113</v>
      </c>
      <c r="D898" s="110">
        <v>-33</v>
      </c>
      <c r="E898" t="str">
        <f t="shared" si="35"/>
        <v>3</v>
      </c>
      <c r="F898" t="str">
        <f t="shared" si="34"/>
        <v>1.4</v>
      </c>
    </row>
    <row r="899" spans="1:6" x14ac:dyDescent="0.25">
      <c r="A899" s="109">
        <v>2018</v>
      </c>
      <c r="B899" t="s">
        <v>695</v>
      </c>
      <c r="C899" t="s">
        <v>1113</v>
      </c>
      <c r="D899" s="110">
        <v>-33</v>
      </c>
      <c r="E899" t="str">
        <f t="shared" si="35"/>
        <v>3</v>
      </c>
      <c r="F899" t="str">
        <f t="shared" ref="F899:F962" si="36">IF(D899&lt;-34,"1.6",IF(D899&lt;-26,"1.4",IF(D899&lt;-18,"1.2",IF(D899&lt;-8,"1","lits"))))</f>
        <v>1.4</v>
      </c>
    </row>
    <row r="900" spans="1:6" x14ac:dyDescent="0.25">
      <c r="A900" s="109">
        <v>2019</v>
      </c>
      <c r="B900" t="s">
        <v>1576</v>
      </c>
      <c r="C900" t="s">
        <v>1113</v>
      </c>
      <c r="D900" s="110">
        <v>-33</v>
      </c>
      <c r="E900" t="str">
        <f t="shared" si="35"/>
        <v>3</v>
      </c>
      <c r="F900" t="str">
        <f t="shared" si="36"/>
        <v>1.4</v>
      </c>
    </row>
    <row r="901" spans="1:6" x14ac:dyDescent="0.25">
      <c r="A901" s="109">
        <v>2020</v>
      </c>
      <c r="B901" t="s">
        <v>1577</v>
      </c>
      <c r="C901" t="s">
        <v>1113</v>
      </c>
      <c r="D901" s="110">
        <v>-33</v>
      </c>
      <c r="E901" t="str">
        <f t="shared" si="35"/>
        <v>3</v>
      </c>
      <c r="F901" t="str">
        <f t="shared" si="36"/>
        <v>1.4</v>
      </c>
    </row>
    <row r="902" spans="1:6" x14ac:dyDescent="0.25">
      <c r="A902" s="109">
        <v>2021</v>
      </c>
      <c r="B902" t="s">
        <v>1578</v>
      </c>
      <c r="C902" t="s">
        <v>1113</v>
      </c>
      <c r="D902" s="110">
        <v>-33</v>
      </c>
      <c r="E902" t="str">
        <f t="shared" si="35"/>
        <v>3</v>
      </c>
      <c r="F902" t="str">
        <f t="shared" si="36"/>
        <v>1.4</v>
      </c>
    </row>
    <row r="903" spans="1:6" x14ac:dyDescent="0.25">
      <c r="A903" s="109">
        <v>2022</v>
      </c>
      <c r="B903" t="s">
        <v>1579</v>
      </c>
      <c r="C903" t="s">
        <v>1113</v>
      </c>
      <c r="D903" s="110">
        <v>-33</v>
      </c>
      <c r="E903" t="str">
        <f t="shared" si="35"/>
        <v>3</v>
      </c>
      <c r="F903" t="str">
        <f t="shared" si="36"/>
        <v>1.4</v>
      </c>
    </row>
    <row r="904" spans="1:6" x14ac:dyDescent="0.25">
      <c r="A904" s="109">
        <v>2023</v>
      </c>
      <c r="B904" t="s">
        <v>1580</v>
      </c>
      <c r="C904" t="s">
        <v>1113</v>
      </c>
      <c r="D904" s="110">
        <v>-33</v>
      </c>
      <c r="E904" t="str">
        <f t="shared" si="35"/>
        <v>3</v>
      </c>
      <c r="F904" t="str">
        <f t="shared" si="36"/>
        <v>1.4</v>
      </c>
    </row>
    <row r="905" spans="1:6" x14ac:dyDescent="0.25">
      <c r="A905" s="109">
        <v>2024</v>
      </c>
      <c r="B905" t="s">
        <v>1581</v>
      </c>
      <c r="C905" t="s">
        <v>1113</v>
      </c>
      <c r="D905" s="110">
        <v>-33</v>
      </c>
      <c r="E905" t="str">
        <f t="shared" si="35"/>
        <v>3</v>
      </c>
      <c r="F905" t="str">
        <f t="shared" si="36"/>
        <v>1.4</v>
      </c>
    </row>
    <row r="906" spans="1:6" x14ac:dyDescent="0.25">
      <c r="A906" s="109">
        <v>2025</v>
      </c>
      <c r="B906" t="s">
        <v>1582</v>
      </c>
      <c r="C906" t="s">
        <v>1113</v>
      </c>
      <c r="D906" s="110">
        <v>-33</v>
      </c>
      <c r="E906" t="str">
        <f t="shared" si="35"/>
        <v>3</v>
      </c>
      <c r="F906" t="str">
        <f t="shared" si="36"/>
        <v>1.4</v>
      </c>
    </row>
    <row r="907" spans="1:6" x14ac:dyDescent="0.25">
      <c r="A907" s="109">
        <v>2026</v>
      </c>
      <c r="B907" t="s">
        <v>1583</v>
      </c>
      <c r="C907" t="s">
        <v>1113</v>
      </c>
      <c r="D907" s="110">
        <v>-33</v>
      </c>
      <c r="E907" t="str">
        <f t="shared" si="35"/>
        <v>3</v>
      </c>
      <c r="F907" t="str">
        <f t="shared" si="36"/>
        <v>1.4</v>
      </c>
    </row>
    <row r="908" spans="1:6" x14ac:dyDescent="0.25">
      <c r="A908" s="109">
        <v>2027</v>
      </c>
      <c r="B908" t="s">
        <v>1584</v>
      </c>
      <c r="C908" t="s">
        <v>1113</v>
      </c>
      <c r="D908" s="110">
        <v>-33</v>
      </c>
      <c r="E908" t="str">
        <f t="shared" si="35"/>
        <v>3</v>
      </c>
      <c r="F908" t="str">
        <f t="shared" si="36"/>
        <v>1.4</v>
      </c>
    </row>
    <row r="909" spans="1:6" x14ac:dyDescent="0.25">
      <c r="A909" s="109">
        <v>2028</v>
      </c>
      <c r="B909" t="s">
        <v>1585</v>
      </c>
      <c r="C909" t="s">
        <v>1113</v>
      </c>
      <c r="D909" s="110">
        <v>-33</v>
      </c>
      <c r="E909" t="str">
        <f t="shared" si="35"/>
        <v>3</v>
      </c>
      <c r="F909" t="str">
        <f t="shared" si="36"/>
        <v>1.4</v>
      </c>
    </row>
    <row r="910" spans="1:6" x14ac:dyDescent="0.25">
      <c r="A910" s="109">
        <v>2029</v>
      </c>
      <c r="B910" t="s">
        <v>1586</v>
      </c>
      <c r="C910" t="s">
        <v>1113</v>
      </c>
      <c r="D910" s="110">
        <v>-33</v>
      </c>
      <c r="E910" t="str">
        <f t="shared" si="35"/>
        <v>3</v>
      </c>
      <c r="F910" t="str">
        <f t="shared" si="36"/>
        <v>1.4</v>
      </c>
    </row>
    <row r="911" spans="1:6" x14ac:dyDescent="0.25">
      <c r="A911" s="109">
        <v>2030</v>
      </c>
      <c r="B911" t="s">
        <v>1587</v>
      </c>
      <c r="C911" t="s">
        <v>1113</v>
      </c>
      <c r="D911" s="110">
        <v>-33</v>
      </c>
      <c r="E911" t="str">
        <f t="shared" si="35"/>
        <v>3</v>
      </c>
      <c r="F911" t="str">
        <f t="shared" si="36"/>
        <v>1.4</v>
      </c>
    </row>
    <row r="912" spans="1:6" x14ac:dyDescent="0.25">
      <c r="A912" s="109">
        <v>2031</v>
      </c>
      <c r="B912" t="s">
        <v>1588</v>
      </c>
      <c r="C912" t="s">
        <v>1113</v>
      </c>
      <c r="D912" s="110">
        <v>-33</v>
      </c>
      <c r="E912" t="str">
        <f t="shared" si="35"/>
        <v>3</v>
      </c>
      <c r="F912" t="str">
        <f t="shared" si="36"/>
        <v>1.4</v>
      </c>
    </row>
    <row r="913" spans="1:6" x14ac:dyDescent="0.25">
      <c r="A913" s="109">
        <v>2032</v>
      </c>
      <c r="B913" t="s">
        <v>1589</v>
      </c>
      <c r="C913" t="s">
        <v>1113</v>
      </c>
      <c r="D913" s="110">
        <v>-33</v>
      </c>
      <c r="E913" t="str">
        <f t="shared" si="35"/>
        <v>3</v>
      </c>
      <c r="F913" t="str">
        <f t="shared" si="36"/>
        <v>1.4</v>
      </c>
    </row>
    <row r="914" spans="1:6" x14ac:dyDescent="0.25">
      <c r="A914" s="109">
        <v>2033</v>
      </c>
      <c r="B914" t="s">
        <v>1590</v>
      </c>
      <c r="C914" t="s">
        <v>1113</v>
      </c>
      <c r="D914" s="110">
        <v>-33</v>
      </c>
      <c r="E914" t="str">
        <f t="shared" si="35"/>
        <v>3</v>
      </c>
      <c r="F914" t="str">
        <f t="shared" si="36"/>
        <v>1.4</v>
      </c>
    </row>
    <row r="915" spans="1:6" x14ac:dyDescent="0.25">
      <c r="A915" s="109">
        <v>2034</v>
      </c>
      <c r="B915" t="s">
        <v>1591</v>
      </c>
      <c r="C915" t="s">
        <v>1113</v>
      </c>
      <c r="D915" s="110">
        <v>-33</v>
      </c>
      <c r="E915" t="str">
        <f t="shared" si="35"/>
        <v>3</v>
      </c>
      <c r="F915" t="str">
        <f t="shared" si="36"/>
        <v>1.4</v>
      </c>
    </row>
    <row r="916" spans="1:6" x14ac:dyDescent="0.25">
      <c r="A916" s="109">
        <v>2035</v>
      </c>
      <c r="B916" t="s">
        <v>1592</v>
      </c>
      <c r="C916" t="s">
        <v>1113</v>
      </c>
      <c r="D916" s="110">
        <v>-33</v>
      </c>
      <c r="E916" t="str">
        <f t="shared" si="35"/>
        <v>3</v>
      </c>
      <c r="F916" t="str">
        <f t="shared" si="36"/>
        <v>1.4</v>
      </c>
    </row>
    <row r="917" spans="1:6" x14ac:dyDescent="0.25">
      <c r="A917" s="109">
        <v>2036</v>
      </c>
      <c r="B917" t="s">
        <v>1593</v>
      </c>
      <c r="C917" t="s">
        <v>1113</v>
      </c>
      <c r="D917" s="110">
        <v>-33</v>
      </c>
      <c r="E917" t="str">
        <f t="shared" si="35"/>
        <v>3</v>
      </c>
      <c r="F917" t="str">
        <f t="shared" si="36"/>
        <v>1.4</v>
      </c>
    </row>
    <row r="918" spans="1:6" x14ac:dyDescent="0.25">
      <c r="A918" s="109">
        <v>2037</v>
      </c>
      <c r="B918" t="s">
        <v>1594</v>
      </c>
      <c r="C918" t="s">
        <v>1113</v>
      </c>
      <c r="D918" s="110">
        <v>-33</v>
      </c>
      <c r="E918" t="str">
        <f t="shared" si="35"/>
        <v>3</v>
      </c>
      <c r="F918" t="str">
        <f t="shared" si="36"/>
        <v>1.4</v>
      </c>
    </row>
    <row r="919" spans="1:6" x14ac:dyDescent="0.25">
      <c r="A919" s="109">
        <v>2038</v>
      </c>
      <c r="B919" t="s">
        <v>1595</v>
      </c>
      <c r="C919" t="s">
        <v>1113</v>
      </c>
      <c r="D919" s="110">
        <v>-33</v>
      </c>
      <c r="E919" t="str">
        <f t="shared" si="35"/>
        <v>3</v>
      </c>
      <c r="F919" t="str">
        <f t="shared" si="36"/>
        <v>1.4</v>
      </c>
    </row>
    <row r="920" spans="1:6" x14ac:dyDescent="0.25">
      <c r="A920" s="109">
        <v>2039</v>
      </c>
      <c r="B920" t="s">
        <v>1596</v>
      </c>
      <c r="C920" t="s">
        <v>1113</v>
      </c>
      <c r="D920" s="110">
        <v>-33</v>
      </c>
      <c r="E920" t="str">
        <f t="shared" si="35"/>
        <v>3</v>
      </c>
      <c r="F920" t="str">
        <f t="shared" si="36"/>
        <v>1.4</v>
      </c>
    </row>
    <row r="921" spans="1:6" x14ac:dyDescent="0.25">
      <c r="A921" s="109">
        <v>2040</v>
      </c>
      <c r="B921" t="s">
        <v>1597</v>
      </c>
      <c r="C921" t="s">
        <v>1113</v>
      </c>
      <c r="D921" s="110">
        <v>-33</v>
      </c>
      <c r="E921" t="str">
        <f t="shared" si="35"/>
        <v>3</v>
      </c>
      <c r="F921" t="str">
        <f t="shared" si="36"/>
        <v>1.4</v>
      </c>
    </row>
    <row r="922" spans="1:6" x14ac:dyDescent="0.25">
      <c r="A922" s="109">
        <v>2041</v>
      </c>
      <c r="B922" t="s">
        <v>1598</v>
      </c>
      <c r="C922" t="s">
        <v>1113</v>
      </c>
      <c r="D922" s="110">
        <v>-33</v>
      </c>
      <c r="E922" t="str">
        <f t="shared" si="35"/>
        <v>3</v>
      </c>
      <c r="F922" t="str">
        <f t="shared" si="36"/>
        <v>1.4</v>
      </c>
    </row>
    <row r="923" spans="1:6" x14ac:dyDescent="0.25">
      <c r="A923" s="109">
        <v>2042</v>
      </c>
      <c r="B923" t="s">
        <v>1599</v>
      </c>
      <c r="C923" t="s">
        <v>1113</v>
      </c>
      <c r="D923" s="110">
        <v>-33</v>
      </c>
      <c r="E923" t="str">
        <f t="shared" si="35"/>
        <v>3</v>
      </c>
      <c r="F923" t="str">
        <f t="shared" si="36"/>
        <v>1.4</v>
      </c>
    </row>
    <row r="924" spans="1:6" x14ac:dyDescent="0.25">
      <c r="A924" s="109">
        <v>2043</v>
      </c>
      <c r="B924" t="s">
        <v>1600</v>
      </c>
      <c r="C924" t="s">
        <v>1113</v>
      </c>
      <c r="D924" s="110">
        <v>-33</v>
      </c>
      <c r="E924" t="str">
        <f t="shared" si="35"/>
        <v>3</v>
      </c>
      <c r="F924" t="str">
        <f t="shared" si="36"/>
        <v>1.4</v>
      </c>
    </row>
    <row r="925" spans="1:6" x14ac:dyDescent="0.25">
      <c r="A925" s="109">
        <v>2044</v>
      </c>
      <c r="B925" t="s">
        <v>1601</v>
      </c>
      <c r="C925" t="s">
        <v>1113</v>
      </c>
      <c r="D925" s="110">
        <v>-33</v>
      </c>
      <c r="E925" t="str">
        <f t="shared" si="35"/>
        <v>3</v>
      </c>
      <c r="F925" t="str">
        <f t="shared" si="36"/>
        <v>1.4</v>
      </c>
    </row>
    <row r="926" spans="1:6" x14ac:dyDescent="0.25">
      <c r="A926" s="109">
        <v>2045</v>
      </c>
      <c r="B926" t="s">
        <v>1602</v>
      </c>
      <c r="C926" t="s">
        <v>1113</v>
      </c>
      <c r="D926" s="110">
        <v>-33</v>
      </c>
      <c r="E926" t="str">
        <f t="shared" ref="E926:E927" si="37">IF(D926&lt;-34,"4",IF(D926&lt;-26,"3",IF(D926&lt;-18,"2",IF(D926&lt;-8,"1","lits"))))</f>
        <v>3</v>
      </c>
      <c r="F926" t="str">
        <f t="shared" si="36"/>
        <v>1.4</v>
      </c>
    </row>
    <row r="927" spans="1:6" x14ac:dyDescent="0.25">
      <c r="A927" s="109">
        <v>2046</v>
      </c>
      <c r="B927" t="s">
        <v>1603</v>
      </c>
      <c r="C927" t="s">
        <v>1113</v>
      </c>
      <c r="D927" s="110">
        <v>-33</v>
      </c>
      <c r="E927" t="str">
        <f t="shared" si="37"/>
        <v>3</v>
      </c>
      <c r="F927" t="str">
        <f t="shared" si="36"/>
        <v>1.4</v>
      </c>
    </row>
    <row r="928" spans="1:6" x14ac:dyDescent="0.25">
      <c r="A928" s="109">
        <v>2047</v>
      </c>
      <c r="B928" t="s">
        <v>1604</v>
      </c>
      <c r="C928" t="s">
        <v>1113</v>
      </c>
      <c r="D928" s="110">
        <v>-33</v>
      </c>
      <c r="E928" t="str">
        <f t="shared" ref="E928" si="38">IF(D928&lt;-8,"1",IF(D928&lt;-18,"2",IF(D928&lt;-26,"3",IF(D928&lt;-34,"4","lits"))))</f>
        <v>1</v>
      </c>
      <c r="F928" t="str">
        <f t="shared" si="36"/>
        <v>1.4</v>
      </c>
    </row>
    <row r="929" spans="1:6" x14ac:dyDescent="0.25">
      <c r="A929" s="109">
        <v>2048</v>
      </c>
      <c r="B929" t="s">
        <v>1605</v>
      </c>
      <c r="C929" t="s">
        <v>1113</v>
      </c>
      <c r="D929" s="110">
        <v>-33</v>
      </c>
      <c r="E929" t="str">
        <f t="shared" ref="E929:E992" si="39">IF(D929&lt;-34,"4",IF(D929&lt;-26,"3",IF(D929&lt;-18,"2",IF(D929&lt;-8,"1","lits"))))</f>
        <v>3</v>
      </c>
      <c r="F929" t="str">
        <f t="shared" si="36"/>
        <v>1.4</v>
      </c>
    </row>
    <row r="930" spans="1:6" x14ac:dyDescent="0.25">
      <c r="A930" s="109">
        <v>2049</v>
      </c>
      <c r="B930" t="s">
        <v>1606</v>
      </c>
      <c r="C930" t="s">
        <v>1113</v>
      </c>
      <c r="D930" s="110">
        <v>-33</v>
      </c>
      <c r="E930" t="str">
        <f t="shared" si="39"/>
        <v>3</v>
      </c>
      <c r="F930" t="str">
        <f t="shared" si="36"/>
        <v>1.4</v>
      </c>
    </row>
    <row r="931" spans="1:6" x14ac:dyDescent="0.25">
      <c r="A931" s="109">
        <v>2050</v>
      </c>
      <c r="B931" t="s">
        <v>1607</v>
      </c>
      <c r="C931" t="s">
        <v>1113</v>
      </c>
      <c r="D931" s="110">
        <v>-33</v>
      </c>
      <c r="E931" t="str">
        <f t="shared" si="39"/>
        <v>3</v>
      </c>
      <c r="F931" t="str">
        <f t="shared" si="36"/>
        <v>1.4</v>
      </c>
    </row>
    <row r="932" spans="1:6" x14ac:dyDescent="0.25">
      <c r="A932" s="109">
        <v>2052</v>
      </c>
      <c r="B932" t="s">
        <v>1608</v>
      </c>
      <c r="C932" t="s">
        <v>1113</v>
      </c>
      <c r="D932" s="111">
        <v>-33</v>
      </c>
      <c r="E932" t="str">
        <f t="shared" si="39"/>
        <v>3</v>
      </c>
      <c r="F932" t="str">
        <f t="shared" si="36"/>
        <v>1.4</v>
      </c>
    </row>
    <row r="933" spans="1:6" x14ac:dyDescent="0.25">
      <c r="A933" s="109">
        <v>2055</v>
      </c>
      <c r="B933" t="s">
        <v>1609</v>
      </c>
      <c r="C933" t="s">
        <v>1113</v>
      </c>
      <c r="D933" s="111">
        <v>-33</v>
      </c>
      <c r="E933" t="str">
        <f t="shared" si="39"/>
        <v>3</v>
      </c>
      <c r="F933" t="str">
        <f t="shared" si="36"/>
        <v>1.4</v>
      </c>
    </row>
    <row r="934" spans="1:6" x14ac:dyDescent="0.25">
      <c r="A934" s="109">
        <v>2060</v>
      </c>
      <c r="B934" t="s">
        <v>1610</v>
      </c>
      <c r="C934" t="s">
        <v>1113</v>
      </c>
      <c r="D934" s="110">
        <v>-33</v>
      </c>
      <c r="E934" t="str">
        <f t="shared" si="39"/>
        <v>3</v>
      </c>
      <c r="F934" t="str">
        <f t="shared" si="36"/>
        <v>1.4</v>
      </c>
    </row>
    <row r="935" spans="1:6" x14ac:dyDescent="0.25">
      <c r="A935" s="109">
        <v>2061</v>
      </c>
      <c r="B935" t="s">
        <v>1611</v>
      </c>
      <c r="C935" t="s">
        <v>1113</v>
      </c>
      <c r="D935" s="110">
        <v>-33</v>
      </c>
      <c r="E935" t="str">
        <f t="shared" si="39"/>
        <v>3</v>
      </c>
      <c r="F935" t="str">
        <f t="shared" si="36"/>
        <v>1.4</v>
      </c>
    </row>
    <row r="936" spans="1:6" x14ac:dyDescent="0.25">
      <c r="A936" s="109">
        <v>2062</v>
      </c>
      <c r="B936" t="s">
        <v>1612</v>
      </c>
      <c r="C936" t="s">
        <v>1113</v>
      </c>
      <c r="D936" s="110">
        <v>-33</v>
      </c>
      <c r="E936" t="str">
        <f t="shared" si="39"/>
        <v>3</v>
      </c>
      <c r="F936" t="str">
        <f t="shared" si="36"/>
        <v>1.4</v>
      </c>
    </row>
    <row r="937" spans="1:6" x14ac:dyDescent="0.25">
      <c r="A937" s="109">
        <v>2063</v>
      </c>
      <c r="B937" t="s">
        <v>1613</v>
      </c>
      <c r="C937" t="s">
        <v>1113</v>
      </c>
      <c r="D937" s="110">
        <v>-33</v>
      </c>
      <c r="E937" t="str">
        <f t="shared" si="39"/>
        <v>3</v>
      </c>
      <c r="F937" t="str">
        <f t="shared" si="36"/>
        <v>1.4</v>
      </c>
    </row>
    <row r="938" spans="1:6" x14ac:dyDescent="0.25">
      <c r="A938" s="109">
        <v>2064</v>
      </c>
      <c r="B938" t="s">
        <v>1614</v>
      </c>
      <c r="C938" t="s">
        <v>1113</v>
      </c>
      <c r="D938" s="110">
        <v>-33</v>
      </c>
      <c r="E938" t="str">
        <f t="shared" si="39"/>
        <v>3</v>
      </c>
      <c r="F938" t="str">
        <f t="shared" si="36"/>
        <v>1.4</v>
      </c>
    </row>
    <row r="939" spans="1:6" x14ac:dyDescent="0.25">
      <c r="A939" s="109">
        <v>2065</v>
      </c>
      <c r="B939" t="s">
        <v>1615</v>
      </c>
      <c r="C939" t="s">
        <v>1113</v>
      </c>
      <c r="D939" s="110">
        <v>-33</v>
      </c>
      <c r="E939" t="str">
        <f t="shared" si="39"/>
        <v>3</v>
      </c>
      <c r="F939" t="str">
        <f t="shared" si="36"/>
        <v>1.4</v>
      </c>
    </row>
    <row r="940" spans="1:6" x14ac:dyDescent="0.25">
      <c r="A940" s="109">
        <v>2066</v>
      </c>
      <c r="B940" t="s">
        <v>1616</v>
      </c>
      <c r="C940" t="s">
        <v>1113</v>
      </c>
      <c r="D940" s="110">
        <v>-33</v>
      </c>
      <c r="E940" t="str">
        <f t="shared" si="39"/>
        <v>3</v>
      </c>
      <c r="F940" t="str">
        <f t="shared" si="36"/>
        <v>1.4</v>
      </c>
    </row>
    <row r="941" spans="1:6" x14ac:dyDescent="0.25">
      <c r="A941" s="109">
        <v>2067</v>
      </c>
      <c r="B941" t="s">
        <v>1617</v>
      </c>
      <c r="C941" t="s">
        <v>1113</v>
      </c>
      <c r="D941" s="110">
        <v>-33</v>
      </c>
      <c r="E941" t="str">
        <f t="shared" si="39"/>
        <v>3</v>
      </c>
      <c r="F941" t="str">
        <f t="shared" si="36"/>
        <v>1.4</v>
      </c>
    </row>
    <row r="942" spans="1:6" x14ac:dyDescent="0.25">
      <c r="A942" s="109">
        <v>2068</v>
      </c>
      <c r="B942" t="s">
        <v>1618</v>
      </c>
      <c r="C942" t="s">
        <v>1113</v>
      </c>
      <c r="D942" s="110">
        <v>-33</v>
      </c>
      <c r="E942" t="str">
        <f t="shared" si="39"/>
        <v>3</v>
      </c>
      <c r="F942" t="str">
        <f t="shared" si="36"/>
        <v>1.4</v>
      </c>
    </row>
    <row r="943" spans="1:6" x14ac:dyDescent="0.25">
      <c r="A943" s="109">
        <v>2069</v>
      </c>
      <c r="B943" t="s">
        <v>1619</v>
      </c>
      <c r="C943" t="s">
        <v>1113</v>
      </c>
      <c r="D943" s="110">
        <v>-33</v>
      </c>
      <c r="E943" t="str">
        <f t="shared" si="39"/>
        <v>3</v>
      </c>
      <c r="F943" t="str">
        <f t="shared" si="36"/>
        <v>1.4</v>
      </c>
    </row>
    <row r="944" spans="1:6" x14ac:dyDescent="0.25">
      <c r="A944" s="109">
        <v>2070</v>
      </c>
      <c r="B944" t="s">
        <v>1620</v>
      </c>
      <c r="C944" t="s">
        <v>1113</v>
      </c>
      <c r="D944" s="110">
        <v>-33</v>
      </c>
      <c r="E944" t="str">
        <f t="shared" si="39"/>
        <v>3</v>
      </c>
      <c r="F944" t="str">
        <f t="shared" si="36"/>
        <v>1.4</v>
      </c>
    </row>
    <row r="945" spans="1:6" x14ac:dyDescent="0.25">
      <c r="A945" s="109">
        <v>2071</v>
      </c>
      <c r="B945" t="s">
        <v>1621</v>
      </c>
      <c r="C945" t="s">
        <v>1113</v>
      </c>
      <c r="D945" s="110">
        <v>-33</v>
      </c>
      <c r="E945" t="str">
        <f t="shared" si="39"/>
        <v>3</v>
      </c>
      <c r="F945" t="str">
        <f t="shared" si="36"/>
        <v>1.4</v>
      </c>
    </row>
    <row r="946" spans="1:6" x14ac:dyDescent="0.25">
      <c r="A946" s="109">
        <v>2072</v>
      </c>
      <c r="B946" t="s">
        <v>1622</v>
      </c>
      <c r="C946" t="s">
        <v>1113</v>
      </c>
      <c r="D946" s="110">
        <v>-33</v>
      </c>
      <c r="E946" t="str">
        <f t="shared" si="39"/>
        <v>3</v>
      </c>
      <c r="F946" t="str">
        <f t="shared" si="36"/>
        <v>1.4</v>
      </c>
    </row>
    <row r="947" spans="1:6" x14ac:dyDescent="0.25">
      <c r="A947" s="109">
        <v>2073</v>
      </c>
      <c r="B947" t="s">
        <v>1623</v>
      </c>
      <c r="C947" t="s">
        <v>1113</v>
      </c>
      <c r="D947" s="110">
        <v>-33</v>
      </c>
      <c r="E947" t="str">
        <f t="shared" si="39"/>
        <v>3</v>
      </c>
      <c r="F947" t="str">
        <f t="shared" si="36"/>
        <v>1.4</v>
      </c>
    </row>
    <row r="948" spans="1:6" x14ac:dyDescent="0.25">
      <c r="A948" s="109">
        <v>2074</v>
      </c>
      <c r="B948" t="s">
        <v>1624</v>
      </c>
      <c r="C948" t="s">
        <v>1113</v>
      </c>
      <c r="D948" s="110">
        <v>-33</v>
      </c>
      <c r="E948" t="str">
        <f t="shared" si="39"/>
        <v>3</v>
      </c>
      <c r="F948" t="str">
        <f t="shared" si="36"/>
        <v>1.4</v>
      </c>
    </row>
    <row r="949" spans="1:6" x14ac:dyDescent="0.25">
      <c r="A949" s="109">
        <v>2075</v>
      </c>
      <c r="B949" t="s">
        <v>1625</v>
      </c>
      <c r="C949" t="s">
        <v>1113</v>
      </c>
      <c r="D949" s="110">
        <v>-33</v>
      </c>
      <c r="E949" t="str">
        <f t="shared" si="39"/>
        <v>3</v>
      </c>
      <c r="F949" t="str">
        <f t="shared" si="36"/>
        <v>1.4</v>
      </c>
    </row>
    <row r="950" spans="1:6" x14ac:dyDescent="0.25">
      <c r="A950" s="109">
        <v>2076</v>
      </c>
      <c r="B950" t="s">
        <v>1626</v>
      </c>
      <c r="C950" t="s">
        <v>1113</v>
      </c>
      <c r="D950" s="110">
        <v>-33</v>
      </c>
      <c r="E950" t="str">
        <f t="shared" si="39"/>
        <v>3</v>
      </c>
      <c r="F950" t="str">
        <f t="shared" si="36"/>
        <v>1.4</v>
      </c>
    </row>
    <row r="951" spans="1:6" x14ac:dyDescent="0.25">
      <c r="A951" s="109">
        <v>2077</v>
      </c>
      <c r="B951" t="s">
        <v>1627</v>
      </c>
      <c r="C951" t="s">
        <v>1113</v>
      </c>
      <c r="D951" s="110">
        <v>-33</v>
      </c>
      <c r="E951" t="str">
        <f t="shared" si="39"/>
        <v>3</v>
      </c>
      <c r="F951" t="str">
        <f t="shared" si="36"/>
        <v>1.4</v>
      </c>
    </row>
    <row r="952" spans="1:6" x14ac:dyDescent="0.25">
      <c r="A952" s="109">
        <v>2079</v>
      </c>
      <c r="B952" t="s">
        <v>1628</v>
      </c>
      <c r="C952" t="s">
        <v>1113</v>
      </c>
      <c r="D952" s="110">
        <v>-33</v>
      </c>
      <c r="E952" t="str">
        <f t="shared" si="39"/>
        <v>3</v>
      </c>
      <c r="F952" t="str">
        <f t="shared" si="36"/>
        <v>1.4</v>
      </c>
    </row>
    <row r="953" spans="1:6" x14ac:dyDescent="0.25">
      <c r="A953" s="109">
        <v>2080</v>
      </c>
      <c r="B953" t="s">
        <v>1629</v>
      </c>
      <c r="C953" t="s">
        <v>1113</v>
      </c>
      <c r="D953" s="110">
        <v>-33</v>
      </c>
      <c r="E953" t="str">
        <f t="shared" si="39"/>
        <v>3</v>
      </c>
      <c r="F953" t="str">
        <f t="shared" si="36"/>
        <v>1.4</v>
      </c>
    </row>
    <row r="954" spans="1:6" x14ac:dyDescent="0.25">
      <c r="A954" s="109">
        <v>2081</v>
      </c>
      <c r="B954" t="s">
        <v>1630</v>
      </c>
      <c r="C954" t="s">
        <v>1113</v>
      </c>
      <c r="D954" s="110">
        <v>-33</v>
      </c>
      <c r="E954" t="str">
        <f t="shared" si="39"/>
        <v>3</v>
      </c>
      <c r="F954" t="str">
        <f t="shared" si="36"/>
        <v>1.4</v>
      </c>
    </row>
    <row r="955" spans="1:6" x14ac:dyDescent="0.25">
      <c r="A955" s="109">
        <v>2082</v>
      </c>
      <c r="B955" t="s">
        <v>1631</v>
      </c>
      <c r="C955" t="s">
        <v>1113</v>
      </c>
      <c r="D955" s="110">
        <v>-33</v>
      </c>
      <c r="E955" t="str">
        <f t="shared" si="39"/>
        <v>3</v>
      </c>
      <c r="F955" t="str">
        <f t="shared" si="36"/>
        <v>1.4</v>
      </c>
    </row>
    <row r="956" spans="1:6" x14ac:dyDescent="0.25">
      <c r="A956" s="109">
        <v>2083</v>
      </c>
      <c r="B956" t="s">
        <v>1632</v>
      </c>
      <c r="C956" t="s">
        <v>1113</v>
      </c>
      <c r="D956" s="110">
        <v>-33</v>
      </c>
      <c r="E956" t="str">
        <f t="shared" si="39"/>
        <v>3</v>
      </c>
      <c r="F956" t="str">
        <f t="shared" si="36"/>
        <v>1.4</v>
      </c>
    </row>
    <row r="957" spans="1:6" x14ac:dyDescent="0.25">
      <c r="A957" s="109">
        <v>2084</v>
      </c>
      <c r="B957" t="s">
        <v>1633</v>
      </c>
      <c r="C957" t="s">
        <v>1113</v>
      </c>
      <c r="D957" s="110">
        <v>-33</v>
      </c>
      <c r="E957" t="str">
        <f t="shared" si="39"/>
        <v>3</v>
      </c>
      <c r="F957" t="str">
        <f t="shared" si="36"/>
        <v>1.4</v>
      </c>
    </row>
    <row r="958" spans="1:6" x14ac:dyDescent="0.25">
      <c r="A958" s="109">
        <v>2085</v>
      </c>
      <c r="B958" t="s">
        <v>1634</v>
      </c>
      <c r="C958" t="s">
        <v>1113</v>
      </c>
      <c r="D958" s="110">
        <v>-33</v>
      </c>
      <c r="E958" t="str">
        <f t="shared" si="39"/>
        <v>3</v>
      </c>
      <c r="F958" t="str">
        <f t="shared" si="36"/>
        <v>1.4</v>
      </c>
    </row>
    <row r="959" spans="1:6" x14ac:dyDescent="0.25">
      <c r="A959" s="109">
        <v>2086</v>
      </c>
      <c r="B959" t="s">
        <v>1566</v>
      </c>
      <c r="C959" t="s">
        <v>1113</v>
      </c>
      <c r="D959" s="110">
        <v>-33</v>
      </c>
      <c r="E959" t="str">
        <f t="shared" si="39"/>
        <v>3</v>
      </c>
      <c r="F959" t="str">
        <f t="shared" si="36"/>
        <v>1.4</v>
      </c>
    </row>
    <row r="960" spans="1:6" x14ac:dyDescent="0.25">
      <c r="A960" s="109">
        <v>2087</v>
      </c>
      <c r="B960" t="s">
        <v>1635</v>
      </c>
      <c r="C960" t="s">
        <v>1113</v>
      </c>
      <c r="D960" s="110">
        <v>-33</v>
      </c>
      <c r="E960" t="str">
        <f t="shared" si="39"/>
        <v>3</v>
      </c>
      <c r="F960" t="str">
        <f t="shared" si="36"/>
        <v>1.4</v>
      </c>
    </row>
    <row r="961" spans="1:6" x14ac:dyDescent="0.25">
      <c r="A961" s="109">
        <v>2088</v>
      </c>
      <c r="B961" t="s">
        <v>1047</v>
      </c>
      <c r="C961" t="s">
        <v>1113</v>
      </c>
      <c r="D961" s="110">
        <v>-33</v>
      </c>
      <c r="E961" t="str">
        <f t="shared" si="39"/>
        <v>3</v>
      </c>
      <c r="F961" t="str">
        <f t="shared" si="36"/>
        <v>1.4</v>
      </c>
    </row>
    <row r="962" spans="1:6" x14ac:dyDescent="0.25">
      <c r="A962" s="109">
        <v>2089</v>
      </c>
      <c r="B962" t="s">
        <v>1636</v>
      </c>
      <c r="C962" t="s">
        <v>1113</v>
      </c>
      <c r="D962" s="110">
        <v>-33</v>
      </c>
      <c r="E962" t="str">
        <f t="shared" si="39"/>
        <v>3</v>
      </c>
      <c r="F962" t="str">
        <f t="shared" si="36"/>
        <v>1.4</v>
      </c>
    </row>
    <row r="963" spans="1:6" x14ac:dyDescent="0.25">
      <c r="A963" s="109">
        <v>2090</v>
      </c>
      <c r="B963" t="s">
        <v>1637</v>
      </c>
      <c r="C963" t="s">
        <v>1113</v>
      </c>
      <c r="D963" s="110">
        <v>-33</v>
      </c>
      <c r="E963" t="str">
        <f t="shared" si="39"/>
        <v>3</v>
      </c>
      <c r="F963" t="str">
        <f t="shared" ref="F963:F1026" si="40">IF(D963&lt;-34,"1.6",IF(D963&lt;-26,"1.4",IF(D963&lt;-18,"1.2",IF(D963&lt;-8,"1","lits"))))</f>
        <v>1.4</v>
      </c>
    </row>
    <row r="964" spans="1:6" x14ac:dyDescent="0.25">
      <c r="A964" s="109">
        <v>2092</v>
      </c>
      <c r="B964" t="s">
        <v>1638</v>
      </c>
      <c r="C964" t="s">
        <v>1113</v>
      </c>
      <c r="D964" s="110">
        <v>-33</v>
      </c>
      <c r="E964" t="str">
        <f t="shared" si="39"/>
        <v>3</v>
      </c>
      <c r="F964" t="str">
        <f t="shared" si="40"/>
        <v>1.4</v>
      </c>
    </row>
    <row r="965" spans="1:6" x14ac:dyDescent="0.25">
      <c r="A965" s="109">
        <v>2093</v>
      </c>
      <c r="B965" t="s">
        <v>1639</v>
      </c>
      <c r="C965" t="s">
        <v>1113</v>
      </c>
      <c r="D965" s="110">
        <v>-33</v>
      </c>
      <c r="E965" t="str">
        <f t="shared" si="39"/>
        <v>3</v>
      </c>
      <c r="F965" t="str">
        <f t="shared" si="40"/>
        <v>1.4</v>
      </c>
    </row>
    <row r="966" spans="1:6" x14ac:dyDescent="0.25">
      <c r="A966" s="109">
        <v>2094</v>
      </c>
      <c r="B966" t="s">
        <v>1640</v>
      </c>
      <c r="C966" t="s">
        <v>1113</v>
      </c>
      <c r="D966" s="110">
        <v>-33</v>
      </c>
      <c r="E966" t="str">
        <f t="shared" si="39"/>
        <v>3</v>
      </c>
      <c r="F966" t="str">
        <f t="shared" si="40"/>
        <v>1.4</v>
      </c>
    </row>
    <row r="967" spans="1:6" x14ac:dyDescent="0.25">
      <c r="A967" s="109">
        <v>2095</v>
      </c>
      <c r="B967" t="s">
        <v>1641</v>
      </c>
      <c r="C967" t="s">
        <v>1113</v>
      </c>
      <c r="D967" s="110">
        <v>-33</v>
      </c>
      <c r="E967" t="str">
        <f t="shared" si="39"/>
        <v>3</v>
      </c>
      <c r="F967" t="str">
        <f t="shared" si="40"/>
        <v>1.4</v>
      </c>
    </row>
    <row r="968" spans="1:6" x14ac:dyDescent="0.25">
      <c r="A968" s="109">
        <v>2096</v>
      </c>
      <c r="B968" t="s">
        <v>1642</v>
      </c>
      <c r="C968" t="s">
        <v>1113</v>
      </c>
      <c r="D968" s="110">
        <v>-33</v>
      </c>
      <c r="E968" t="str">
        <f t="shared" si="39"/>
        <v>3</v>
      </c>
      <c r="F968" t="str">
        <f t="shared" si="40"/>
        <v>1.4</v>
      </c>
    </row>
    <row r="969" spans="1:6" x14ac:dyDescent="0.25">
      <c r="A969" s="109">
        <v>2097</v>
      </c>
      <c r="B969" t="s">
        <v>1643</v>
      </c>
      <c r="C969" t="s">
        <v>1113</v>
      </c>
      <c r="D969" s="110">
        <v>-33</v>
      </c>
      <c r="E969" t="str">
        <f t="shared" si="39"/>
        <v>3</v>
      </c>
      <c r="F969" t="str">
        <f t="shared" si="40"/>
        <v>1.4</v>
      </c>
    </row>
    <row r="970" spans="1:6" x14ac:dyDescent="0.25">
      <c r="A970" s="109">
        <v>2099</v>
      </c>
      <c r="B970" t="s">
        <v>1644</v>
      </c>
      <c r="C970" t="s">
        <v>1113</v>
      </c>
      <c r="D970" s="110">
        <v>-33</v>
      </c>
      <c r="E970" t="str">
        <f t="shared" si="39"/>
        <v>3</v>
      </c>
      <c r="F970" t="str">
        <f t="shared" si="40"/>
        <v>1.4</v>
      </c>
    </row>
    <row r="971" spans="1:6" x14ac:dyDescent="0.25">
      <c r="A971" s="109">
        <v>2100</v>
      </c>
      <c r="B971" t="s">
        <v>1645</v>
      </c>
      <c r="C971" t="s">
        <v>1113</v>
      </c>
      <c r="D971" s="110">
        <v>-33</v>
      </c>
      <c r="E971" t="str">
        <f t="shared" si="39"/>
        <v>3</v>
      </c>
      <c r="F971" t="str">
        <f t="shared" si="40"/>
        <v>1.4</v>
      </c>
    </row>
    <row r="972" spans="1:6" x14ac:dyDescent="0.25">
      <c r="A972" s="109">
        <v>2101</v>
      </c>
      <c r="B972" t="s">
        <v>1646</v>
      </c>
      <c r="C972" t="s">
        <v>1113</v>
      </c>
      <c r="D972" s="110">
        <v>-33</v>
      </c>
      <c r="E972" t="str">
        <f t="shared" si="39"/>
        <v>3</v>
      </c>
      <c r="F972" t="str">
        <f t="shared" si="40"/>
        <v>1.4</v>
      </c>
    </row>
    <row r="973" spans="1:6" x14ac:dyDescent="0.25">
      <c r="A973" s="109">
        <v>2102</v>
      </c>
      <c r="B973" t="s">
        <v>1647</v>
      </c>
      <c r="C973" t="s">
        <v>1113</v>
      </c>
      <c r="D973" s="110">
        <v>-33</v>
      </c>
      <c r="E973" t="str">
        <f t="shared" si="39"/>
        <v>3</v>
      </c>
      <c r="F973" t="str">
        <f t="shared" si="40"/>
        <v>1.4</v>
      </c>
    </row>
    <row r="974" spans="1:6" x14ac:dyDescent="0.25">
      <c r="A974" s="109">
        <v>2103</v>
      </c>
      <c r="B974" t="s">
        <v>1648</v>
      </c>
      <c r="C974" t="s">
        <v>1113</v>
      </c>
      <c r="D974" s="110">
        <v>-33</v>
      </c>
      <c r="E974" t="str">
        <f t="shared" si="39"/>
        <v>3</v>
      </c>
      <c r="F974" t="str">
        <f t="shared" si="40"/>
        <v>1.4</v>
      </c>
    </row>
    <row r="975" spans="1:6" x14ac:dyDescent="0.25">
      <c r="A975" s="109">
        <v>2104</v>
      </c>
      <c r="B975" t="s">
        <v>1649</v>
      </c>
      <c r="C975" t="s">
        <v>1113</v>
      </c>
      <c r="D975" s="111">
        <v>-33</v>
      </c>
      <c r="E975" t="str">
        <f t="shared" si="39"/>
        <v>3</v>
      </c>
      <c r="F975" t="str">
        <f t="shared" si="40"/>
        <v>1.4</v>
      </c>
    </row>
    <row r="976" spans="1:6" x14ac:dyDescent="0.25">
      <c r="A976" s="109">
        <v>2105</v>
      </c>
      <c r="B976" t="s">
        <v>1650</v>
      </c>
      <c r="C976" t="s">
        <v>1113</v>
      </c>
      <c r="D976" s="110">
        <v>-33</v>
      </c>
      <c r="E976" t="str">
        <f t="shared" si="39"/>
        <v>3</v>
      </c>
      <c r="F976" t="str">
        <f t="shared" si="40"/>
        <v>1.4</v>
      </c>
    </row>
    <row r="977" spans="1:6" x14ac:dyDescent="0.25">
      <c r="A977" s="109">
        <v>2106</v>
      </c>
      <c r="B977" t="s">
        <v>1651</v>
      </c>
      <c r="C977" t="s">
        <v>1113</v>
      </c>
      <c r="D977" s="110">
        <v>-33</v>
      </c>
      <c r="E977" t="str">
        <f t="shared" si="39"/>
        <v>3</v>
      </c>
      <c r="F977" t="str">
        <f t="shared" si="40"/>
        <v>1.4</v>
      </c>
    </row>
    <row r="978" spans="1:6" x14ac:dyDescent="0.25">
      <c r="A978" s="109">
        <v>2107</v>
      </c>
      <c r="B978" t="s">
        <v>1652</v>
      </c>
      <c r="C978" t="s">
        <v>1113</v>
      </c>
      <c r="D978" s="110">
        <v>-33</v>
      </c>
      <c r="E978" t="str">
        <f t="shared" si="39"/>
        <v>3</v>
      </c>
      <c r="F978" t="str">
        <f t="shared" si="40"/>
        <v>1.4</v>
      </c>
    </row>
    <row r="979" spans="1:6" x14ac:dyDescent="0.25">
      <c r="A979" s="109">
        <v>2108</v>
      </c>
      <c r="B979" t="s">
        <v>1653</v>
      </c>
      <c r="C979" t="s">
        <v>1113</v>
      </c>
      <c r="D979" s="110">
        <v>-33</v>
      </c>
      <c r="E979" t="str">
        <f t="shared" si="39"/>
        <v>3</v>
      </c>
      <c r="F979" t="str">
        <f t="shared" si="40"/>
        <v>1.4</v>
      </c>
    </row>
    <row r="980" spans="1:6" x14ac:dyDescent="0.25">
      <c r="A980" s="109">
        <v>2109</v>
      </c>
      <c r="B980" t="s">
        <v>1654</v>
      </c>
      <c r="C980" t="s">
        <v>1113</v>
      </c>
      <c r="D980" s="110">
        <v>-33</v>
      </c>
      <c r="E980" t="str">
        <f t="shared" si="39"/>
        <v>3</v>
      </c>
      <c r="F980" t="str">
        <f t="shared" si="40"/>
        <v>1.4</v>
      </c>
    </row>
    <row r="981" spans="1:6" x14ac:dyDescent="0.25">
      <c r="A981" s="109">
        <v>2110</v>
      </c>
      <c r="B981" t="s">
        <v>1655</v>
      </c>
      <c r="C981" t="s">
        <v>1113</v>
      </c>
      <c r="D981" s="110">
        <v>-33</v>
      </c>
      <c r="E981" t="str">
        <f t="shared" si="39"/>
        <v>3</v>
      </c>
      <c r="F981" t="str">
        <f t="shared" si="40"/>
        <v>1.4</v>
      </c>
    </row>
    <row r="982" spans="1:6" x14ac:dyDescent="0.25">
      <c r="A982" s="109">
        <v>2111</v>
      </c>
      <c r="B982" t="s">
        <v>1656</v>
      </c>
      <c r="C982" t="s">
        <v>1113</v>
      </c>
      <c r="D982" s="110">
        <v>-33</v>
      </c>
      <c r="E982" t="str">
        <f t="shared" si="39"/>
        <v>3</v>
      </c>
      <c r="F982" t="str">
        <f t="shared" si="40"/>
        <v>1.4</v>
      </c>
    </row>
    <row r="983" spans="1:6" x14ac:dyDescent="0.25">
      <c r="A983" s="109">
        <v>2112</v>
      </c>
      <c r="B983" t="s">
        <v>1657</v>
      </c>
      <c r="C983" t="s">
        <v>1113</v>
      </c>
      <c r="D983" s="110">
        <v>-33</v>
      </c>
      <c r="E983" t="str">
        <f t="shared" si="39"/>
        <v>3</v>
      </c>
      <c r="F983" t="str">
        <f t="shared" si="40"/>
        <v>1.4</v>
      </c>
    </row>
    <row r="984" spans="1:6" x14ac:dyDescent="0.25">
      <c r="A984" s="109">
        <v>2113</v>
      </c>
      <c r="B984" t="s">
        <v>1658</v>
      </c>
      <c r="C984" t="s">
        <v>1113</v>
      </c>
      <c r="D984" s="110">
        <v>-33</v>
      </c>
      <c r="E984" t="str">
        <f t="shared" si="39"/>
        <v>3</v>
      </c>
      <c r="F984" t="str">
        <f t="shared" si="40"/>
        <v>1.4</v>
      </c>
    </row>
    <row r="985" spans="1:6" x14ac:dyDescent="0.25">
      <c r="A985" s="109">
        <v>2114</v>
      </c>
      <c r="B985" t="s">
        <v>1659</v>
      </c>
      <c r="C985" t="s">
        <v>1113</v>
      </c>
      <c r="D985" s="110">
        <v>-33</v>
      </c>
      <c r="E985" t="str">
        <f t="shared" si="39"/>
        <v>3</v>
      </c>
      <c r="F985" t="str">
        <f t="shared" si="40"/>
        <v>1.4</v>
      </c>
    </row>
    <row r="986" spans="1:6" x14ac:dyDescent="0.25">
      <c r="A986" s="109">
        <v>2115</v>
      </c>
      <c r="B986" t="s">
        <v>1660</v>
      </c>
      <c r="C986" t="s">
        <v>1113</v>
      </c>
      <c r="D986" s="110">
        <v>-33</v>
      </c>
      <c r="E986" t="str">
        <f t="shared" si="39"/>
        <v>3</v>
      </c>
      <c r="F986" t="str">
        <f t="shared" si="40"/>
        <v>1.4</v>
      </c>
    </row>
    <row r="987" spans="1:6" x14ac:dyDescent="0.25">
      <c r="A987" s="109">
        <v>2116</v>
      </c>
      <c r="B987" t="s">
        <v>1661</v>
      </c>
      <c r="C987" t="s">
        <v>1113</v>
      </c>
      <c r="D987" s="110">
        <v>-33</v>
      </c>
      <c r="E987" t="str">
        <f t="shared" si="39"/>
        <v>3</v>
      </c>
      <c r="F987" t="str">
        <f t="shared" si="40"/>
        <v>1.4</v>
      </c>
    </row>
    <row r="988" spans="1:6" x14ac:dyDescent="0.25">
      <c r="A988" s="109">
        <v>2117</v>
      </c>
      <c r="B988" t="s">
        <v>1662</v>
      </c>
      <c r="C988" t="s">
        <v>1113</v>
      </c>
      <c r="D988" s="110">
        <v>-33</v>
      </c>
      <c r="E988" t="str">
        <f t="shared" si="39"/>
        <v>3</v>
      </c>
      <c r="F988" t="str">
        <f t="shared" si="40"/>
        <v>1.4</v>
      </c>
    </row>
    <row r="989" spans="1:6" x14ac:dyDescent="0.25">
      <c r="A989" s="109">
        <v>2118</v>
      </c>
      <c r="B989" t="s">
        <v>1663</v>
      </c>
      <c r="C989" t="s">
        <v>1113</v>
      </c>
      <c r="D989" s="110">
        <v>-33</v>
      </c>
      <c r="E989" t="str">
        <f t="shared" si="39"/>
        <v>3</v>
      </c>
      <c r="F989" t="str">
        <f t="shared" si="40"/>
        <v>1.4</v>
      </c>
    </row>
    <row r="990" spans="1:6" x14ac:dyDescent="0.25">
      <c r="A990" s="109">
        <v>2119</v>
      </c>
      <c r="B990" t="s">
        <v>1664</v>
      </c>
      <c r="C990" t="s">
        <v>1113</v>
      </c>
      <c r="D990" s="110">
        <v>-33</v>
      </c>
      <c r="E990" t="str">
        <f t="shared" si="39"/>
        <v>3</v>
      </c>
      <c r="F990" t="str">
        <f t="shared" si="40"/>
        <v>1.4</v>
      </c>
    </row>
    <row r="991" spans="1:6" x14ac:dyDescent="0.25">
      <c r="A991" s="109">
        <v>2120</v>
      </c>
      <c r="B991" t="s">
        <v>1665</v>
      </c>
      <c r="C991" t="s">
        <v>1113</v>
      </c>
      <c r="D991" s="110">
        <v>-33</v>
      </c>
      <c r="E991" t="str">
        <f t="shared" si="39"/>
        <v>3</v>
      </c>
      <c r="F991" t="str">
        <f t="shared" si="40"/>
        <v>1.4</v>
      </c>
    </row>
    <row r="992" spans="1:6" x14ac:dyDescent="0.25">
      <c r="A992" s="109">
        <v>2121</v>
      </c>
      <c r="B992" t="s">
        <v>1666</v>
      </c>
      <c r="C992" t="s">
        <v>1113</v>
      </c>
      <c r="D992" s="110">
        <v>-33</v>
      </c>
      <c r="E992" t="str">
        <f t="shared" si="39"/>
        <v>3</v>
      </c>
      <c r="F992" t="str">
        <f t="shared" si="40"/>
        <v>1.4</v>
      </c>
    </row>
    <row r="993" spans="1:6" x14ac:dyDescent="0.25">
      <c r="A993" s="109">
        <v>2122</v>
      </c>
      <c r="B993" t="s">
        <v>1667</v>
      </c>
      <c r="C993" t="s">
        <v>1113</v>
      </c>
      <c r="D993" s="110">
        <v>-33</v>
      </c>
      <c r="E993" t="str">
        <f t="shared" ref="E993:E1056" si="41">IF(D993&lt;-34,"4",IF(D993&lt;-26,"3",IF(D993&lt;-18,"2",IF(D993&lt;-8,"1","lits"))))</f>
        <v>3</v>
      </c>
      <c r="F993" t="str">
        <f t="shared" si="40"/>
        <v>1.4</v>
      </c>
    </row>
    <row r="994" spans="1:6" x14ac:dyDescent="0.25">
      <c r="A994" s="109">
        <v>2123</v>
      </c>
      <c r="B994" t="s">
        <v>1668</v>
      </c>
      <c r="C994" t="s">
        <v>1113</v>
      </c>
      <c r="D994" s="110">
        <v>-33</v>
      </c>
      <c r="E994" t="str">
        <f t="shared" si="41"/>
        <v>3</v>
      </c>
      <c r="F994" t="str">
        <f t="shared" si="40"/>
        <v>1.4</v>
      </c>
    </row>
    <row r="995" spans="1:6" x14ac:dyDescent="0.25">
      <c r="A995" s="109">
        <v>2125</v>
      </c>
      <c r="B995" t="s">
        <v>1669</v>
      </c>
      <c r="C995" t="s">
        <v>1113</v>
      </c>
      <c r="D995" s="110">
        <v>-33</v>
      </c>
      <c r="E995" t="str">
        <f t="shared" si="41"/>
        <v>3</v>
      </c>
      <c r="F995" t="str">
        <f t="shared" si="40"/>
        <v>1.4</v>
      </c>
    </row>
    <row r="996" spans="1:6" x14ac:dyDescent="0.25">
      <c r="A996" s="109">
        <v>2126</v>
      </c>
      <c r="B996" t="s">
        <v>1670</v>
      </c>
      <c r="C996" t="s">
        <v>1113</v>
      </c>
      <c r="D996" s="110">
        <v>-33</v>
      </c>
      <c r="E996" t="str">
        <f t="shared" si="41"/>
        <v>3</v>
      </c>
      <c r="F996" t="str">
        <f t="shared" si="40"/>
        <v>1.4</v>
      </c>
    </row>
    <row r="997" spans="1:6" x14ac:dyDescent="0.25">
      <c r="A997" s="109">
        <v>2127</v>
      </c>
      <c r="B997" t="s">
        <v>1671</v>
      </c>
      <c r="C997" t="s">
        <v>1113</v>
      </c>
      <c r="D997" s="111">
        <v>-33</v>
      </c>
      <c r="E997" t="str">
        <f t="shared" si="41"/>
        <v>3</v>
      </c>
      <c r="F997" t="str">
        <f t="shared" si="40"/>
        <v>1.4</v>
      </c>
    </row>
    <row r="998" spans="1:6" x14ac:dyDescent="0.25">
      <c r="A998" s="109">
        <v>2128</v>
      </c>
      <c r="B998" t="s">
        <v>1672</v>
      </c>
      <c r="C998" t="s">
        <v>1113</v>
      </c>
      <c r="D998" s="111">
        <v>-33</v>
      </c>
      <c r="E998" t="str">
        <f t="shared" si="41"/>
        <v>3</v>
      </c>
      <c r="F998" t="str">
        <f t="shared" si="40"/>
        <v>1.4</v>
      </c>
    </row>
    <row r="999" spans="1:6" x14ac:dyDescent="0.25">
      <c r="A999" s="109">
        <v>2130</v>
      </c>
      <c r="B999" t="s">
        <v>1673</v>
      </c>
      <c r="C999" t="s">
        <v>1113</v>
      </c>
      <c r="D999" s="110">
        <v>-33</v>
      </c>
      <c r="E999" t="str">
        <f t="shared" si="41"/>
        <v>3</v>
      </c>
      <c r="F999" t="str">
        <f t="shared" si="40"/>
        <v>1.4</v>
      </c>
    </row>
    <row r="1000" spans="1:6" x14ac:dyDescent="0.25">
      <c r="A1000" s="109">
        <v>2131</v>
      </c>
      <c r="B1000" t="s">
        <v>1674</v>
      </c>
      <c r="C1000" t="s">
        <v>1113</v>
      </c>
      <c r="D1000" s="110">
        <v>-33</v>
      </c>
      <c r="E1000" t="str">
        <f t="shared" si="41"/>
        <v>3</v>
      </c>
      <c r="F1000" t="str">
        <f t="shared" si="40"/>
        <v>1.4</v>
      </c>
    </row>
    <row r="1001" spans="1:6" x14ac:dyDescent="0.25">
      <c r="A1001" s="109">
        <v>2132</v>
      </c>
      <c r="B1001" t="s">
        <v>1675</v>
      </c>
      <c r="C1001" t="s">
        <v>1113</v>
      </c>
      <c r="D1001" s="110">
        <v>-33</v>
      </c>
      <c r="E1001" t="str">
        <f t="shared" si="41"/>
        <v>3</v>
      </c>
      <c r="F1001" t="str">
        <f t="shared" si="40"/>
        <v>1.4</v>
      </c>
    </row>
    <row r="1002" spans="1:6" x14ac:dyDescent="0.25">
      <c r="A1002" s="109">
        <v>2133</v>
      </c>
      <c r="B1002" t="s">
        <v>1676</v>
      </c>
      <c r="C1002" t="s">
        <v>1113</v>
      </c>
      <c r="D1002" s="110">
        <v>-33</v>
      </c>
      <c r="E1002" t="str">
        <f t="shared" si="41"/>
        <v>3</v>
      </c>
      <c r="F1002" t="str">
        <f t="shared" si="40"/>
        <v>1.4</v>
      </c>
    </row>
    <row r="1003" spans="1:6" x14ac:dyDescent="0.25">
      <c r="A1003" s="109">
        <v>2134</v>
      </c>
      <c r="B1003" t="s">
        <v>1677</v>
      </c>
      <c r="C1003" t="s">
        <v>1113</v>
      </c>
      <c r="D1003" s="110">
        <v>-33</v>
      </c>
      <c r="E1003" t="str">
        <f t="shared" si="41"/>
        <v>3</v>
      </c>
      <c r="F1003" t="str">
        <f t="shared" si="40"/>
        <v>1.4</v>
      </c>
    </row>
    <row r="1004" spans="1:6" x14ac:dyDescent="0.25">
      <c r="A1004" s="109">
        <v>2135</v>
      </c>
      <c r="B1004" t="s">
        <v>1678</v>
      </c>
      <c r="C1004" t="s">
        <v>1113</v>
      </c>
      <c r="D1004" s="110">
        <v>-33</v>
      </c>
      <c r="E1004" t="str">
        <f t="shared" si="41"/>
        <v>3</v>
      </c>
      <c r="F1004" t="str">
        <f t="shared" si="40"/>
        <v>1.4</v>
      </c>
    </row>
    <row r="1005" spans="1:6" x14ac:dyDescent="0.25">
      <c r="A1005" s="109">
        <v>2136</v>
      </c>
      <c r="B1005" t="s">
        <v>1679</v>
      </c>
      <c r="C1005" t="s">
        <v>1113</v>
      </c>
      <c r="D1005" s="110">
        <v>-33</v>
      </c>
      <c r="E1005" t="str">
        <f t="shared" si="41"/>
        <v>3</v>
      </c>
      <c r="F1005" t="str">
        <f t="shared" si="40"/>
        <v>1.4</v>
      </c>
    </row>
    <row r="1006" spans="1:6" x14ac:dyDescent="0.25">
      <c r="A1006" s="109">
        <v>2137</v>
      </c>
      <c r="B1006" t="s">
        <v>1680</v>
      </c>
      <c r="C1006" t="s">
        <v>1113</v>
      </c>
      <c r="D1006" s="110">
        <v>-33</v>
      </c>
      <c r="E1006" t="str">
        <f t="shared" si="41"/>
        <v>3</v>
      </c>
      <c r="F1006" t="str">
        <f t="shared" si="40"/>
        <v>1.4</v>
      </c>
    </row>
    <row r="1007" spans="1:6" x14ac:dyDescent="0.25">
      <c r="A1007" s="109">
        <v>2138</v>
      </c>
      <c r="B1007" t="s">
        <v>1681</v>
      </c>
      <c r="C1007" t="s">
        <v>1113</v>
      </c>
      <c r="D1007" s="110">
        <v>-33</v>
      </c>
      <c r="E1007" t="str">
        <f t="shared" si="41"/>
        <v>3</v>
      </c>
      <c r="F1007" t="str">
        <f t="shared" si="40"/>
        <v>1.4</v>
      </c>
    </row>
    <row r="1008" spans="1:6" x14ac:dyDescent="0.25">
      <c r="A1008" s="109">
        <v>2139</v>
      </c>
      <c r="B1008" t="s">
        <v>1682</v>
      </c>
      <c r="C1008" t="s">
        <v>1113</v>
      </c>
      <c r="D1008" s="110">
        <v>-33</v>
      </c>
      <c r="E1008" t="str">
        <f t="shared" si="41"/>
        <v>3</v>
      </c>
      <c r="F1008" t="str">
        <f t="shared" si="40"/>
        <v>1.4</v>
      </c>
    </row>
    <row r="1009" spans="1:6" x14ac:dyDescent="0.25">
      <c r="A1009" s="109">
        <v>2140</v>
      </c>
      <c r="B1009" t="s">
        <v>1683</v>
      </c>
      <c r="C1009" t="s">
        <v>1113</v>
      </c>
      <c r="D1009" s="110">
        <v>-33</v>
      </c>
      <c r="E1009" t="str">
        <f t="shared" si="41"/>
        <v>3</v>
      </c>
      <c r="F1009" t="str">
        <f t="shared" si="40"/>
        <v>1.4</v>
      </c>
    </row>
    <row r="1010" spans="1:6" x14ac:dyDescent="0.25">
      <c r="A1010" s="109">
        <v>2141</v>
      </c>
      <c r="B1010" t="s">
        <v>1684</v>
      </c>
      <c r="C1010" t="s">
        <v>1113</v>
      </c>
      <c r="D1010" s="110">
        <v>-33</v>
      </c>
      <c r="E1010" t="str">
        <f t="shared" si="41"/>
        <v>3</v>
      </c>
      <c r="F1010" t="str">
        <f t="shared" si="40"/>
        <v>1.4</v>
      </c>
    </row>
    <row r="1011" spans="1:6" x14ac:dyDescent="0.25">
      <c r="A1011" s="109">
        <v>2142</v>
      </c>
      <c r="B1011" t="s">
        <v>1685</v>
      </c>
      <c r="C1011" t="s">
        <v>1113</v>
      </c>
      <c r="D1011" s="110">
        <v>-33</v>
      </c>
      <c r="E1011" t="str">
        <f t="shared" si="41"/>
        <v>3</v>
      </c>
      <c r="F1011" t="str">
        <f t="shared" si="40"/>
        <v>1.4</v>
      </c>
    </row>
    <row r="1012" spans="1:6" x14ac:dyDescent="0.25">
      <c r="A1012" s="109">
        <v>2143</v>
      </c>
      <c r="B1012" t="s">
        <v>998</v>
      </c>
      <c r="C1012" t="s">
        <v>1113</v>
      </c>
      <c r="D1012" s="110">
        <v>-33</v>
      </c>
      <c r="E1012" t="str">
        <f t="shared" si="41"/>
        <v>3</v>
      </c>
      <c r="F1012" t="str">
        <f t="shared" si="40"/>
        <v>1.4</v>
      </c>
    </row>
    <row r="1013" spans="1:6" x14ac:dyDescent="0.25">
      <c r="A1013" s="109">
        <v>2144</v>
      </c>
      <c r="B1013" t="s">
        <v>1686</v>
      </c>
      <c r="C1013" t="s">
        <v>1113</v>
      </c>
      <c r="D1013" s="110">
        <v>-33</v>
      </c>
      <c r="E1013" t="str">
        <f t="shared" si="41"/>
        <v>3</v>
      </c>
      <c r="F1013" t="str">
        <f t="shared" si="40"/>
        <v>1.4</v>
      </c>
    </row>
    <row r="1014" spans="1:6" x14ac:dyDescent="0.25">
      <c r="A1014" s="109">
        <v>2145</v>
      </c>
      <c r="B1014" t="s">
        <v>1687</v>
      </c>
      <c r="C1014" t="s">
        <v>1113</v>
      </c>
      <c r="D1014" s="110">
        <v>-33</v>
      </c>
      <c r="E1014" t="str">
        <f t="shared" si="41"/>
        <v>3</v>
      </c>
      <c r="F1014" t="str">
        <f t="shared" si="40"/>
        <v>1.4</v>
      </c>
    </row>
    <row r="1015" spans="1:6" x14ac:dyDescent="0.25">
      <c r="A1015" s="109">
        <v>2146</v>
      </c>
      <c r="B1015" t="s">
        <v>1688</v>
      </c>
      <c r="C1015" t="s">
        <v>1113</v>
      </c>
      <c r="D1015" s="110">
        <v>-33</v>
      </c>
      <c r="E1015" t="str">
        <f t="shared" si="41"/>
        <v>3</v>
      </c>
      <c r="F1015" t="str">
        <f t="shared" si="40"/>
        <v>1.4</v>
      </c>
    </row>
    <row r="1016" spans="1:6" x14ac:dyDescent="0.25">
      <c r="A1016" s="109">
        <v>2147</v>
      </c>
      <c r="B1016" t="s">
        <v>1689</v>
      </c>
      <c r="C1016" t="s">
        <v>1113</v>
      </c>
      <c r="D1016" s="110">
        <v>-33</v>
      </c>
      <c r="E1016" t="str">
        <f t="shared" si="41"/>
        <v>3</v>
      </c>
      <c r="F1016" t="str">
        <f t="shared" si="40"/>
        <v>1.4</v>
      </c>
    </row>
    <row r="1017" spans="1:6" x14ac:dyDescent="0.25">
      <c r="A1017" s="109">
        <v>2148</v>
      </c>
      <c r="B1017" t="s">
        <v>1690</v>
      </c>
      <c r="C1017" t="s">
        <v>1113</v>
      </c>
      <c r="D1017" s="110">
        <v>-33</v>
      </c>
      <c r="E1017" t="str">
        <f t="shared" si="41"/>
        <v>3</v>
      </c>
      <c r="F1017" t="str">
        <f t="shared" si="40"/>
        <v>1.4</v>
      </c>
    </row>
    <row r="1018" spans="1:6" x14ac:dyDescent="0.25">
      <c r="A1018" s="109">
        <v>2150</v>
      </c>
      <c r="B1018" t="s">
        <v>1668</v>
      </c>
      <c r="C1018" t="s">
        <v>1113</v>
      </c>
      <c r="D1018" s="110">
        <v>-33</v>
      </c>
      <c r="E1018" t="str">
        <f t="shared" si="41"/>
        <v>3</v>
      </c>
      <c r="F1018" t="str">
        <f t="shared" si="40"/>
        <v>1.4</v>
      </c>
    </row>
    <row r="1019" spans="1:6" x14ac:dyDescent="0.25">
      <c r="A1019" s="109">
        <v>2151</v>
      </c>
      <c r="B1019" t="s">
        <v>1691</v>
      </c>
      <c r="C1019" t="s">
        <v>1113</v>
      </c>
      <c r="D1019" s="110">
        <v>-33</v>
      </c>
      <c r="E1019" t="str">
        <f t="shared" si="41"/>
        <v>3</v>
      </c>
      <c r="F1019" t="str">
        <f t="shared" si="40"/>
        <v>1.4</v>
      </c>
    </row>
    <row r="1020" spans="1:6" x14ac:dyDescent="0.25">
      <c r="A1020" s="109">
        <v>2152</v>
      </c>
      <c r="B1020" t="s">
        <v>1692</v>
      </c>
      <c r="C1020" t="s">
        <v>1113</v>
      </c>
      <c r="D1020" s="110">
        <v>-33</v>
      </c>
      <c r="E1020" t="str">
        <f t="shared" si="41"/>
        <v>3</v>
      </c>
      <c r="F1020" t="str">
        <f t="shared" si="40"/>
        <v>1.4</v>
      </c>
    </row>
    <row r="1021" spans="1:6" x14ac:dyDescent="0.25">
      <c r="A1021" s="109">
        <v>2153</v>
      </c>
      <c r="B1021" t="s">
        <v>1693</v>
      </c>
      <c r="C1021" t="s">
        <v>1113</v>
      </c>
      <c r="D1021" s="110">
        <v>-33</v>
      </c>
      <c r="E1021" t="str">
        <f t="shared" si="41"/>
        <v>3</v>
      </c>
      <c r="F1021" t="str">
        <f t="shared" si="40"/>
        <v>1.4</v>
      </c>
    </row>
    <row r="1022" spans="1:6" x14ac:dyDescent="0.25">
      <c r="A1022" s="109">
        <v>2154</v>
      </c>
      <c r="B1022" t="s">
        <v>1694</v>
      </c>
      <c r="C1022" t="s">
        <v>1113</v>
      </c>
      <c r="D1022" s="110">
        <v>-33</v>
      </c>
      <c r="E1022" t="str">
        <f t="shared" si="41"/>
        <v>3</v>
      </c>
      <c r="F1022" t="str">
        <f t="shared" si="40"/>
        <v>1.4</v>
      </c>
    </row>
    <row r="1023" spans="1:6" x14ac:dyDescent="0.25">
      <c r="A1023" s="109">
        <v>2155</v>
      </c>
      <c r="B1023" t="s">
        <v>1695</v>
      </c>
      <c r="C1023" t="s">
        <v>1113</v>
      </c>
      <c r="D1023" s="110">
        <v>-33</v>
      </c>
      <c r="E1023" t="str">
        <f t="shared" si="41"/>
        <v>3</v>
      </c>
      <c r="F1023" t="str">
        <f t="shared" si="40"/>
        <v>1.4</v>
      </c>
    </row>
    <row r="1024" spans="1:6" x14ac:dyDescent="0.25">
      <c r="A1024" s="109">
        <v>2156</v>
      </c>
      <c r="B1024" t="s">
        <v>1696</v>
      </c>
      <c r="C1024" t="s">
        <v>1113</v>
      </c>
      <c r="D1024" s="110">
        <v>-33</v>
      </c>
      <c r="E1024" t="str">
        <f t="shared" si="41"/>
        <v>3</v>
      </c>
      <c r="F1024" t="str">
        <f t="shared" si="40"/>
        <v>1.4</v>
      </c>
    </row>
    <row r="1025" spans="1:6" x14ac:dyDescent="0.25">
      <c r="A1025" s="109">
        <v>2157</v>
      </c>
      <c r="B1025" t="s">
        <v>1697</v>
      </c>
      <c r="C1025" t="s">
        <v>1113</v>
      </c>
      <c r="D1025" s="110">
        <v>-33</v>
      </c>
      <c r="E1025" t="str">
        <f t="shared" si="41"/>
        <v>3</v>
      </c>
      <c r="F1025" t="str">
        <f t="shared" si="40"/>
        <v>1.4</v>
      </c>
    </row>
    <row r="1026" spans="1:6" x14ac:dyDescent="0.25">
      <c r="A1026" s="109">
        <v>2158</v>
      </c>
      <c r="B1026" t="s">
        <v>1698</v>
      </c>
      <c r="C1026" t="s">
        <v>1113</v>
      </c>
      <c r="D1026" s="110">
        <v>-33</v>
      </c>
      <c r="E1026" t="str">
        <f t="shared" si="41"/>
        <v>3</v>
      </c>
      <c r="F1026" t="str">
        <f t="shared" si="40"/>
        <v>1.4</v>
      </c>
    </row>
    <row r="1027" spans="1:6" x14ac:dyDescent="0.25">
      <c r="A1027" s="109">
        <v>2159</v>
      </c>
      <c r="B1027" t="s">
        <v>1699</v>
      </c>
      <c r="C1027" t="s">
        <v>1113</v>
      </c>
      <c r="D1027" s="110">
        <v>-33</v>
      </c>
      <c r="E1027" t="str">
        <f t="shared" si="41"/>
        <v>3</v>
      </c>
      <c r="F1027" t="str">
        <f t="shared" ref="F1027:F1090" si="42">IF(D1027&lt;-34,"1.6",IF(D1027&lt;-26,"1.4",IF(D1027&lt;-18,"1.2",IF(D1027&lt;-8,"1","lits"))))</f>
        <v>1.4</v>
      </c>
    </row>
    <row r="1028" spans="1:6" x14ac:dyDescent="0.25">
      <c r="A1028" s="109">
        <v>2160</v>
      </c>
      <c r="B1028" t="s">
        <v>1700</v>
      </c>
      <c r="C1028" t="s">
        <v>1113</v>
      </c>
      <c r="D1028" s="110">
        <v>-33</v>
      </c>
      <c r="E1028" t="str">
        <f t="shared" si="41"/>
        <v>3</v>
      </c>
      <c r="F1028" t="str">
        <f t="shared" si="42"/>
        <v>1.4</v>
      </c>
    </row>
    <row r="1029" spans="1:6" x14ac:dyDescent="0.25">
      <c r="A1029" s="109">
        <v>2161</v>
      </c>
      <c r="B1029" t="s">
        <v>1701</v>
      </c>
      <c r="C1029" t="s">
        <v>1113</v>
      </c>
      <c r="D1029" s="110">
        <v>-33</v>
      </c>
      <c r="E1029" t="str">
        <f t="shared" si="41"/>
        <v>3</v>
      </c>
      <c r="F1029" t="str">
        <f t="shared" si="42"/>
        <v>1.4</v>
      </c>
    </row>
    <row r="1030" spans="1:6" x14ac:dyDescent="0.25">
      <c r="A1030" s="109">
        <v>2162</v>
      </c>
      <c r="B1030" t="s">
        <v>1702</v>
      </c>
      <c r="C1030" t="s">
        <v>1113</v>
      </c>
      <c r="D1030" s="110">
        <v>-33</v>
      </c>
      <c r="E1030" t="str">
        <f t="shared" si="41"/>
        <v>3</v>
      </c>
      <c r="F1030" t="str">
        <f t="shared" si="42"/>
        <v>1.4</v>
      </c>
    </row>
    <row r="1031" spans="1:6" x14ac:dyDescent="0.25">
      <c r="A1031" s="109">
        <v>2163</v>
      </c>
      <c r="B1031" t="s">
        <v>1703</v>
      </c>
      <c r="C1031" t="s">
        <v>1113</v>
      </c>
      <c r="D1031" s="110">
        <v>-33</v>
      </c>
      <c r="E1031" t="str">
        <f t="shared" si="41"/>
        <v>3</v>
      </c>
      <c r="F1031" t="str">
        <f t="shared" si="42"/>
        <v>1.4</v>
      </c>
    </row>
    <row r="1032" spans="1:6" x14ac:dyDescent="0.25">
      <c r="A1032" s="109">
        <v>2164</v>
      </c>
      <c r="B1032" t="s">
        <v>1704</v>
      </c>
      <c r="C1032" t="s">
        <v>1113</v>
      </c>
      <c r="D1032" s="110">
        <v>-33</v>
      </c>
      <c r="E1032" t="str">
        <f t="shared" si="41"/>
        <v>3</v>
      </c>
      <c r="F1032" t="str">
        <f t="shared" si="42"/>
        <v>1.4</v>
      </c>
    </row>
    <row r="1033" spans="1:6" x14ac:dyDescent="0.25">
      <c r="A1033" s="109">
        <v>2165</v>
      </c>
      <c r="B1033" t="s">
        <v>1705</v>
      </c>
      <c r="C1033" t="s">
        <v>1113</v>
      </c>
      <c r="D1033" s="110">
        <v>-33</v>
      </c>
      <c r="E1033" t="str">
        <f t="shared" si="41"/>
        <v>3</v>
      </c>
      <c r="F1033" t="str">
        <f t="shared" si="42"/>
        <v>1.4</v>
      </c>
    </row>
    <row r="1034" spans="1:6" x14ac:dyDescent="0.25">
      <c r="A1034" s="109">
        <v>2166</v>
      </c>
      <c r="B1034" t="s">
        <v>1706</v>
      </c>
      <c r="C1034" t="s">
        <v>1113</v>
      </c>
      <c r="D1034" s="110">
        <v>-33</v>
      </c>
      <c r="E1034" t="str">
        <f t="shared" si="41"/>
        <v>3</v>
      </c>
      <c r="F1034" t="str">
        <f t="shared" si="42"/>
        <v>1.4</v>
      </c>
    </row>
    <row r="1035" spans="1:6" x14ac:dyDescent="0.25">
      <c r="A1035" s="109">
        <v>2167</v>
      </c>
      <c r="B1035" t="s">
        <v>1707</v>
      </c>
      <c r="C1035" t="s">
        <v>1113</v>
      </c>
      <c r="D1035" s="110">
        <v>-33</v>
      </c>
      <c r="E1035" t="str">
        <f t="shared" si="41"/>
        <v>3</v>
      </c>
      <c r="F1035" t="str">
        <f t="shared" si="42"/>
        <v>1.4</v>
      </c>
    </row>
    <row r="1036" spans="1:6" x14ac:dyDescent="0.25">
      <c r="A1036" s="109">
        <v>2168</v>
      </c>
      <c r="B1036" t="s">
        <v>1708</v>
      </c>
      <c r="C1036" t="s">
        <v>1113</v>
      </c>
      <c r="D1036" s="110">
        <v>-33</v>
      </c>
      <c r="E1036" t="str">
        <f t="shared" si="41"/>
        <v>3</v>
      </c>
      <c r="F1036" t="str">
        <f t="shared" si="42"/>
        <v>1.4</v>
      </c>
    </row>
    <row r="1037" spans="1:6" x14ac:dyDescent="0.25">
      <c r="A1037" s="109">
        <v>2170</v>
      </c>
      <c r="B1037" t="s">
        <v>1709</v>
      </c>
      <c r="C1037" t="s">
        <v>1113</v>
      </c>
      <c r="D1037" s="110">
        <v>-33</v>
      </c>
      <c r="E1037" t="str">
        <f t="shared" si="41"/>
        <v>3</v>
      </c>
      <c r="F1037" t="str">
        <f t="shared" si="42"/>
        <v>1.4</v>
      </c>
    </row>
    <row r="1038" spans="1:6" x14ac:dyDescent="0.25">
      <c r="A1038" s="109">
        <v>2171</v>
      </c>
      <c r="B1038" t="s">
        <v>1710</v>
      </c>
      <c r="C1038" t="s">
        <v>1113</v>
      </c>
      <c r="D1038" s="110">
        <v>-33</v>
      </c>
      <c r="E1038" t="str">
        <f t="shared" si="41"/>
        <v>3</v>
      </c>
      <c r="F1038" t="str">
        <f t="shared" si="42"/>
        <v>1.4</v>
      </c>
    </row>
    <row r="1039" spans="1:6" x14ac:dyDescent="0.25">
      <c r="A1039" s="109">
        <v>2173</v>
      </c>
      <c r="B1039" t="s">
        <v>928</v>
      </c>
      <c r="C1039" t="s">
        <v>1113</v>
      </c>
      <c r="D1039" s="110">
        <v>-33</v>
      </c>
      <c r="E1039" t="str">
        <f t="shared" si="41"/>
        <v>3</v>
      </c>
      <c r="F1039" t="str">
        <f t="shared" si="42"/>
        <v>1.4</v>
      </c>
    </row>
    <row r="1040" spans="1:6" x14ac:dyDescent="0.25">
      <c r="A1040" s="109">
        <v>2176</v>
      </c>
      <c r="B1040" t="s">
        <v>1711</v>
      </c>
      <c r="C1040" t="s">
        <v>1113</v>
      </c>
      <c r="D1040" s="110">
        <v>-33</v>
      </c>
      <c r="E1040" t="str">
        <f t="shared" si="41"/>
        <v>3</v>
      </c>
      <c r="F1040" t="str">
        <f t="shared" si="42"/>
        <v>1.4</v>
      </c>
    </row>
    <row r="1041" spans="1:6" x14ac:dyDescent="0.25">
      <c r="A1041" s="109">
        <v>2177</v>
      </c>
      <c r="B1041" t="s">
        <v>1712</v>
      </c>
      <c r="C1041" t="s">
        <v>1113</v>
      </c>
      <c r="D1041" s="110">
        <v>-33</v>
      </c>
      <c r="E1041" t="str">
        <f t="shared" si="41"/>
        <v>3</v>
      </c>
      <c r="F1041" t="str">
        <f t="shared" si="42"/>
        <v>1.4</v>
      </c>
    </row>
    <row r="1042" spans="1:6" x14ac:dyDescent="0.25">
      <c r="A1042" s="109">
        <v>2190</v>
      </c>
      <c r="B1042" t="s">
        <v>1713</v>
      </c>
      <c r="C1042" t="s">
        <v>1113</v>
      </c>
      <c r="D1042" s="110">
        <v>-33</v>
      </c>
      <c r="E1042" t="str">
        <f t="shared" si="41"/>
        <v>3</v>
      </c>
      <c r="F1042" t="str">
        <f t="shared" si="42"/>
        <v>1.4</v>
      </c>
    </row>
    <row r="1043" spans="1:6" x14ac:dyDescent="0.25">
      <c r="A1043" s="109">
        <v>2191</v>
      </c>
      <c r="B1043" t="s">
        <v>1714</v>
      </c>
      <c r="C1043" t="s">
        <v>1113</v>
      </c>
      <c r="D1043" s="110">
        <v>-33</v>
      </c>
      <c r="E1043" t="str">
        <f t="shared" si="41"/>
        <v>3</v>
      </c>
      <c r="F1043" t="str">
        <f t="shared" si="42"/>
        <v>1.4</v>
      </c>
    </row>
    <row r="1044" spans="1:6" x14ac:dyDescent="0.25">
      <c r="A1044" s="109">
        <v>2192</v>
      </c>
      <c r="B1044" t="s">
        <v>1715</v>
      </c>
      <c r="C1044" t="s">
        <v>1113</v>
      </c>
      <c r="D1044" s="110">
        <v>-33</v>
      </c>
      <c r="E1044" t="str">
        <f t="shared" si="41"/>
        <v>3</v>
      </c>
      <c r="F1044" t="str">
        <f t="shared" si="42"/>
        <v>1.4</v>
      </c>
    </row>
    <row r="1045" spans="1:6" x14ac:dyDescent="0.25">
      <c r="A1045" s="109">
        <v>2193</v>
      </c>
      <c r="B1045" t="s">
        <v>1716</v>
      </c>
      <c r="C1045" t="s">
        <v>1113</v>
      </c>
      <c r="D1045" s="110">
        <v>-33</v>
      </c>
      <c r="E1045" t="str">
        <f t="shared" si="41"/>
        <v>3</v>
      </c>
      <c r="F1045" t="str">
        <f t="shared" si="42"/>
        <v>1.4</v>
      </c>
    </row>
    <row r="1046" spans="1:6" x14ac:dyDescent="0.25">
      <c r="A1046" s="109">
        <v>2194</v>
      </c>
      <c r="B1046" t="s">
        <v>1717</v>
      </c>
      <c r="C1046" t="s">
        <v>1113</v>
      </c>
      <c r="D1046" s="110">
        <v>-33</v>
      </c>
      <c r="E1046" t="str">
        <f t="shared" si="41"/>
        <v>3</v>
      </c>
      <c r="F1046" t="str">
        <f t="shared" si="42"/>
        <v>1.4</v>
      </c>
    </row>
    <row r="1047" spans="1:6" x14ac:dyDescent="0.25">
      <c r="A1047" s="109">
        <v>2195</v>
      </c>
      <c r="B1047" t="s">
        <v>1718</v>
      </c>
      <c r="C1047" t="s">
        <v>1113</v>
      </c>
      <c r="D1047" s="110">
        <v>-33</v>
      </c>
      <c r="E1047" t="str">
        <f t="shared" si="41"/>
        <v>3</v>
      </c>
      <c r="F1047" t="str">
        <f t="shared" si="42"/>
        <v>1.4</v>
      </c>
    </row>
    <row r="1048" spans="1:6" x14ac:dyDescent="0.25">
      <c r="A1048" s="109">
        <v>2196</v>
      </c>
      <c r="B1048" t="s">
        <v>1719</v>
      </c>
      <c r="C1048" t="s">
        <v>1113</v>
      </c>
      <c r="D1048" s="110">
        <v>-33</v>
      </c>
      <c r="E1048" t="str">
        <f t="shared" si="41"/>
        <v>3</v>
      </c>
      <c r="F1048" t="str">
        <f t="shared" si="42"/>
        <v>1.4</v>
      </c>
    </row>
    <row r="1049" spans="1:6" x14ac:dyDescent="0.25">
      <c r="A1049" s="109">
        <v>2197</v>
      </c>
      <c r="B1049" t="s">
        <v>1720</v>
      </c>
      <c r="C1049" t="s">
        <v>1113</v>
      </c>
      <c r="D1049" s="110">
        <v>-33</v>
      </c>
      <c r="E1049" t="str">
        <f t="shared" si="41"/>
        <v>3</v>
      </c>
      <c r="F1049" t="str">
        <f t="shared" si="42"/>
        <v>1.4</v>
      </c>
    </row>
    <row r="1050" spans="1:6" x14ac:dyDescent="0.25">
      <c r="A1050" s="109">
        <v>2198</v>
      </c>
      <c r="B1050" t="s">
        <v>1721</v>
      </c>
      <c r="C1050" t="s">
        <v>1113</v>
      </c>
      <c r="D1050" s="110">
        <v>-33</v>
      </c>
      <c r="E1050" t="str">
        <f t="shared" si="41"/>
        <v>3</v>
      </c>
      <c r="F1050" t="str">
        <f t="shared" si="42"/>
        <v>1.4</v>
      </c>
    </row>
    <row r="1051" spans="1:6" x14ac:dyDescent="0.25">
      <c r="A1051" s="109">
        <v>2199</v>
      </c>
      <c r="B1051" t="s">
        <v>1722</v>
      </c>
      <c r="C1051" t="s">
        <v>1113</v>
      </c>
      <c r="D1051" s="110">
        <v>-33</v>
      </c>
      <c r="E1051" t="str">
        <f t="shared" si="41"/>
        <v>3</v>
      </c>
      <c r="F1051" t="str">
        <f t="shared" si="42"/>
        <v>1.4</v>
      </c>
    </row>
    <row r="1052" spans="1:6" x14ac:dyDescent="0.25">
      <c r="A1052" s="109">
        <v>2200</v>
      </c>
      <c r="B1052" t="s">
        <v>1723</v>
      </c>
      <c r="C1052" t="s">
        <v>1113</v>
      </c>
      <c r="D1052" s="110">
        <v>-33</v>
      </c>
      <c r="E1052" t="str">
        <f t="shared" si="41"/>
        <v>3</v>
      </c>
      <c r="F1052" t="str">
        <f t="shared" si="42"/>
        <v>1.4</v>
      </c>
    </row>
    <row r="1053" spans="1:6" x14ac:dyDescent="0.25">
      <c r="A1053" s="109">
        <v>2203</v>
      </c>
      <c r="B1053" t="s">
        <v>1724</v>
      </c>
      <c r="C1053" t="s">
        <v>1113</v>
      </c>
      <c r="D1053" s="110">
        <v>-33</v>
      </c>
      <c r="E1053" t="str">
        <f t="shared" si="41"/>
        <v>3</v>
      </c>
      <c r="F1053" t="str">
        <f t="shared" si="42"/>
        <v>1.4</v>
      </c>
    </row>
    <row r="1054" spans="1:6" x14ac:dyDescent="0.25">
      <c r="A1054" s="109">
        <v>2204</v>
      </c>
      <c r="B1054" t="s">
        <v>1725</v>
      </c>
      <c r="C1054" t="s">
        <v>1113</v>
      </c>
      <c r="D1054" s="110">
        <v>-33</v>
      </c>
      <c r="E1054" t="str">
        <f t="shared" si="41"/>
        <v>3</v>
      </c>
      <c r="F1054" t="str">
        <f t="shared" si="42"/>
        <v>1.4</v>
      </c>
    </row>
    <row r="1055" spans="1:6" x14ac:dyDescent="0.25">
      <c r="A1055" s="109">
        <v>2205</v>
      </c>
      <c r="B1055" t="s">
        <v>1726</v>
      </c>
      <c r="C1055" t="s">
        <v>1113</v>
      </c>
      <c r="D1055" s="110">
        <v>-33</v>
      </c>
      <c r="E1055" t="str">
        <f t="shared" si="41"/>
        <v>3</v>
      </c>
      <c r="F1055" t="str">
        <f t="shared" si="42"/>
        <v>1.4</v>
      </c>
    </row>
    <row r="1056" spans="1:6" x14ac:dyDescent="0.25">
      <c r="A1056" s="109">
        <v>2206</v>
      </c>
      <c r="B1056" t="s">
        <v>1727</v>
      </c>
      <c r="C1056" t="s">
        <v>1113</v>
      </c>
      <c r="D1056" s="110">
        <v>-33</v>
      </c>
      <c r="E1056" t="str">
        <f t="shared" si="41"/>
        <v>3</v>
      </c>
      <c r="F1056" t="str">
        <f t="shared" si="42"/>
        <v>1.4</v>
      </c>
    </row>
    <row r="1057" spans="1:6" x14ac:dyDescent="0.25">
      <c r="A1057" s="109">
        <v>2207</v>
      </c>
      <c r="B1057" t="s">
        <v>1728</v>
      </c>
      <c r="C1057" t="s">
        <v>1113</v>
      </c>
      <c r="D1057" s="110">
        <v>-33</v>
      </c>
      <c r="E1057" t="str">
        <f t="shared" ref="E1057:E1120" si="43">IF(D1057&lt;-34,"4",IF(D1057&lt;-26,"3",IF(D1057&lt;-18,"2",IF(D1057&lt;-8,"1","lits"))))</f>
        <v>3</v>
      </c>
      <c r="F1057" t="str">
        <f t="shared" si="42"/>
        <v>1.4</v>
      </c>
    </row>
    <row r="1058" spans="1:6" x14ac:dyDescent="0.25">
      <c r="A1058" s="109">
        <v>2208</v>
      </c>
      <c r="B1058" t="s">
        <v>1729</v>
      </c>
      <c r="C1058" t="s">
        <v>1113</v>
      </c>
      <c r="D1058" s="110">
        <v>-33</v>
      </c>
      <c r="E1058" t="str">
        <f t="shared" si="43"/>
        <v>3</v>
      </c>
      <c r="F1058" t="str">
        <f t="shared" si="42"/>
        <v>1.4</v>
      </c>
    </row>
    <row r="1059" spans="1:6" x14ac:dyDescent="0.25">
      <c r="A1059" s="109">
        <v>2209</v>
      </c>
      <c r="B1059" t="s">
        <v>1730</v>
      </c>
      <c r="C1059" t="s">
        <v>1113</v>
      </c>
      <c r="D1059" s="110">
        <v>-33</v>
      </c>
      <c r="E1059" t="str">
        <f t="shared" si="43"/>
        <v>3</v>
      </c>
      <c r="F1059" t="str">
        <f t="shared" si="42"/>
        <v>1.4</v>
      </c>
    </row>
    <row r="1060" spans="1:6" x14ac:dyDescent="0.25">
      <c r="A1060" s="109">
        <v>2210</v>
      </c>
      <c r="B1060" t="s">
        <v>1731</v>
      </c>
      <c r="C1060" t="s">
        <v>1113</v>
      </c>
      <c r="D1060" s="110">
        <v>-33</v>
      </c>
      <c r="E1060" t="str">
        <f t="shared" si="43"/>
        <v>3</v>
      </c>
      <c r="F1060" t="str">
        <f t="shared" si="42"/>
        <v>1.4</v>
      </c>
    </row>
    <row r="1061" spans="1:6" x14ac:dyDescent="0.25">
      <c r="A1061" s="109">
        <v>2211</v>
      </c>
      <c r="B1061" t="s">
        <v>1732</v>
      </c>
      <c r="C1061" t="s">
        <v>1113</v>
      </c>
      <c r="D1061" s="110">
        <v>-33</v>
      </c>
      <c r="E1061" t="str">
        <f t="shared" si="43"/>
        <v>3</v>
      </c>
      <c r="F1061" t="str">
        <f t="shared" si="42"/>
        <v>1.4</v>
      </c>
    </row>
    <row r="1062" spans="1:6" x14ac:dyDescent="0.25">
      <c r="A1062" s="109">
        <v>2212</v>
      </c>
      <c r="B1062" t="s">
        <v>1733</v>
      </c>
      <c r="C1062" t="s">
        <v>1113</v>
      </c>
      <c r="D1062" s="110">
        <v>-33</v>
      </c>
      <c r="E1062" t="str">
        <f t="shared" si="43"/>
        <v>3</v>
      </c>
      <c r="F1062" t="str">
        <f t="shared" si="42"/>
        <v>1.4</v>
      </c>
    </row>
    <row r="1063" spans="1:6" x14ac:dyDescent="0.25">
      <c r="A1063" s="109">
        <v>2213</v>
      </c>
      <c r="B1063" t="s">
        <v>1734</v>
      </c>
      <c r="C1063" t="s">
        <v>1113</v>
      </c>
      <c r="D1063" s="110">
        <v>-33</v>
      </c>
      <c r="E1063" t="str">
        <f t="shared" si="43"/>
        <v>3</v>
      </c>
      <c r="F1063" t="str">
        <f t="shared" si="42"/>
        <v>1.4</v>
      </c>
    </row>
    <row r="1064" spans="1:6" x14ac:dyDescent="0.25">
      <c r="A1064" s="109">
        <v>2214</v>
      </c>
      <c r="B1064" t="s">
        <v>1735</v>
      </c>
      <c r="C1064" t="s">
        <v>1113</v>
      </c>
      <c r="D1064" s="110">
        <v>-33</v>
      </c>
      <c r="E1064" t="str">
        <f t="shared" si="43"/>
        <v>3</v>
      </c>
      <c r="F1064" t="str">
        <f t="shared" si="42"/>
        <v>1.4</v>
      </c>
    </row>
    <row r="1065" spans="1:6" x14ac:dyDescent="0.25">
      <c r="A1065" s="109">
        <v>2216</v>
      </c>
      <c r="B1065" t="s">
        <v>1736</v>
      </c>
      <c r="C1065" t="s">
        <v>1113</v>
      </c>
      <c r="D1065" s="110">
        <v>-33</v>
      </c>
      <c r="E1065" t="str">
        <f t="shared" si="43"/>
        <v>3</v>
      </c>
      <c r="F1065" t="str">
        <f t="shared" si="42"/>
        <v>1.4</v>
      </c>
    </row>
    <row r="1066" spans="1:6" x14ac:dyDescent="0.25">
      <c r="A1066" s="109">
        <v>2217</v>
      </c>
      <c r="B1066" t="s">
        <v>1737</v>
      </c>
      <c r="C1066" t="s">
        <v>1113</v>
      </c>
      <c r="D1066" s="110">
        <v>-33</v>
      </c>
      <c r="E1066" t="str">
        <f t="shared" si="43"/>
        <v>3</v>
      </c>
      <c r="F1066" t="str">
        <f t="shared" si="42"/>
        <v>1.4</v>
      </c>
    </row>
    <row r="1067" spans="1:6" x14ac:dyDescent="0.25">
      <c r="A1067" s="109">
        <v>2218</v>
      </c>
      <c r="B1067" t="s">
        <v>1738</v>
      </c>
      <c r="C1067" t="s">
        <v>1113</v>
      </c>
      <c r="D1067" s="110">
        <v>-33</v>
      </c>
      <c r="E1067" t="str">
        <f t="shared" si="43"/>
        <v>3</v>
      </c>
      <c r="F1067" t="str">
        <f t="shared" si="42"/>
        <v>1.4</v>
      </c>
    </row>
    <row r="1068" spans="1:6" x14ac:dyDescent="0.25">
      <c r="A1068" s="109">
        <v>2219</v>
      </c>
      <c r="B1068" t="s">
        <v>1739</v>
      </c>
      <c r="C1068" t="s">
        <v>1113</v>
      </c>
      <c r="D1068" s="110">
        <v>-33</v>
      </c>
      <c r="E1068" t="str">
        <f t="shared" si="43"/>
        <v>3</v>
      </c>
      <c r="F1068" t="str">
        <f t="shared" si="42"/>
        <v>1.4</v>
      </c>
    </row>
    <row r="1069" spans="1:6" x14ac:dyDescent="0.25">
      <c r="A1069" s="109">
        <v>2220</v>
      </c>
      <c r="B1069" t="s">
        <v>1740</v>
      </c>
      <c r="C1069" t="s">
        <v>1113</v>
      </c>
      <c r="D1069" s="110">
        <v>-33</v>
      </c>
      <c r="E1069" t="str">
        <f t="shared" si="43"/>
        <v>3</v>
      </c>
      <c r="F1069" t="str">
        <f t="shared" si="42"/>
        <v>1.4</v>
      </c>
    </row>
    <row r="1070" spans="1:6" x14ac:dyDescent="0.25">
      <c r="A1070" s="109">
        <v>2221</v>
      </c>
      <c r="B1070" t="s">
        <v>1741</v>
      </c>
      <c r="C1070" t="s">
        <v>1113</v>
      </c>
      <c r="D1070" s="110">
        <v>-33</v>
      </c>
      <c r="E1070" t="str">
        <f t="shared" si="43"/>
        <v>3</v>
      </c>
      <c r="F1070" t="str">
        <f t="shared" si="42"/>
        <v>1.4</v>
      </c>
    </row>
    <row r="1071" spans="1:6" x14ac:dyDescent="0.25">
      <c r="A1071" s="109">
        <v>2222</v>
      </c>
      <c r="B1071" t="s">
        <v>1742</v>
      </c>
      <c r="C1071" t="s">
        <v>1113</v>
      </c>
      <c r="D1071" s="110">
        <v>-33</v>
      </c>
      <c r="E1071" t="str">
        <f t="shared" si="43"/>
        <v>3</v>
      </c>
      <c r="F1071" t="str">
        <f t="shared" si="42"/>
        <v>1.4</v>
      </c>
    </row>
    <row r="1072" spans="1:6" x14ac:dyDescent="0.25">
      <c r="A1072" s="109">
        <v>2223</v>
      </c>
      <c r="B1072" t="s">
        <v>1743</v>
      </c>
      <c r="C1072" t="s">
        <v>1113</v>
      </c>
      <c r="D1072" s="110">
        <v>-33</v>
      </c>
      <c r="E1072" t="str">
        <f t="shared" si="43"/>
        <v>3</v>
      </c>
      <c r="F1072" t="str">
        <f t="shared" si="42"/>
        <v>1.4</v>
      </c>
    </row>
    <row r="1073" spans="1:6" x14ac:dyDescent="0.25">
      <c r="A1073" s="109">
        <v>2250</v>
      </c>
      <c r="B1073" t="s">
        <v>1744</v>
      </c>
      <c r="C1073" t="s">
        <v>1113</v>
      </c>
      <c r="D1073" s="110">
        <v>-33</v>
      </c>
      <c r="E1073" t="str">
        <f t="shared" si="43"/>
        <v>3</v>
      </c>
      <c r="F1073" t="str">
        <f t="shared" si="42"/>
        <v>1.4</v>
      </c>
    </row>
    <row r="1074" spans="1:6" x14ac:dyDescent="0.25">
      <c r="A1074" s="109">
        <v>2251</v>
      </c>
      <c r="B1074" t="s">
        <v>1745</v>
      </c>
      <c r="C1074" t="s">
        <v>1113</v>
      </c>
      <c r="D1074" s="110">
        <v>-33</v>
      </c>
      <c r="E1074" t="str">
        <f t="shared" si="43"/>
        <v>3</v>
      </c>
      <c r="F1074" t="str">
        <f t="shared" si="42"/>
        <v>1.4</v>
      </c>
    </row>
    <row r="1075" spans="1:6" x14ac:dyDescent="0.25">
      <c r="A1075" s="109">
        <v>2256</v>
      </c>
      <c r="B1075" t="s">
        <v>1746</v>
      </c>
      <c r="C1075" t="s">
        <v>1113</v>
      </c>
      <c r="D1075" s="110">
        <v>-33</v>
      </c>
      <c r="E1075" t="str">
        <f t="shared" si="43"/>
        <v>3</v>
      </c>
      <c r="F1075" t="str">
        <f t="shared" si="42"/>
        <v>1.4</v>
      </c>
    </row>
    <row r="1076" spans="1:6" x14ac:dyDescent="0.25">
      <c r="A1076" s="109">
        <v>2257</v>
      </c>
      <c r="B1076" t="s">
        <v>1747</v>
      </c>
      <c r="C1076" t="s">
        <v>1113</v>
      </c>
      <c r="D1076" s="110">
        <v>-33</v>
      </c>
      <c r="E1076" t="str">
        <f t="shared" si="43"/>
        <v>3</v>
      </c>
      <c r="F1076" t="str">
        <f t="shared" si="42"/>
        <v>1.4</v>
      </c>
    </row>
    <row r="1077" spans="1:6" x14ac:dyDescent="0.25">
      <c r="A1077" s="109">
        <v>2258</v>
      </c>
      <c r="B1077" t="s">
        <v>1748</v>
      </c>
      <c r="C1077" t="s">
        <v>1113</v>
      </c>
      <c r="D1077" s="110">
        <v>-33</v>
      </c>
      <c r="E1077" t="str">
        <f t="shared" si="43"/>
        <v>3</v>
      </c>
      <c r="F1077" t="str">
        <f t="shared" si="42"/>
        <v>1.4</v>
      </c>
    </row>
    <row r="1078" spans="1:6" x14ac:dyDescent="0.25">
      <c r="A1078" s="109">
        <v>2259</v>
      </c>
      <c r="B1078" t="s">
        <v>1749</v>
      </c>
      <c r="C1078" t="s">
        <v>1113</v>
      </c>
      <c r="D1078" s="110">
        <v>-33</v>
      </c>
      <c r="E1078" t="str">
        <f t="shared" si="43"/>
        <v>3</v>
      </c>
      <c r="F1078" t="str">
        <f t="shared" si="42"/>
        <v>1.4</v>
      </c>
    </row>
    <row r="1079" spans="1:6" x14ac:dyDescent="0.25">
      <c r="A1079" s="109">
        <v>2260</v>
      </c>
      <c r="B1079" t="s">
        <v>1750</v>
      </c>
      <c r="C1079" t="s">
        <v>1113</v>
      </c>
      <c r="D1079" s="110">
        <v>-33</v>
      </c>
      <c r="E1079" t="str">
        <f t="shared" si="43"/>
        <v>3</v>
      </c>
      <c r="F1079" t="str">
        <f t="shared" si="42"/>
        <v>1.4</v>
      </c>
    </row>
    <row r="1080" spans="1:6" x14ac:dyDescent="0.25">
      <c r="A1080" s="109">
        <v>2261</v>
      </c>
      <c r="B1080" t="s">
        <v>1751</v>
      </c>
      <c r="C1080" t="s">
        <v>1113</v>
      </c>
      <c r="D1080" s="110">
        <v>-33</v>
      </c>
      <c r="E1080" t="str">
        <f t="shared" si="43"/>
        <v>3</v>
      </c>
      <c r="F1080" t="str">
        <f t="shared" si="42"/>
        <v>1.4</v>
      </c>
    </row>
    <row r="1081" spans="1:6" x14ac:dyDescent="0.25">
      <c r="A1081" s="109">
        <v>2262</v>
      </c>
      <c r="B1081" t="s">
        <v>1752</v>
      </c>
      <c r="C1081" t="s">
        <v>1113</v>
      </c>
      <c r="D1081" s="110">
        <v>-33</v>
      </c>
      <c r="E1081" t="str">
        <f t="shared" si="43"/>
        <v>3</v>
      </c>
      <c r="F1081" t="str">
        <f t="shared" si="42"/>
        <v>1.4</v>
      </c>
    </row>
    <row r="1082" spans="1:6" x14ac:dyDescent="0.25">
      <c r="A1082" s="109">
        <v>2263</v>
      </c>
      <c r="B1082" t="s">
        <v>1753</v>
      </c>
      <c r="C1082" t="s">
        <v>1113</v>
      </c>
      <c r="D1082" s="110">
        <v>-33</v>
      </c>
      <c r="E1082" t="str">
        <f t="shared" si="43"/>
        <v>3</v>
      </c>
      <c r="F1082" t="str">
        <f t="shared" si="42"/>
        <v>1.4</v>
      </c>
    </row>
    <row r="1083" spans="1:6" x14ac:dyDescent="0.25">
      <c r="A1083" s="109">
        <v>2264</v>
      </c>
      <c r="B1083" t="s">
        <v>1754</v>
      </c>
      <c r="C1083" t="s">
        <v>1113</v>
      </c>
      <c r="D1083" s="110">
        <v>-33</v>
      </c>
      <c r="E1083" t="str">
        <f t="shared" si="43"/>
        <v>3</v>
      </c>
      <c r="F1083" t="str">
        <f t="shared" si="42"/>
        <v>1.4</v>
      </c>
    </row>
    <row r="1084" spans="1:6" x14ac:dyDescent="0.25">
      <c r="A1084" s="109">
        <v>2265</v>
      </c>
      <c r="B1084" t="s">
        <v>1755</v>
      </c>
      <c r="C1084" t="s">
        <v>1113</v>
      </c>
      <c r="D1084" s="110">
        <v>-33</v>
      </c>
      <c r="E1084" t="str">
        <f t="shared" si="43"/>
        <v>3</v>
      </c>
      <c r="F1084" t="str">
        <f t="shared" si="42"/>
        <v>1.4</v>
      </c>
    </row>
    <row r="1085" spans="1:6" x14ac:dyDescent="0.25">
      <c r="A1085" s="109">
        <v>2267</v>
      </c>
      <c r="B1085" t="s">
        <v>1756</v>
      </c>
      <c r="C1085" t="s">
        <v>1113</v>
      </c>
      <c r="D1085" s="110">
        <v>-33</v>
      </c>
      <c r="E1085" t="str">
        <f t="shared" si="43"/>
        <v>3</v>
      </c>
      <c r="F1085" t="str">
        <f t="shared" si="42"/>
        <v>1.4</v>
      </c>
    </row>
    <row r="1086" spans="1:6" x14ac:dyDescent="0.25">
      <c r="A1086" s="109">
        <v>2280</v>
      </c>
      <c r="B1086" t="s">
        <v>1757</v>
      </c>
      <c r="C1086" t="s">
        <v>1113</v>
      </c>
      <c r="D1086" s="110">
        <v>-33</v>
      </c>
      <c r="E1086" t="str">
        <f t="shared" si="43"/>
        <v>3</v>
      </c>
      <c r="F1086" t="str">
        <f t="shared" si="42"/>
        <v>1.4</v>
      </c>
    </row>
    <row r="1087" spans="1:6" x14ac:dyDescent="0.25">
      <c r="A1087" s="109">
        <v>2281</v>
      </c>
      <c r="B1087" t="s">
        <v>1758</v>
      </c>
      <c r="C1087" t="s">
        <v>1113</v>
      </c>
      <c r="D1087" s="110">
        <v>-33</v>
      </c>
      <c r="E1087" t="str">
        <f t="shared" si="43"/>
        <v>3</v>
      </c>
      <c r="F1087" t="str">
        <f t="shared" si="42"/>
        <v>1.4</v>
      </c>
    </row>
    <row r="1088" spans="1:6" x14ac:dyDescent="0.25">
      <c r="A1088" s="109">
        <v>2283</v>
      </c>
      <c r="B1088" t="s">
        <v>1759</v>
      </c>
      <c r="C1088" t="s">
        <v>1113</v>
      </c>
      <c r="D1088" s="110">
        <v>-33</v>
      </c>
      <c r="E1088" t="str">
        <f t="shared" si="43"/>
        <v>3</v>
      </c>
      <c r="F1088" t="str">
        <f t="shared" si="42"/>
        <v>1.4</v>
      </c>
    </row>
    <row r="1089" spans="1:6" x14ac:dyDescent="0.25">
      <c r="A1089" s="109">
        <v>2325</v>
      </c>
      <c r="B1089" t="s">
        <v>1760</v>
      </c>
      <c r="C1089" t="s">
        <v>1113</v>
      </c>
      <c r="D1089" s="110">
        <v>-33</v>
      </c>
      <c r="E1089" t="str">
        <f t="shared" si="43"/>
        <v>3</v>
      </c>
      <c r="F1089" t="str">
        <f t="shared" si="42"/>
        <v>1.4</v>
      </c>
    </row>
    <row r="1090" spans="1:6" x14ac:dyDescent="0.25">
      <c r="A1090" s="109">
        <v>2564</v>
      </c>
      <c r="B1090" t="s">
        <v>1761</v>
      </c>
      <c r="C1090" t="s">
        <v>1113</v>
      </c>
      <c r="D1090" s="110">
        <v>-33</v>
      </c>
      <c r="E1090" t="str">
        <f t="shared" si="43"/>
        <v>3</v>
      </c>
      <c r="F1090" t="str">
        <f t="shared" si="42"/>
        <v>1.4</v>
      </c>
    </row>
    <row r="1091" spans="1:6" x14ac:dyDescent="0.25">
      <c r="A1091" s="109">
        <v>2565</v>
      </c>
      <c r="B1091" t="s">
        <v>1762</v>
      </c>
      <c r="C1091" t="s">
        <v>1113</v>
      </c>
      <c r="D1091" s="110">
        <v>-33</v>
      </c>
      <c r="E1091" t="str">
        <f t="shared" si="43"/>
        <v>3</v>
      </c>
      <c r="F1091" t="str">
        <f t="shared" ref="F1091:F1154" si="44">IF(D1091&lt;-34,"1.6",IF(D1091&lt;-26,"1.4",IF(D1091&lt;-18,"1.2",IF(D1091&lt;-8,"1","lits"))))</f>
        <v>1.4</v>
      </c>
    </row>
    <row r="1092" spans="1:6" x14ac:dyDescent="0.25">
      <c r="A1092" s="109">
        <v>2669</v>
      </c>
      <c r="B1092" t="s">
        <v>1763</v>
      </c>
      <c r="C1092" t="s">
        <v>1113</v>
      </c>
      <c r="D1092" s="110">
        <v>-33</v>
      </c>
      <c r="E1092" t="str">
        <f t="shared" si="43"/>
        <v>3</v>
      </c>
      <c r="F1092" t="str">
        <f t="shared" si="44"/>
        <v>1.4</v>
      </c>
    </row>
    <row r="1093" spans="1:6" x14ac:dyDescent="0.25">
      <c r="A1093" s="109">
        <v>2671</v>
      </c>
      <c r="B1093" t="s">
        <v>1764</v>
      </c>
      <c r="C1093" t="s">
        <v>1113</v>
      </c>
      <c r="D1093" s="110">
        <v>-33</v>
      </c>
      <c r="E1093" t="str">
        <f t="shared" si="43"/>
        <v>3</v>
      </c>
      <c r="F1093" t="str">
        <f t="shared" si="44"/>
        <v>1.4</v>
      </c>
    </row>
    <row r="1094" spans="1:6" x14ac:dyDescent="0.25">
      <c r="A1094" s="109">
        <v>2672</v>
      </c>
      <c r="B1094" t="s">
        <v>1765</v>
      </c>
      <c r="C1094" t="s">
        <v>1113</v>
      </c>
      <c r="D1094" s="110">
        <v>-33</v>
      </c>
      <c r="E1094" t="str">
        <f t="shared" si="43"/>
        <v>3</v>
      </c>
      <c r="F1094" t="str">
        <f t="shared" si="44"/>
        <v>1.4</v>
      </c>
    </row>
    <row r="1095" spans="1:6" x14ac:dyDescent="0.25">
      <c r="A1095" s="109">
        <v>2675</v>
      </c>
      <c r="B1095" t="s">
        <v>1766</v>
      </c>
      <c r="C1095" t="s">
        <v>1113</v>
      </c>
      <c r="D1095" s="110">
        <v>-33</v>
      </c>
      <c r="E1095" t="str">
        <f t="shared" si="43"/>
        <v>3</v>
      </c>
      <c r="F1095" t="str">
        <f t="shared" si="44"/>
        <v>1.4</v>
      </c>
    </row>
    <row r="1096" spans="1:6" x14ac:dyDescent="0.25">
      <c r="A1096" s="109">
        <v>2745</v>
      </c>
      <c r="B1096" t="s">
        <v>1767</v>
      </c>
      <c r="C1096" t="s">
        <v>1113</v>
      </c>
      <c r="D1096" s="110">
        <v>-33</v>
      </c>
      <c r="E1096" t="str">
        <f t="shared" si="43"/>
        <v>3</v>
      </c>
      <c r="F1096" t="str">
        <f t="shared" si="44"/>
        <v>1.4</v>
      </c>
    </row>
    <row r="1097" spans="1:6" x14ac:dyDescent="0.25">
      <c r="A1097" s="109">
        <v>2747</v>
      </c>
      <c r="B1097" t="s">
        <v>1768</v>
      </c>
      <c r="C1097" t="s">
        <v>1113</v>
      </c>
      <c r="D1097" s="110">
        <v>-33</v>
      </c>
      <c r="E1097" t="str">
        <f t="shared" si="43"/>
        <v>3</v>
      </c>
      <c r="F1097" t="str">
        <f t="shared" si="44"/>
        <v>1.4</v>
      </c>
    </row>
    <row r="1098" spans="1:6" x14ac:dyDescent="0.25">
      <c r="A1098" s="109">
        <v>2748</v>
      </c>
      <c r="B1098" t="s">
        <v>1769</v>
      </c>
      <c r="C1098" t="s">
        <v>1113</v>
      </c>
      <c r="D1098" s="110">
        <v>-33</v>
      </c>
      <c r="E1098" t="str">
        <f t="shared" si="43"/>
        <v>3</v>
      </c>
      <c r="F1098" t="str">
        <f t="shared" si="44"/>
        <v>1.4</v>
      </c>
    </row>
    <row r="1099" spans="1:6" x14ac:dyDescent="0.25">
      <c r="A1099" s="109">
        <v>2749</v>
      </c>
      <c r="B1099" t="s">
        <v>1770</v>
      </c>
      <c r="C1099" t="s">
        <v>1113</v>
      </c>
      <c r="D1099" s="110">
        <v>-33</v>
      </c>
      <c r="E1099" t="str">
        <f t="shared" si="43"/>
        <v>3</v>
      </c>
      <c r="F1099" t="str">
        <f t="shared" si="44"/>
        <v>1.4</v>
      </c>
    </row>
    <row r="1100" spans="1:6" x14ac:dyDescent="0.25">
      <c r="A1100" s="109">
        <v>2750</v>
      </c>
      <c r="B1100" t="s">
        <v>1771</v>
      </c>
      <c r="C1100" t="s">
        <v>1113</v>
      </c>
      <c r="D1100" s="110">
        <v>-33</v>
      </c>
      <c r="E1100" t="str">
        <f t="shared" si="43"/>
        <v>3</v>
      </c>
      <c r="F1100" t="str">
        <f t="shared" si="44"/>
        <v>1.4</v>
      </c>
    </row>
    <row r="1101" spans="1:6" x14ac:dyDescent="0.25">
      <c r="A1101" s="109">
        <v>2752</v>
      </c>
      <c r="B1101" t="s">
        <v>1772</v>
      </c>
      <c r="C1101" t="s">
        <v>1113</v>
      </c>
      <c r="D1101" s="110">
        <v>-33</v>
      </c>
      <c r="E1101" t="str">
        <f t="shared" si="43"/>
        <v>3</v>
      </c>
      <c r="F1101" t="str">
        <f t="shared" si="44"/>
        <v>1.4</v>
      </c>
    </row>
    <row r="1102" spans="1:6" x14ac:dyDescent="0.25">
      <c r="A1102" s="109">
        <v>2753</v>
      </c>
      <c r="B1102" t="s">
        <v>1773</v>
      </c>
      <c r="C1102" t="s">
        <v>1113</v>
      </c>
      <c r="D1102" s="110">
        <v>-33</v>
      </c>
      <c r="E1102" t="str">
        <f t="shared" si="43"/>
        <v>3</v>
      </c>
      <c r="F1102" t="str">
        <f t="shared" si="44"/>
        <v>1.4</v>
      </c>
    </row>
    <row r="1103" spans="1:6" x14ac:dyDescent="0.25">
      <c r="A1103" s="109">
        <v>2754</v>
      </c>
      <c r="B1103" t="s">
        <v>1774</v>
      </c>
      <c r="C1103" t="s">
        <v>1113</v>
      </c>
      <c r="D1103" s="110">
        <v>-33</v>
      </c>
      <c r="E1103" t="str">
        <f t="shared" si="43"/>
        <v>3</v>
      </c>
      <c r="F1103" t="str">
        <f t="shared" si="44"/>
        <v>1.4</v>
      </c>
    </row>
    <row r="1104" spans="1:6" x14ac:dyDescent="0.25">
      <c r="A1104" s="109">
        <v>2755</v>
      </c>
      <c r="B1104" t="s">
        <v>1775</v>
      </c>
      <c r="C1104" t="s">
        <v>1113</v>
      </c>
      <c r="D1104" s="110">
        <v>-33</v>
      </c>
      <c r="E1104" t="str">
        <f t="shared" si="43"/>
        <v>3</v>
      </c>
      <c r="F1104" t="str">
        <f t="shared" si="44"/>
        <v>1.4</v>
      </c>
    </row>
    <row r="1105" spans="1:6" x14ac:dyDescent="0.25">
      <c r="A1105" s="109">
        <v>2756</v>
      </c>
      <c r="B1105" t="s">
        <v>1776</v>
      </c>
      <c r="C1105" t="s">
        <v>1113</v>
      </c>
      <c r="D1105" s="110">
        <v>-33</v>
      </c>
      <c r="E1105" t="str">
        <f t="shared" si="43"/>
        <v>3</v>
      </c>
      <c r="F1105" t="str">
        <f t="shared" si="44"/>
        <v>1.4</v>
      </c>
    </row>
    <row r="1106" spans="1:6" x14ac:dyDescent="0.25">
      <c r="A1106" s="109">
        <v>2757</v>
      </c>
      <c r="B1106" t="s">
        <v>1777</v>
      </c>
      <c r="C1106" t="s">
        <v>1113</v>
      </c>
      <c r="D1106" s="110">
        <v>-33</v>
      </c>
      <c r="E1106" t="str">
        <f t="shared" si="43"/>
        <v>3</v>
      </c>
      <c r="F1106" t="str">
        <f t="shared" si="44"/>
        <v>1.4</v>
      </c>
    </row>
    <row r="1107" spans="1:6" x14ac:dyDescent="0.25">
      <c r="A1107" s="109">
        <v>2758</v>
      </c>
      <c r="B1107" t="s">
        <v>1778</v>
      </c>
      <c r="C1107" t="s">
        <v>1113</v>
      </c>
      <c r="D1107" s="110">
        <v>-33</v>
      </c>
      <c r="E1107" t="str">
        <f t="shared" si="43"/>
        <v>3</v>
      </c>
      <c r="F1107" t="str">
        <f t="shared" si="44"/>
        <v>1.4</v>
      </c>
    </row>
    <row r="1108" spans="1:6" x14ac:dyDescent="0.25">
      <c r="A1108" s="109">
        <v>2759</v>
      </c>
      <c r="B1108" t="s">
        <v>1779</v>
      </c>
      <c r="C1108" t="s">
        <v>1113</v>
      </c>
      <c r="D1108" s="110">
        <v>-33</v>
      </c>
      <c r="E1108" t="str">
        <f t="shared" si="43"/>
        <v>3</v>
      </c>
      <c r="F1108" t="str">
        <f t="shared" si="44"/>
        <v>1.4</v>
      </c>
    </row>
    <row r="1109" spans="1:6" x14ac:dyDescent="0.25">
      <c r="A1109" s="109">
        <v>2760</v>
      </c>
      <c r="B1109" t="s">
        <v>1780</v>
      </c>
      <c r="C1109" t="s">
        <v>1113</v>
      </c>
      <c r="D1109" s="110">
        <v>-33</v>
      </c>
      <c r="E1109" t="str">
        <f t="shared" si="43"/>
        <v>3</v>
      </c>
      <c r="F1109" t="str">
        <f t="shared" si="44"/>
        <v>1.4</v>
      </c>
    </row>
    <row r="1110" spans="1:6" x14ac:dyDescent="0.25">
      <c r="A1110" s="109">
        <v>2761</v>
      </c>
      <c r="B1110" t="s">
        <v>1781</v>
      </c>
      <c r="C1110" t="s">
        <v>1113</v>
      </c>
      <c r="D1110" s="110">
        <v>-33</v>
      </c>
      <c r="E1110" t="str">
        <f t="shared" si="43"/>
        <v>3</v>
      </c>
      <c r="F1110" t="str">
        <f t="shared" si="44"/>
        <v>1.4</v>
      </c>
    </row>
    <row r="1111" spans="1:6" x14ac:dyDescent="0.25">
      <c r="A1111" s="109">
        <v>2763</v>
      </c>
      <c r="B1111" t="s">
        <v>1782</v>
      </c>
      <c r="C1111" t="s">
        <v>1113</v>
      </c>
      <c r="D1111" s="110">
        <v>-33</v>
      </c>
      <c r="E1111" t="str">
        <f t="shared" si="43"/>
        <v>3</v>
      </c>
      <c r="F1111" t="str">
        <f t="shared" si="44"/>
        <v>1.4</v>
      </c>
    </row>
    <row r="1112" spans="1:6" x14ac:dyDescent="0.25">
      <c r="A1112" s="109">
        <v>2764</v>
      </c>
      <c r="B1112" t="s">
        <v>1782</v>
      </c>
      <c r="C1112" t="s">
        <v>1113</v>
      </c>
      <c r="D1112" s="110">
        <v>-33</v>
      </c>
      <c r="E1112" t="str">
        <f t="shared" si="43"/>
        <v>3</v>
      </c>
      <c r="F1112" t="str">
        <f t="shared" si="44"/>
        <v>1.4</v>
      </c>
    </row>
    <row r="1113" spans="1:6" x14ac:dyDescent="0.25">
      <c r="A1113" s="109">
        <v>2765</v>
      </c>
      <c r="B1113" t="s">
        <v>1783</v>
      </c>
      <c r="C1113" t="s">
        <v>1113</v>
      </c>
      <c r="D1113" s="110">
        <v>-33</v>
      </c>
      <c r="E1113" t="str">
        <f t="shared" si="43"/>
        <v>3</v>
      </c>
      <c r="F1113" t="str">
        <f t="shared" si="44"/>
        <v>1.4</v>
      </c>
    </row>
    <row r="1114" spans="1:6" x14ac:dyDescent="0.25">
      <c r="A1114" s="109">
        <v>2766</v>
      </c>
      <c r="B1114" t="s">
        <v>1784</v>
      </c>
      <c r="C1114" t="s">
        <v>1113</v>
      </c>
      <c r="D1114" s="110">
        <v>-33</v>
      </c>
      <c r="E1114" t="str">
        <f t="shared" si="43"/>
        <v>3</v>
      </c>
      <c r="F1114" t="str">
        <f t="shared" si="44"/>
        <v>1.4</v>
      </c>
    </row>
    <row r="1115" spans="1:6" x14ac:dyDescent="0.25">
      <c r="A1115" s="109">
        <v>2767</v>
      </c>
      <c r="B1115" t="s">
        <v>1785</v>
      </c>
      <c r="C1115" t="s">
        <v>1113</v>
      </c>
      <c r="D1115" s="110">
        <v>-33</v>
      </c>
      <c r="E1115" t="str">
        <f t="shared" si="43"/>
        <v>3</v>
      </c>
      <c r="F1115" t="str">
        <f t="shared" si="44"/>
        <v>1.4</v>
      </c>
    </row>
    <row r="1116" spans="1:6" x14ac:dyDescent="0.25">
      <c r="A1116" s="109">
        <v>2770</v>
      </c>
      <c r="B1116" t="s">
        <v>1786</v>
      </c>
      <c r="C1116" t="s">
        <v>1113</v>
      </c>
      <c r="D1116" s="110">
        <v>-33</v>
      </c>
      <c r="E1116" t="str">
        <f t="shared" si="43"/>
        <v>3</v>
      </c>
      <c r="F1116" t="str">
        <f t="shared" si="44"/>
        <v>1.4</v>
      </c>
    </row>
    <row r="1117" spans="1:6" x14ac:dyDescent="0.25">
      <c r="A1117" s="109">
        <v>2773</v>
      </c>
      <c r="B1117" t="s">
        <v>1787</v>
      </c>
      <c r="C1117" t="s">
        <v>1113</v>
      </c>
      <c r="D1117" s="110">
        <v>-33</v>
      </c>
      <c r="E1117" t="str">
        <f t="shared" si="43"/>
        <v>3</v>
      </c>
      <c r="F1117" t="str">
        <f t="shared" si="44"/>
        <v>1.4</v>
      </c>
    </row>
    <row r="1118" spans="1:6" x14ac:dyDescent="0.25">
      <c r="A1118" s="109">
        <v>2774</v>
      </c>
      <c r="B1118" t="s">
        <v>1788</v>
      </c>
      <c r="C1118" t="s">
        <v>1113</v>
      </c>
      <c r="D1118" s="110">
        <v>-33</v>
      </c>
      <c r="E1118" t="str">
        <f t="shared" si="43"/>
        <v>3</v>
      </c>
      <c r="F1118" t="str">
        <f t="shared" si="44"/>
        <v>1.4</v>
      </c>
    </row>
    <row r="1119" spans="1:6" x14ac:dyDescent="0.25">
      <c r="A1119" s="109">
        <v>2775</v>
      </c>
      <c r="B1119" t="s">
        <v>1789</v>
      </c>
      <c r="C1119" t="s">
        <v>1113</v>
      </c>
      <c r="D1119" s="110">
        <v>-33</v>
      </c>
      <c r="E1119" t="str">
        <f t="shared" si="43"/>
        <v>3</v>
      </c>
      <c r="F1119" t="str">
        <f t="shared" si="44"/>
        <v>1.4</v>
      </c>
    </row>
    <row r="1120" spans="1:6" x14ac:dyDescent="0.25">
      <c r="A1120" s="109">
        <v>2776</v>
      </c>
      <c r="B1120" t="s">
        <v>1790</v>
      </c>
      <c r="C1120" t="s">
        <v>1113</v>
      </c>
      <c r="D1120" s="110">
        <v>-33</v>
      </c>
      <c r="E1120" t="str">
        <f t="shared" si="43"/>
        <v>3</v>
      </c>
      <c r="F1120" t="str">
        <f t="shared" si="44"/>
        <v>1.4</v>
      </c>
    </row>
    <row r="1121" spans="1:6" x14ac:dyDescent="0.25">
      <c r="A1121" s="109">
        <v>2777</v>
      </c>
      <c r="B1121" t="s">
        <v>1791</v>
      </c>
      <c r="C1121" t="s">
        <v>1113</v>
      </c>
      <c r="D1121" s="110">
        <v>-33</v>
      </c>
      <c r="E1121" t="str">
        <f t="shared" ref="E1121:E1122" si="45">IF(D1121&lt;-34,"4",IF(D1121&lt;-26,"3",IF(D1121&lt;-18,"2",IF(D1121&lt;-8,"1","lits"))))</f>
        <v>3</v>
      </c>
      <c r="F1121" t="str">
        <f t="shared" si="44"/>
        <v>1.4</v>
      </c>
    </row>
    <row r="1122" spans="1:6" x14ac:dyDescent="0.25">
      <c r="A1122" s="109">
        <v>2778</v>
      </c>
      <c r="B1122" t="s">
        <v>1792</v>
      </c>
      <c r="C1122" t="s">
        <v>1113</v>
      </c>
      <c r="D1122" s="110">
        <v>-33</v>
      </c>
      <c r="E1122" t="str">
        <f t="shared" si="45"/>
        <v>3</v>
      </c>
      <c r="F1122" t="str">
        <f t="shared" si="44"/>
        <v>1.4</v>
      </c>
    </row>
    <row r="1123" spans="1:6" x14ac:dyDescent="0.25">
      <c r="A1123" s="109">
        <v>2779</v>
      </c>
      <c r="B1123" t="s">
        <v>1793</v>
      </c>
      <c r="C1123" t="s">
        <v>1113</v>
      </c>
      <c r="D1123" s="110">
        <v>-33</v>
      </c>
      <c r="E1123" t="str">
        <f t="shared" ref="E1123" si="46">IF(D1123&lt;-8,"1",IF(D1123&lt;-18,"2",IF(D1123&lt;-26,"3",IF(D1123&lt;-34,"4","lits"))))</f>
        <v>1</v>
      </c>
      <c r="F1123" t="str">
        <f t="shared" si="44"/>
        <v>1.4</v>
      </c>
    </row>
    <row r="1124" spans="1:6" x14ac:dyDescent="0.25">
      <c r="A1124" s="109">
        <v>2780</v>
      </c>
      <c r="B1124" t="s">
        <v>1794</v>
      </c>
      <c r="C1124" t="s">
        <v>1113</v>
      </c>
      <c r="D1124" s="110">
        <v>-33</v>
      </c>
      <c r="E1124" t="str">
        <f t="shared" ref="E1124:E1187" si="47">IF(D1124&lt;-34,"4",IF(D1124&lt;-26,"3",IF(D1124&lt;-18,"2",IF(D1124&lt;-8,"1","lits"))))</f>
        <v>3</v>
      </c>
      <c r="F1124" t="str">
        <f t="shared" si="44"/>
        <v>1.4</v>
      </c>
    </row>
    <row r="1125" spans="1:6" x14ac:dyDescent="0.25">
      <c r="A1125" s="109">
        <v>2782</v>
      </c>
      <c r="B1125" t="s">
        <v>1795</v>
      </c>
      <c r="C1125" t="s">
        <v>1113</v>
      </c>
      <c r="D1125" s="110">
        <v>-33</v>
      </c>
      <c r="E1125" t="str">
        <f t="shared" si="47"/>
        <v>3</v>
      </c>
      <c r="F1125" t="str">
        <f t="shared" si="44"/>
        <v>1.4</v>
      </c>
    </row>
    <row r="1126" spans="1:6" x14ac:dyDescent="0.25">
      <c r="A1126" s="109">
        <v>2783</v>
      </c>
      <c r="B1126" t="s">
        <v>1796</v>
      </c>
      <c r="C1126" t="s">
        <v>1113</v>
      </c>
      <c r="D1126" s="110">
        <v>-33</v>
      </c>
      <c r="E1126" t="str">
        <f t="shared" si="47"/>
        <v>3</v>
      </c>
      <c r="F1126" t="str">
        <f t="shared" si="44"/>
        <v>1.4</v>
      </c>
    </row>
    <row r="1127" spans="1:6" x14ac:dyDescent="0.25">
      <c r="A1127" s="109">
        <v>2785</v>
      </c>
      <c r="B1127" t="s">
        <v>1797</v>
      </c>
      <c r="C1127" t="s">
        <v>1113</v>
      </c>
      <c r="D1127" s="110">
        <v>-33</v>
      </c>
      <c r="E1127" t="str">
        <f t="shared" si="47"/>
        <v>3</v>
      </c>
      <c r="F1127" t="str">
        <f t="shared" si="44"/>
        <v>1.4</v>
      </c>
    </row>
    <row r="1128" spans="1:6" x14ac:dyDescent="0.25">
      <c r="A1128" s="109">
        <v>2786</v>
      </c>
      <c r="B1128" t="s">
        <v>1798</v>
      </c>
      <c r="C1128" t="s">
        <v>1113</v>
      </c>
      <c r="D1128" s="110">
        <v>-33</v>
      </c>
      <c r="E1128" t="str">
        <f t="shared" si="47"/>
        <v>3</v>
      </c>
      <c r="F1128" t="str">
        <f t="shared" si="44"/>
        <v>1.4</v>
      </c>
    </row>
    <row r="1129" spans="1:6" x14ac:dyDescent="0.25">
      <c r="A1129" s="109">
        <v>2790</v>
      </c>
      <c r="B1129" t="s">
        <v>1799</v>
      </c>
      <c r="C1129" t="s">
        <v>1113</v>
      </c>
      <c r="D1129" s="110">
        <v>-33</v>
      </c>
      <c r="E1129" t="str">
        <f t="shared" si="47"/>
        <v>3</v>
      </c>
      <c r="F1129" t="str">
        <f t="shared" si="44"/>
        <v>1.4</v>
      </c>
    </row>
    <row r="1130" spans="1:6" x14ac:dyDescent="0.25">
      <c r="A1130" s="109">
        <v>2791</v>
      </c>
      <c r="B1130" t="s">
        <v>1800</v>
      </c>
      <c r="C1130" t="s">
        <v>1113</v>
      </c>
      <c r="D1130" s="110">
        <v>-33</v>
      </c>
      <c r="E1130" t="str">
        <f t="shared" si="47"/>
        <v>3</v>
      </c>
      <c r="F1130" t="str">
        <f t="shared" si="44"/>
        <v>1.4</v>
      </c>
    </row>
    <row r="1131" spans="1:6" x14ac:dyDescent="0.25">
      <c r="A1131" s="109">
        <v>2792</v>
      </c>
      <c r="B1131" t="s">
        <v>1801</v>
      </c>
      <c r="C1131" t="s">
        <v>1113</v>
      </c>
      <c r="D1131" s="110">
        <v>-33</v>
      </c>
      <c r="E1131" t="str">
        <f t="shared" si="47"/>
        <v>3</v>
      </c>
      <c r="F1131" t="str">
        <f t="shared" si="44"/>
        <v>1.4</v>
      </c>
    </row>
    <row r="1132" spans="1:6" x14ac:dyDescent="0.25">
      <c r="A1132" s="109">
        <v>2793</v>
      </c>
      <c r="B1132" t="s">
        <v>742</v>
      </c>
      <c r="C1132" t="s">
        <v>1113</v>
      </c>
      <c r="D1132" s="110">
        <v>-33</v>
      </c>
      <c r="E1132" t="str">
        <f t="shared" si="47"/>
        <v>3</v>
      </c>
      <c r="F1132" t="str">
        <f t="shared" si="44"/>
        <v>1.4</v>
      </c>
    </row>
    <row r="1133" spans="1:6" x14ac:dyDescent="0.25">
      <c r="A1133" s="109">
        <v>2794</v>
      </c>
      <c r="B1133" t="s">
        <v>1802</v>
      </c>
      <c r="C1133" t="s">
        <v>1113</v>
      </c>
      <c r="D1133" s="110">
        <v>-33</v>
      </c>
      <c r="E1133" t="str">
        <f t="shared" si="47"/>
        <v>3</v>
      </c>
      <c r="F1133" t="str">
        <f t="shared" si="44"/>
        <v>1.4</v>
      </c>
    </row>
    <row r="1134" spans="1:6" x14ac:dyDescent="0.25">
      <c r="A1134" s="109">
        <v>2795</v>
      </c>
      <c r="B1134" t="s">
        <v>1803</v>
      </c>
      <c r="C1134" t="s">
        <v>1113</v>
      </c>
      <c r="D1134" s="110">
        <v>-33</v>
      </c>
      <c r="E1134" t="str">
        <f t="shared" si="47"/>
        <v>3</v>
      </c>
      <c r="F1134" t="str">
        <f t="shared" si="44"/>
        <v>1.4</v>
      </c>
    </row>
    <row r="1135" spans="1:6" x14ac:dyDescent="0.25">
      <c r="A1135" s="109">
        <v>2797</v>
      </c>
      <c r="B1135" t="s">
        <v>1169</v>
      </c>
      <c r="C1135" t="s">
        <v>1113</v>
      </c>
      <c r="D1135" s="110">
        <v>-33</v>
      </c>
      <c r="E1135" t="str">
        <f t="shared" si="47"/>
        <v>3</v>
      </c>
      <c r="F1135" t="str">
        <f t="shared" si="44"/>
        <v>1.4</v>
      </c>
    </row>
    <row r="1136" spans="1:6" x14ac:dyDescent="0.25">
      <c r="A1136" s="109">
        <v>2798</v>
      </c>
      <c r="B1136" t="s">
        <v>1804</v>
      </c>
      <c r="C1136" t="s">
        <v>1113</v>
      </c>
      <c r="D1136" s="110">
        <v>-33</v>
      </c>
      <c r="E1136" t="str">
        <f t="shared" si="47"/>
        <v>3</v>
      </c>
      <c r="F1136" t="str">
        <f t="shared" si="44"/>
        <v>1.4</v>
      </c>
    </row>
    <row r="1137" spans="1:6" x14ac:dyDescent="0.25">
      <c r="A1137" s="109">
        <v>2799</v>
      </c>
      <c r="B1137" t="s">
        <v>1805</v>
      </c>
      <c r="C1137" t="s">
        <v>1113</v>
      </c>
      <c r="D1137" s="110">
        <v>-33</v>
      </c>
      <c r="E1137" t="str">
        <f t="shared" si="47"/>
        <v>3</v>
      </c>
      <c r="F1137" t="str">
        <f t="shared" si="44"/>
        <v>1.4</v>
      </c>
    </row>
    <row r="1138" spans="1:6" x14ac:dyDescent="0.25">
      <c r="A1138" s="109">
        <v>2800</v>
      </c>
      <c r="B1138" t="s">
        <v>937</v>
      </c>
      <c r="C1138" t="s">
        <v>1113</v>
      </c>
      <c r="D1138" s="110">
        <v>-33</v>
      </c>
      <c r="E1138" t="str">
        <f t="shared" si="47"/>
        <v>3</v>
      </c>
      <c r="F1138" t="str">
        <f t="shared" si="44"/>
        <v>1.4</v>
      </c>
    </row>
    <row r="1139" spans="1:6" x14ac:dyDescent="0.25">
      <c r="A1139" s="109">
        <v>2804</v>
      </c>
      <c r="B1139" t="s">
        <v>1806</v>
      </c>
      <c r="C1139" t="s">
        <v>1113</v>
      </c>
      <c r="D1139" s="110">
        <v>-33</v>
      </c>
      <c r="E1139" t="str">
        <f t="shared" si="47"/>
        <v>3</v>
      </c>
      <c r="F1139" t="str">
        <f t="shared" si="44"/>
        <v>1.4</v>
      </c>
    </row>
    <row r="1140" spans="1:6" x14ac:dyDescent="0.25">
      <c r="A1140" s="109">
        <v>2805</v>
      </c>
      <c r="B1140" t="s">
        <v>1807</v>
      </c>
      <c r="C1140" t="s">
        <v>1113</v>
      </c>
      <c r="D1140" s="110">
        <v>-33</v>
      </c>
      <c r="E1140" t="str">
        <f t="shared" si="47"/>
        <v>3</v>
      </c>
      <c r="F1140" t="str">
        <f t="shared" si="44"/>
        <v>1.4</v>
      </c>
    </row>
    <row r="1141" spans="1:6" x14ac:dyDescent="0.25">
      <c r="A1141" s="109">
        <v>2806</v>
      </c>
      <c r="B1141" t="s">
        <v>1808</v>
      </c>
      <c r="C1141" t="s">
        <v>1113</v>
      </c>
      <c r="D1141" s="110">
        <v>-33</v>
      </c>
      <c r="E1141" t="str">
        <f t="shared" si="47"/>
        <v>3</v>
      </c>
      <c r="F1141" t="str">
        <f t="shared" si="44"/>
        <v>1.4</v>
      </c>
    </row>
    <row r="1142" spans="1:6" x14ac:dyDescent="0.25">
      <c r="A1142" s="109">
        <v>2808</v>
      </c>
      <c r="B1142" t="s">
        <v>1809</v>
      </c>
      <c r="C1142" t="s">
        <v>1113</v>
      </c>
      <c r="D1142" s="110">
        <v>-33</v>
      </c>
      <c r="E1142" t="str">
        <f t="shared" si="47"/>
        <v>3</v>
      </c>
      <c r="F1142" t="str">
        <f t="shared" si="44"/>
        <v>1.4</v>
      </c>
    </row>
    <row r="1143" spans="1:6" x14ac:dyDescent="0.25">
      <c r="A1143" s="109">
        <v>2809</v>
      </c>
      <c r="B1143" t="s">
        <v>1810</v>
      </c>
      <c r="C1143" t="s">
        <v>1113</v>
      </c>
      <c r="D1143" s="110">
        <v>-33</v>
      </c>
      <c r="E1143" t="str">
        <f t="shared" si="47"/>
        <v>3</v>
      </c>
      <c r="F1143" t="str">
        <f t="shared" si="44"/>
        <v>1.4</v>
      </c>
    </row>
    <row r="1144" spans="1:6" x14ac:dyDescent="0.25">
      <c r="A1144" s="109">
        <v>2845</v>
      </c>
      <c r="B1144" t="s">
        <v>1811</v>
      </c>
      <c r="C1144" t="s">
        <v>1113</v>
      </c>
      <c r="D1144" s="110">
        <v>-33</v>
      </c>
      <c r="E1144" t="str">
        <f t="shared" si="47"/>
        <v>3</v>
      </c>
      <c r="F1144" t="str">
        <f t="shared" si="44"/>
        <v>1.4</v>
      </c>
    </row>
    <row r="1145" spans="1:6" x14ac:dyDescent="0.25">
      <c r="A1145" s="109">
        <v>2846</v>
      </c>
      <c r="B1145" t="s">
        <v>1812</v>
      </c>
      <c r="C1145" t="s">
        <v>1113</v>
      </c>
      <c r="D1145" s="110">
        <v>-33</v>
      </c>
      <c r="E1145" t="str">
        <f t="shared" si="47"/>
        <v>3</v>
      </c>
      <c r="F1145" t="str">
        <f t="shared" si="44"/>
        <v>1.4</v>
      </c>
    </row>
    <row r="1146" spans="1:6" x14ac:dyDescent="0.25">
      <c r="A1146" s="109">
        <v>2847</v>
      </c>
      <c r="B1146" t="s">
        <v>1813</v>
      </c>
      <c r="C1146" t="s">
        <v>1113</v>
      </c>
      <c r="D1146" s="110">
        <v>-33</v>
      </c>
      <c r="E1146" t="str">
        <f t="shared" si="47"/>
        <v>3</v>
      </c>
      <c r="F1146" t="str">
        <f t="shared" si="44"/>
        <v>1.4</v>
      </c>
    </row>
    <row r="1147" spans="1:6" x14ac:dyDescent="0.25">
      <c r="A1147" s="109">
        <v>2864</v>
      </c>
      <c r="B1147" t="s">
        <v>1814</v>
      </c>
      <c r="C1147" t="s">
        <v>1113</v>
      </c>
      <c r="D1147" s="110">
        <v>-33</v>
      </c>
      <c r="E1147" t="str">
        <f t="shared" si="47"/>
        <v>3</v>
      </c>
      <c r="F1147" t="str">
        <f t="shared" si="44"/>
        <v>1.4</v>
      </c>
    </row>
    <row r="1148" spans="1:6" x14ac:dyDescent="0.25">
      <c r="A1148" s="109">
        <v>2865</v>
      </c>
      <c r="B1148" t="s">
        <v>1815</v>
      </c>
      <c r="C1148" t="s">
        <v>1113</v>
      </c>
      <c r="D1148" s="110">
        <v>-33</v>
      </c>
      <c r="E1148" t="str">
        <f t="shared" si="47"/>
        <v>3</v>
      </c>
      <c r="F1148" t="str">
        <f t="shared" si="44"/>
        <v>1.4</v>
      </c>
    </row>
    <row r="1149" spans="1:6" x14ac:dyDescent="0.25">
      <c r="A1149" s="109">
        <v>2871</v>
      </c>
      <c r="B1149" t="s">
        <v>1816</v>
      </c>
      <c r="C1149" t="s">
        <v>1113</v>
      </c>
      <c r="D1149" s="110">
        <v>-33</v>
      </c>
      <c r="E1149" t="str">
        <f t="shared" si="47"/>
        <v>3</v>
      </c>
      <c r="F1149" t="str">
        <f t="shared" si="44"/>
        <v>1.4</v>
      </c>
    </row>
    <row r="1150" spans="1:6" x14ac:dyDescent="0.25">
      <c r="A1150" s="109">
        <v>2875</v>
      </c>
      <c r="B1150" t="s">
        <v>1817</v>
      </c>
      <c r="C1150" t="s">
        <v>1113</v>
      </c>
      <c r="D1150" s="110">
        <v>-33</v>
      </c>
      <c r="E1150" t="str">
        <f t="shared" si="47"/>
        <v>3</v>
      </c>
      <c r="F1150" t="str">
        <f t="shared" si="44"/>
        <v>1.4</v>
      </c>
    </row>
    <row r="1151" spans="1:6" x14ac:dyDescent="0.25">
      <c r="A1151" s="109">
        <v>2876</v>
      </c>
      <c r="B1151" t="s">
        <v>1818</v>
      </c>
      <c r="C1151" t="s">
        <v>1113</v>
      </c>
      <c r="D1151" s="110">
        <v>-33</v>
      </c>
      <c r="E1151" t="str">
        <f t="shared" si="47"/>
        <v>3</v>
      </c>
      <c r="F1151" t="str">
        <f t="shared" si="44"/>
        <v>1.4</v>
      </c>
    </row>
    <row r="1152" spans="1:6" x14ac:dyDescent="0.25">
      <c r="A1152" s="109">
        <v>2877</v>
      </c>
      <c r="B1152" t="s">
        <v>1819</v>
      </c>
      <c r="C1152" t="s">
        <v>1113</v>
      </c>
      <c r="D1152" s="110">
        <v>-33</v>
      </c>
      <c r="E1152" t="str">
        <f t="shared" si="47"/>
        <v>3</v>
      </c>
      <c r="F1152" t="str">
        <f t="shared" si="44"/>
        <v>1.4</v>
      </c>
    </row>
    <row r="1153" spans="1:6" x14ac:dyDescent="0.25">
      <c r="A1153" s="109">
        <v>3500</v>
      </c>
      <c r="B1153" t="s">
        <v>1820</v>
      </c>
      <c r="C1153" t="s">
        <v>1113</v>
      </c>
      <c r="D1153" s="110">
        <v>-33</v>
      </c>
      <c r="E1153" t="str">
        <f t="shared" si="47"/>
        <v>3</v>
      </c>
      <c r="F1153" t="str">
        <f t="shared" si="44"/>
        <v>1.4</v>
      </c>
    </row>
    <row r="1154" spans="1:6" x14ac:dyDescent="0.25">
      <c r="A1154" s="109">
        <v>5381</v>
      </c>
      <c r="B1154" t="s">
        <v>1821</v>
      </c>
      <c r="C1154" t="s">
        <v>1105</v>
      </c>
      <c r="D1154" s="110">
        <v>-33</v>
      </c>
      <c r="E1154" t="str">
        <f t="shared" si="47"/>
        <v>3</v>
      </c>
      <c r="F1154" t="str">
        <f t="shared" si="44"/>
        <v>1.4</v>
      </c>
    </row>
    <row r="1155" spans="1:6" x14ac:dyDescent="0.25">
      <c r="A1155" s="109">
        <v>5415</v>
      </c>
      <c r="B1155" t="s">
        <v>1822</v>
      </c>
      <c r="C1155" t="s">
        <v>1105</v>
      </c>
      <c r="D1155" s="110">
        <v>-33</v>
      </c>
      <c r="E1155" t="str">
        <f t="shared" si="47"/>
        <v>3</v>
      </c>
      <c r="F1155" t="str">
        <f t="shared" ref="F1155:F1218" si="48">IF(D1155&lt;-34,"1.6",IF(D1155&lt;-26,"1.4",IF(D1155&lt;-18,"1.2",IF(D1155&lt;-8,"1","lits"))))</f>
        <v>1.4</v>
      </c>
    </row>
    <row r="1156" spans="1:6" x14ac:dyDescent="0.25">
      <c r="A1156" s="109">
        <v>5417</v>
      </c>
      <c r="B1156" t="s">
        <v>1823</v>
      </c>
      <c r="C1156" t="s">
        <v>1105</v>
      </c>
      <c r="D1156" s="110">
        <v>-33</v>
      </c>
      <c r="E1156" t="str">
        <f t="shared" si="47"/>
        <v>3</v>
      </c>
      <c r="F1156" t="str">
        <f t="shared" si="48"/>
        <v>1.4</v>
      </c>
    </row>
    <row r="1157" spans="1:6" x14ac:dyDescent="0.25">
      <c r="A1157" s="109">
        <v>5418</v>
      </c>
      <c r="B1157" t="s">
        <v>1824</v>
      </c>
      <c r="C1157" t="s">
        <v>1105</v>
      </c>
      <c r="D1157" s="110">
        <v>-33</v>
      </c>
      <c r="E1157" t="str">
        <f t="shared" si="47"/>
        <v>3</v>
      </c>
      <c r="F1157" t="str">
        <f t="shared" si="48"/>
        <v>1.4</v>
      </c>
    </row>
    <row r="1158" spans="1:6" x14ac:dyDescent="0.25">
      <c r="A1158" s="109">
        <v>5419</v>
      </c>
      <c r="B1158" t="s">
        <v>1825</v>
      </c>
      <c r="C1158" t="s">
        <v>1105</v>
      </c>
      <c r="D1158" s="110">
        <v>-33</v>
      </c>
      <c r="E1158" t="str">
        <f t="shared" si="47"/>
        <v>3</v>
      </c>
      <c r="F1158" t="str">
        <f t="shared" si="48"/>
        <v>1.4</v>
      </c>
    </row>
    <row r="1159" spans="1:6" x14ac:dyDescent="0.25">
      <c r="A1159" s="109">
        <v>5420</v>
      </c>
      <c r="B1159" t="s">
        <v>1826</v>
      </c>
      <c r="C1159" t="s">
        <v>1105</v>
      </c>
      <c r="D1159" s="110">
        <v>-33</v>
      </c>
      <c r="E1159" t="str">
        <f t="shared" si="47"/>
        <v>3</v>
      </c>
      <c r="F1159" t="str">
        <f t="shared" si="48"/>
        <v>1.4</v>
      </c>
    </row>
    <row r="1160" spans="1:6" x14ac:dyDescent="0.25">
      <c r="A1160" s="109">
        <v>5421</v>
      </c>
      <c r="B1160" t="s">
        <v>1827</v>
      </c>
      <c r="C1160" t="s">
        <v>1105</v>
      </c>
      <c r="D1160" s="110">
        <v>-33</v>
      </c>
      <c r="E1160" t="str">
        <f t="shared" si="47"/>
        <v>3</v>
      </c>
      <c r="F1160" t="str">
        <f t="shared" si="48"/>
        <v>1.4</v>
      </c>
    </row>
    <row r="1161" spans="1:6" x14ac:dyDescent="0.25">
      <c r="A1161" s="109">
        <v>5422</v>
      </c>
      <c r="B1161" t="s">
        <v>1828</v>
      </c>
      <c r="C1161" t="s">
        <v>1105</v>
      </c>
      <c r="D1161" s="110">
        <v>-33</v>
      </c>
      <c r="E1161" t="str">
        <f t="shared" si="47"/>
        <v>3</v>
      </c>
      <c r="F1161" t="str">
        <f t="shared" si="48"/>
        <v>1.4</v>
      </c>
    </row>
    <row r="1162" spans="1:6" x14ac:dyDescent="0.25">
      <c r="A1162" s="109">
        <v>5452</v>
      </c>
      <c r="B1162" t="s">
        <v>1829</v>
      </c>
      <c r="C1162" t="s">
        <v>1105</v>
      </c>
      <c r="D1162" s="110">
        <v>-33</v>
      </c>
      <c r="E1162" t="str">
        <f t="shared" si="47"/>
        <v>3</v>
      </c>
      <c r="F1162" t="str">
        <f t="shared" si="48"/>
        <v>1.4</v>
      </c>
    </row>
    <row r="1163" spans="1:6" x14ac:dyDescent="0.25">
      <c r="A1163" s="109">
        <v>5453</v>
      </c>
      <c r="B1163" t="s">
        <v>1830</v>
      </c>
      <c r="C1163" t="s">
        <v>1105</v>
      </c>
      <c r="D1163" s="110">
        <v>-33</v>
      </c>
      <c r="E1163" t="str">
        <f t="shared" si="47"/>
        <v>3</v>
      </c>
      <c r="F1163" t="str">
        <f t="shared" si="48"/>
        <v>1.4</v>
      </c>
    </row>
    <row r="1164" spans="1:6" x14ac:dyDescent="0.25">
      <c r="A1164" s="109">
        <v>5454</v>
      </c>
      <c r="B1164" t="s">
        <v>1831</v>
      </c>
      <c r="C1164" t="s">
        <v>1105</v>
      </c>
      <c r="D1164" s="110">
        <v>-33</v>
      </c>
      <c r="E1164" t="str">
        <f t="shared" si="47"/>
        <v>3</v>
      </c>
      <c r="F1164" t="str">
        <f t="shared" si="48"/>
        <v>1.4</v>
      </c>
    </row>
    <row r="1165" spans="1:6" x14ac:dyDescent="0.25">
      <c r="A1165" s="109">
        <v>5462</v>
      </c>
      <c r="B1165" t="s">
        <v>1832</v>
      </c>
      <c r="C1165" t="s">
        <v>1105</v>
      </c>
      <c r="D1165" s="110">
        <v>-33</v>
      </c>
      <c r="E1165" t="str">
        <f t="shared" si="47"/>
        <v>3</v>
      </c>
      <c r="F1165" t="str">
        <f t="shared" si="48"/>
        <v>1.4</v>
      </c>
    </row>
    <row r="1166" spans="1:6" x14ac:dyDescent="0.25">
      <c r="A1166" s="109">
        <v>5470</v>
      </c>
      <c r="B1166" t="s">
        <v>1833</v>
      </c>
      <c r="C1166" t="s">
        <v>1105</v>
      </c>
      <c r="D1166" s="110">
        <v>-33</v>
      </c>
      <c r="E1166" t="str">
        <f t="shared" si="47"/>
        <v>3</v>
      </c>
      <c r="F1166" t="str">
        <f t="shared" si="48"/>
        <v>1.4</v>
      </c>
    </row>
    <row r="1167" spans="1:6" x14ac:dyDescent="0.25">
      <c r="A1167" s="109">
        <v>5471</v>
      </c>
      <c r="B1167" t="s">
        <v>1834</v>
      </c>
      <c r="C1167" t="s">
        <v>1105</v>
      </c>
      <c r="D1167" s="110">
        <v>-33</v>
      </c>
      <c r="E1167" t="str">
        <f t="shared" si="47"/>
        <v>3</v>
      </c>
      <c r="F1167" t="str">
        <f t="shared" si="48"/>
        <v>1.4</v>
      </c>
    </row>
    <row r="1168" spans="1:6" x14ac:dyDescent="0.25">
      <c r="A1168" s="109">
        <v>5472</v>
      </c>
      <c r="B1168" t="s">
        <v>1835</v>
      </c>
      <c r="C1168" t="s">
        <v>1105</v>
      </c>
      <c r="D1168" s="110">
        <v>-33</v>
      </c>
      <c r="E1168" t="str">
        <f t="shared" si="47"/>
        <v>3</v>
      </c>
      <c r="F1168" t="str">
        <f t="shared" si="48"/>
        <v>1.4</v>
      </c>
    </row>
    <row r="1169" spans="1:6" x14ac:dyDescent="0.25">
      <c r="A1169" s="109">
        <v>5473</v>
      </c>
      <c r="B1169" t="s">
        <v>1836</v>
      </c>
      <c r="C1169" t="s">
        <v>1105</v>
      </c>
      <c r="D1169" s="110">
        <v>-33</v>
      </c>
      <c r="E1169" t="str">
        <f t="shared" si="47"/>
        <v>3</v>
      </c>
      <c r="F1169" t="str">
        <f t="shared" si="48"/>
        <v>1.4</v>
      </c>
    </row>
    <row r="1170" spans="1:6" x14ac:dyDescent="0.25">
      <c r="A1170" s="109">
        <v>5480</v>
      </c>
      <c r="B1170" t="s">
        <v>1837</v>
      </c>
      <c r="C1170" t="s">
        <v>1105</v>
      </c>
      <c r="D1170" s="110">
        <v>-33</v>
      </c>
      <c r="E1170" t="str">
        <f t="shared" si="47"/>
        <v>3</v>
      </c>
      <c r="F1170" t="str">
        <f t="shared" si="48"/>
        <v>1.4</v>
      </c>
    </row>
    <row r="1171" spans="1:6" x14ac:dyDescent="0.25">
      <c r="A1171" s="109">
        <v>5490</v>
      </c>
      <c r="B1171" t="s">
        <v>1838</v>
      </c>
      <c r="C1171" t="s">
        <v>1105</v>
      </c>
      <c r="D1171" s="110">
        <v>-33</v>
      </c>
      <c r="E1171" t="str">
        <f t="shared" si="47"/>
        <v>3</v>
      </c>
      <c r="F1171" t="str">
        <f t="shared" si="48"/>
        <v>1.4</v>
      </c>
    </row>
    <row r="1172" spans="1:6" x14ac:dyDescent="0.25">
      <c r="A1172" s="109">
        <v>5491</v>
      </c>
      <c r="B1172" t="s">
        <v>1839</v>
      </c>
      <c r="C1172" t="s">
        <v>1105</v>
      </c>
      <c r="D1172" s="110">
        <v>-33</v>
      </c>
      <c r="E1172" t="str">
        <f t="shared" si="47"/>
        <v>3</v>
      </c>
      <c r="F1172" t="str">
        <f t="shared" si="48"/>
        <v>1.4</v>
      </c>
    </row>
    <row r="1173" spans="1:6" x14ac:dyDescent="0.25">
      <c r="A1173" s="109">
        <v>5493</v>
      </c>
      <c r="B1173" t="s">
        <v>1840</v>
      </c>
      <c r="C1173" t="s">
        <v>1105</v>
      </c>
      <c r="D1173" s="110">
        <v>-33</v>
      </c>
      <c r="E1173" t="str">
        <f t="shared" si="47"/>
        <v>3</v>
      </c>
      <c r="F1173" t="str">
        <f t="shared" si="48"/>
        <v>1.4</v>
      </c>
    </row>
    <row r="1174" spans="1:6" x14ac:dyDescent="0.25">
      <c r="A1174" s="109">
        <v>5495</v>
      </c>
      <c r="B1174" t="s">
        <v>1841</v>
      </c>
      <c r="C1174" t="s">
        <v>1105</v>
      </c>
      <c r="D1174" s="110">
        <v>-33</v>
      </c>
      <c r="E1174" t="str">
        <f t="shared" si="47"/>
        <v>3</v>
      </c>
      <c r="F1174" t="str">
        <f t="shared" si="48"/>
        <v>1.4</v>
      </c>
    </row>
    <row r="1175" spans="1:6" x14ac:dyDescent="0.25">
      <c r="A1175" s="109">
        <v>5510</v>
      </c>
      <c r="B1175" t="s">
        <v>1842</v>
      </c>
      <c r="C1175" t="s">
        <v>1105</v>
      </c>
      <c r="D1175" s="110">
        <v>-33</v>
      </c>
      <c r="E1175" t="str">
        <f t="shared" si="47"/>
        <v>3</v>
      </c>
      <c r="F1175" t="str">
        <f t="shared" si="48"/>
        <v>1.4</v>
      </c>
    </row>
    <row r="1176" spans="1:6" x14ac:dyDescent="0.25">
      <c r="A1176" s="109">
        <v>5520</v>
      </c>
      <c r="B1176" t="s">
        <v>1843</v>
      </c>
      <c r="C1176" t="s">
        <v>1105</v>
      </c>
      <c r="D1176" s="110">
        <v>-33</v>
      </c>
      <c r="E1176" t="str">
        <f t="shared" si="47"/>
        <v>3</v>
      </c>
      <c r="F1176" t="str">
        <f t="shared" si="48"/>
        <v>1.4</v>
      </c>
    </row>
    <row r="1177" spans="1:6" x14ac:dyDescent="0.25">
      <c r="A1177" s="109">
        <v>5523</v>
      </c>
      <c r="B1177" t="s">
        <v>1844</v>
      </c>
      <c r="C1177" t="s">
        <v>1105</v>
      </c>
      <c r="D1177" s="110">
        <v>-33</v>
      </c>
      <c r="E1177" t="str">
        <f t="shared" si="47"/>
        <v>3</v>
      </c>
      <c r="F1177" t="str">
        <f t="shared" si="48"/>
        <v>1.4</v>
      </c>
    </row>
    <row r="1178" spans="1:6" x14ac:dyDescent="0.25">
      <c r="A1178" s="109">
        <v>5540</v>
      </c>
      <c r="B1178" t="s">
        <v>1845</v>
      </c>
      <c r="C1178" t="s">
        <v>1105</v>
      </c>
      <c r="D1178" s="110">
        <v>-33</v>
      </c>
      <c r="E1178" t="str">
        <f t="shared" si="47"/>
        <v>3</v>
      </c>
      <c r="F1178" t="str">
        <f t="shared" si="48"/>
        <v>1.4</v>
      </c>
    </row>
    <row r="1179" spans="1:6" x14ac:dyDescent="0.25">
      <c r="A1179" s="109">
        <v>5554</v>
      </c>
      <c r="B1179" t="s">
        <v>1846</v>
      </c>
      <c r="C1179" t="s">
        <v>1105</v>
      </c>
      <c r="D1179" s="110">
        <v>-33</v>
      </c>
      <c r="E1179" t="str">
        <f t="shared" si="47"/>
        <v>3</v>
      </c>
      <c r="F1179" t="str">
        <f t="shared" si="48"/>
        <v>1.4</v>
      </c>
    </row>
    <row r="1180" spans="1:6" x14ac:dyDescent="0.25">
      <c r="A1180" s="109">
        <v>5555</v>
      </c>
      <c r="B1180" t="s">
        <v>1847</v>
      </c>
      <c r="C1180" t="s">
        <v>1105</v>
      </c>
      <c r="D1180" s="110">
        <v>-33</v>
      </c>
      <c r="E1180" t="str">
        <f t="shared" si="47"/>
        <v>3</v>
      </c>
      <c r="F1180" t="str">
        <f t="shared" si="48"/>
        <v>1.4</v>
      </c>
    </row>
    <row r="1181" spans="1:6" x14ac:dyDescent="0.25">
      <c r="A1181" s="109">
        <v>5556</v>
      </c>
      <c r="B1181" t="s">
        <v>1254</v>
      </c>
      <c r="C1181" t="s">
        <v>1105</v>
      </c>
      <c r="D1181" s="110">
        <v>-33</v>
      </c>
      <c r="E1181" t="str">
        <f t="shared" si="47"/>
        <v>3</v>
      </c>
      <c r="F1181" t="str">
        <f t="shared" si="48"/>
        <v>1.4</v>
      </c>
    </row>
    <row r="1182" spans="1:6" x14ac:dyDescent="0.25">
      <c r="A1182" s="109">
        <v>5560</v>
      </c>
      <c r="B1182" t="s">
        <v>1848</v>
      </c>
      <c r="C1182" t="s">
        <v>1105</v>
      </c>
      <c r="D1182" s="110">
        <v>-33</v>
      </c>
      <c r="E1182" t="str">
        <f t="shared" si="47"/>
        <v>3</v>
      </c>
      <c r="F1182" t="str">
        <f t="shared" si="48"/>
        <v>1.4</v>
      </c>
    </row>
    <row r="1183" spans="1:6" x14ac:dyDescent="0.25">
      <c r="A1183" s="109">
        <v>5600</v>
      </c>
      <c r="B1183" t="s">
        <v>1849</v>
      </c>
      <c r="C1183" t="s">
        <v>1105</v>
      </c>
      <c r="D1183" s="110">
        <v>-33</v>
      </c>
      <c r="E1183" t="str">
        <f t="shared" si="47"/>
        <v>3</v>
      </c>
      <c r="F1183" t="str">
        <f t="shared" si="48"/>
        <v>1.4</v>
      </c>
    </row>
    <row r="1184" spans="1:6" x14ac:dyDescent="0.25">
      <c r="A1184" s="109">
        <v>5602</v>
      </c>
      <c r="B1184" t="s">
        <v>1850</v>
      </c>
      <c r="C1184" t="s">
        <v>1105</v>
      </c>
      <c r="D1184" s="110">
        <v>-33</v>
      </c>
      <c r="E1184" t="str">
        <f t="shared" si="47"/>
        <v>3</v>
      </c>
      <c r="F1184" t="str">
        <f t="shared" si="48"/>
        <v>1.4</v>
      </c>
    </row>
    <row r="1185" spans="1:6" x14ac:dyDescent="0.25">
      <c r="A1185" s="109">
        <v>5603</v>
      </c>
      <c r="B1185" t="s">
        <v>1851</v>
      </c>
      <c r="C1185" t="s">
        <v>1105</v>
      </c>
      <c r="D1185" s="110">
        <v>-33</v>
      </c>
      <c r="E1185" t="str">
        <f t="shared" si="47"/>
        <v>3</v>
      </c>
      <c r="F1185" t="str">
        <f t="shared" si="48"/>
        <v>1.4</v>
      </c>
    </row>
    <row r="1186" spans="1:6" x14ac:dyDescent="0.25">
      <c r="A1186" s="109">
        <v>5604</v>
      </c>
      <c r="B1186" t="s">
        <v>1852</v>
      </c>
      <c r="C1186" t="s">
        <v>1105</v>
      </c>
      <c r="D1186" s="110">
        <v>-33</v>
      </c>
      <c r="E1186" t="str">
        <f t="shared" si="47"/>
        <v>3</v>
      </c>
      <c r="F1186" t="str">
        <f t="shared" si="48"/>
        <v>1.4</v>
      </c>
    </row>
    <row r="1187" spans="1:6" x14ac:dyDescent="0.25">
      <c r="A1187" s="109">
        <v>5608</v>
      </c>
      <c r="B1187" t="s">
        <v>1853</v>
      </c>
      <c r="C1187" t="s">
        <v>1105</v>
      </c>
      <c r="D1187" s="110">
        <v>-33</v>
      </c>
      <c r="E1187" t="str">
        <f t="shared" si="47"/>
        <v>3</v>
      </c>
      <c r="F1187" t="str">
        <f t="shared" si="48"/>
        <v>1.4</v>
      </c>
    </row>
    <row r="1188" spans="1:6" x14ac:dyDescent="0.25">
      <c r="A1188" s="109">
        <v>5633</v>
      </c>
      <c r="B1188" t="s">
        <v>1854</v>
      </c>
      <c r="C1188" t="s">
        <v>1105</v>
      </c>
      <c r="D1188" s="110">
        <v>-33</v>
      </c>
      <c r="E1188" t="str">
        <f t="shared" ref="E1188:E1251" si="49">IF(D1188&lt;-34,"4",IF(D1188&lt;-26,"3",IF(D1188&lt;-18,"2",IF(D1188&lt;-8,"1","lits"))))</f>
        <v>3</v>
      </c>
      <c r="F1188" t="str">
        <f t="shared" si="48"/>
        <v>1.4</v>
      </c>
    </row>
    <row r="1189" spans="1:6" x14ac:dyDescent="0.25">
      <c r="A1189" s="109">
        <v>5640</v>
      </c>
      <c r="B1189" t="s">
        <v>1855</v>
      </c>
      <c r="C1189" t="s">
        <v>1105</v>
      </c>
      <c r="D1189" s="110">
        <v>-33</v>
      </c>
      <c r="E1189" t="str">
        <f t="shared" si="49"/>
        <v>3</v>
      </c>
      <c r="F1189" t="str">
        <f t="shared" si="48"/>
        <v>1.4</v>
      </c>
    </row>
    <row r="1190" spans="1:6" x14ac:dyDescent="0.25">
      <c r="A1190" s="109">
        <v>5641</v>
      </c>
      <c r="B1190" t="s">
        <v>1856</v>
      </c>
      <c r="C1190" t="s">
        <v>1105</v>
      </c>
      <c r="D1190" s="110">
        <v>-33</v>
      </c>
      <c r="E1190" t="str">
        <f t="shared" si="49"/>
        <v>3</v>
      </c>
      <c r="F1190" t="str">
        <f t="shared" si="48"/>
        <v>1.4</v>
      </c>
    </row>
    <row r="1191" spans="1:6" x14ac:dyDescent="0.25">
      <c r="A1191" s="109">
        <v>5642</v>
      </c>
      <c r="B1191" t="s">
        <v>1857</v>
      </c>
      <c r="C1191" t="s">
        <v>1105</v>
      </c>
      <c r="D1191" s="110">
        <v>-33</v>
      </c>
      <c r="E1191" t="str">
        <f t="shared" si="49"/>
        <v>3</v>
      </c>
      <c r="F1191" t="str">
        <f t="shared" si="48"/>
        <v>1.4</v>
      </c>
    </row>
    <row r="1192" spans="1:6" x14ac:dyDescent="0.25">
      <c r="A1192" s="109">
        <v>5650</v>
      </c>
      <c r="B1192" t="s">
        <v>1858</v>
      </c>
      <c r="C1192" t="s">
        <v>1105</v>
      </c>
      <c r="D1192" s="110">
        <v>-33</v>
      </c>
      <c r="E1192" t="str">
        <f t="shared" si="49"/>
        <v>3</v>
      </c>
      <c r="F1192" t="str">
        <f t="shared" si="48"/>
        <v>1.4</v>
      </c>
    </row>
    <row r="1193" spans="1:6" x14ac:dyDescent="0.25">
      <c r="A1193" s="109">
        <v>5651</v>
      </c>
      <c r="B1193" t="s">
        <v>1859</v>
      </c>
      <c r="C1193" t="s">
        <v>1105</v>
      </c>
      <c r="D1193" s="110">
        <v>-33</v>
      </c>
      <c r="E1193" t="str">
        <f t="shared" si="49"/>
        <v>3</v>
      </c>
      <c r="F1193" t="str">
        <f t="shared" si="48"/>
        <v>1.4</v>
      </c>
    </row>
    <row r="1194" spans="1:6" x14ac:dyDescent="0.25">
      <c r="A1194" s="109">
        <v>5652</v>
      </c>
      <c r="B1194" t="s">
        <v>1860</v>
      </c>
      <c r="C1194" t="s">
        <v>1105</v>
      </c>
      <c r="D1194" s="110">
        <v>-33</v>
      </c>
      <c r="E1194" t="str">
        <f t="shared" si="49"/>
        <v>3</v>
      </c>
      <c r="F1194" t="str">
        <f t="shared" si="48"/>
        <v>1.4</v>
      </c>
    </row>
    <row r="1195" spans="1:6" x14ac:dyDescent="0.25">
      <c r="A1195" s="109">
        <v>5670</v>
      </c>
      <c r="B1195" t="s">
        <v>1861</v>
      </c>
      <c r="C1195" t="s">
        <v>1105</v>
      </c>
      <c r="D1195" s="110">
        <v>-33</v>
      </c>
      <c r="E1195" t="str">
        <f t="shared" si="49"/>
        <v>3</v>
      </c>
      <c r="F1195" t="str">
        <f t="shared" si="48"/>
        <v>1.4</v>
      </c>
    </row>
    <row r="1196" spans="1:6" x14ac:dyDescent="0.25">
      <c r="A1196" s="109">
        <v>5671</v>
      </c>
      <c r="B1196" t="s">
        <v>1862</v>
      </c>
      <c r="C1196" t="s">
        <v>1105</v>
      </c>
      <c r="D1196" s="110">
        <v>-33</v>
      </c>
      <c r="E1196" t="str">
        <f t="shared" si="49"/>
        <v>3</v>
      </c>
      <c r="F1196" t="str">
        <f t="shared" si="48"/>
        <v>1.4</v>
      </c>
    </row>
    <row r="1197" spans="1:6" x14ac:dyDescent="0.25">
      <c r="A1197" s="109">
        <v>6221</v>
      </c>
      <c r="B1197" t="s">
        <v>1863</v>
      </c>
      <c r="C1197" t="s">
        <v>686</v>
      </c>
      <c r="D1197" s="110">
        <v>-33</v>
      </c>
      <c r="E1197" t="str">
        <f t="shared" si="49"/>
        <v>3</v>
      </c>
      <c r="F1197" t="str">
        <f t="shared" si="48"/>
        <v>1.4</v>
      </c>
    </row>
    <row r="1198" spans="1:6" x14ac:dyDescent="0.25">
      <c r="A1198" s="109">
        <v>6223</v>
      </c>
      <c r="B1198" t="s">
        <v>1864</v>
      </c>
      <c r="C1198" t="s">
        <v>686</v>
      </c>
      <c r="D1198" s="110">
        <v>-33</v>
      </c>
      <c r="E1198" t="str">
        <f t="shared" si="49"/>
        <v>3</v>
      </c>
      <c r="F1198" t="str">
        <f t="shared" si="48"/>
        <v>1.4</v>
      </c>
    </row>
    <row r="1199" spans="1:6" x14ac:dyDescent="0.25">
      <c r="A1199" s="109">
        <v>6224</v>
      </c>
      <c r="B1199" t="s">
        <v>1865</v>
      </c>
      <c r="C1199" t="s">
        <v>686</v>
      </c>
      <c r="D1199" s="110">
        <v>-33</v>
      </c>
      <c r="E1199" t="str">
        <f t="shared" si="49"/>
        <v>3</v>
      </c>
      <c r="F1199" t="str">
        <f t="shared" si="48"/>
        <v>1.4</v>
      </c>
    </row>
    <row r="1200" spans="1:6" x14ac:dyDescent="0.25">
      <c r="A1200" s="109">
        <v>6225</v>
      </c>
      <c r="B1200" t="s">
        <v>1866</v>
      </c>
      <c r="C1200" t="s">
        <v>686</v>
      </c>
      <c r="D1200" s="110">
        <v>-33</v>
      </c>
      <c r="E1200" t="str">
        <f t="shared" si="49"/>
        <v>3</v>
      </c>
      <c r="F1200" t="str">
        <f t="shared" si="48"/>
        <v>1.4</v>
      </c>
    </row>
    <row r="1201" spans="1:6" x14ac:dyDescent="0.25">
      <c r="A1201" s="109">
        <v>6226</v>
      </c>
      <c r="B1201" t="s">
        <v>1867</v>
      </c>
      <c r="C1201" t="s">
        <v>686</v>
      </c>
      <c r="D1201" s="110">
        <v>-33</v>
      </c>
      <c r="E1201" t="str">
        <f t="shared" si="49"/>
        <v>3</v>
      </c>
      <c r="F1201" t="str">
        <f t="shared" si="48"/>
        <v>1.4</v>
      </c>
    </row>
    <row r="1202" spans="1:6" x14ac:dyDescent="0.25">
      <c r="A1202" s="109">
        <v>6227</v>
      </c>
      <c r="B1202" t="s">
        <v>1868</v>
      </c>
      <c r="C1202" t="s">
        <v>686</v>
      </c>
      <c r="D1202" s="110">
        <v>-33</v>
      </c>
      <c r="E1202" t="str">
        <f t="shared" si="49"/>
        <v>3</v>
      </c>
      <c r="F1202" t="str">
        <f t="shared" si="48"/>
        <v>1.4</v>
      </c>
    </row>
    <row r="1203" spans="1:6" x14ac:dyDescent="0.25">
      <c r="A1203" s="109">
        <v>6228</v>
      </c>
      <c r="B1203" t="s">
        <v>1869</v>
      </c>
      <c r="C1203" t="s">
        <v>686</v>
      </c>
      <c r="D1203" s="110">
        <v>-33</v>
      </c>
      <c r="E1203" t="str">
        <f t="shared" si="49"/>
        <v>3</v>
      </c>
      <c r="F1203" t="str">
        <f t="shared" si="48"/>
        <v>1.4</v>
      </c>
    </row>
    <row r="1204" spans="1:6" x14ac:dyDescent="0.25">
      <c r="A1204" s="109">
        <v>6229</v>
      </c>
      <c r="B1204" t="s">
        <v>1870</v>
      </c>
      <c r="C1204" t="s">
        <v>686</v>
      </c>
      <c r="D1204" s="110">
        <v>-33</v>
      </c>
      <c r="E1204" t="str">
        <f t="shared" si="49"/>
        <v>3</v>
      </c>
      <c r="F1204" t="str">
        <f t="shared" si="48"/>
        <v>1.4</v>
      </c>
    </row>
    <row r="1205" spans="1:6" x14ac:dyDescent="0.25">
      <c r="A1205" s="109">
        <v>6230</v>
      </c>
      <c r="B1205" t="s">
        <v>1871</v>
      </c>
      <c r="C1205" t="s">
        <v>686</v>
      </c>
      <c r="D1205" s="110">
        <v>-33</v>
      </c>
      <c r="E1205" t="str">
        <f t="shared" si="49"/>
        <v>3</v>
      </c>
      <c r="F1205" t="str">
        <f t="shared" si="48"/>
        <v>1.4</v>
      </c>
    </row>
    <row r="1206" spans="1:6" x14ac:dyDescent="0.25">
      <c r="A1206" s="109">
        <v>6236</v>
      </c>
      <c r="B1206" t="s">
        <v>1872</v>
      </c>
      <c r="C1206" t="s">
        <v>686</v>
      </c>
      <c r="D1206" s="110">
        <v>-33</v>
      </c>
      <c r="E1206" t="str">
        <f t="shared" si="49"/>
        <v>3</v>
      </c>
      <c r="F1206" t="str">
        <f t="shared" si="48"/>
        <v>1.4</v>
      </c>
    </row>
    <row r="1207" spans="1:6" x14ac:dyDescent="0.25">
      <c r="A1207" s="109">
        <v>6237</v>
      </c>
      <c r="B1207" t="s">
        <v>1873</v>
      </c>
      <c r="C1207" t="s">
        <v>686</v>
      </c>
      <c r="D1207" s="110">
        <v>-33</v>
      </c>
      <c r="E1207" t="str">
        <f t="shared" si="49"/>
        <v>3</v>
      </c>
      <c r="F1207" t="str">
        <f t="shared" si="48"/>
        <v>1.4</v>
      </c>
    </row>
    <row r="1208" spans="1:6" x14ac:dyDescent="0.25">
      <c r="A1208" s="109">
        <v>6239</v>
      </c>
      <c r="B1208" t="s">
        <v>1874</v>
      </c>
      <c r="C1208" t="s">
        <v>686</v>
      </c>
      <c r="D1208" s="110">
        <v>-33</v>
      </c>
      <c r="E1208" t="str">
        <f t="shared" si="49"/>
        <v>3</v>
      </c>
      <c r="F1208" t="str">
        <f t="shared" si="48"/>
        <v>1.4</v>
      </c>
    </row>
    <row r="1209" spans="1:6" x14ac:dyDescent="0.25">
      <c r="A1209" s="109">
        <v>6244</v>
      </c>
      <c r="B1209" t="s">
        <v>1875</v>
      </c>
      <c r="C1209" t="s">
        <v>686</v>
      </c>
      <c r="D1209" s="110">
        <v>-33</v>
      </c>
      <c r="E1209" t="str">
        <f t="shared" si="49"/>
        <v>3</v>
      </c>
      <c r="F1209" t="str">
        <f t="shared" si="48"/>
        <v>1.4</v>
      </c>
    </row>
    <row r="1210" spans="1:6" x14ac:dyDescent="0.25">
      <c r="A1210" s="109">
        <v>6251</v>
      </c>
      <c r="B1210" t="s">
        <v>1876</v>
      </c>
      <c r="C1210" t="s">
        <v>686</v>
      </c>
      <c r="D1210" s="110">
        <v>-33</v>
      </c>
      <c r="E1210" t="str">
        <f t="shared" si="49"/>
        <v>3</v>
      </c>
      <c r="F1210" t="str">
        <f t="shared" si="48"/>
        <v>1.4</v>
      </c>
    </row>
    <row r="1211" spans="1:6" x14ac:dyDescent="0.25">
      <c r="A1211" s="109">
        <v>6253</v>
      </c>
      <c r="B1211" t="s">
        <v>1877</v>
      </c>
      <c r="C1211" t="s">
        <v>686</v>
      </c>
      <c r="D1211" s="110">
        <v>-33</v>
      </c>
      <c r="E1211" t="str">
        <f t="shared" si="49"/>
        <v>3</v>
      </c>
      <c r="F1211" t="str">
        <f t="shared" si="48"/>
        <v>1.4</v>
      </c>
    </row>
    <row r="1212" spans="1:6" x14ac:dyDescent="0.25">
      <c r="A1212" s="109">
        <v>6254</v>
      </c>
      <c r="B1212" t="s">
        <v>1878</v>
      </c>
      <c r="C1212" t="s">
        <v>686</v>
      </c>
      <c r="D1212" s="110">
        <v>-33</v>
      </c>
      <c r="E1212" t="str">
        <f t="shared" si="49"/>
        <v>3</v>
      </c>
      <c r="F1212" t="str">
        <f t="shared" si="48"/>
        <v>1.4</v>
      </c>
    </row>
    <row r="1213" spans="1:6" x14ac:dyDescent="0.25">
      <c r="A1213" s="109">
        <v>6255</v>
      </c>
      <c r="B1213" t="s">
        <v>1879</v>
      </c>
      <c r="C1213" t="s">
        <v>686</v>
      </c>
      <c r="D1213" s="110">
        <v>-33</v>
      </c>
      <c r="E1213" t="str">
        <f t="shared" si="49"/>
        <v>3</v>
      </c>
      <c r="F1213" t="str">
        <f t="shared" si="48"/>
        <v>1.4</v>
      </c>
    </row>
    <row r="1214" spans="1:6" x14ac:dyDescent="0.25">
      <c r="A1214" s="109">
        <v>6271</v>
      </c>
      <c r="B1214" t="s">
        <v>1880</v>
      </c>
      <c r="C1214" t="s">
        <v>686</v>
      </c>
      <c r="D1214" s="110">
        <v>-33</v>
      </c>
      <c r="E1214" t="str">
        <f t="shared" si="49"/>
        <v>3</v>
      </c>
      <c r="F1214" t="str">
        <f t="shared" si="48"/>
        <v>1.4</v>
      </c>
    </row>
    <row r="1215" spans="1:6" x14ac:dyDescent="0.25">
      <c r="A1215" s="109">
        <v>6275</v>
      </c>
      <c r="B1215" t="s">
        <v>1881</v>
      </c>
      <c r="C1215" t="s">
        <v>686</v>
      </c>
      <c r="D1215" s="110">
        <v>-33</v>
      </c>
      <c r="E1215" t="str">
        <f t="shared" si="49"/>
        <v>3</v>
      </c>
      <c r="F1215" t="str">
        <f t="shared" si="48"/>
        <v>1.4</v>
      </c>
    </row>
    <row r="1216" spans="1:6" x14ac:dyDescent="0.25">
      <c r="A1216" s="109">
        <v>6280</v>
      </c>
      <c r="B1216" t="s">
        <v>1882</v>
      </c>
      <c r="C1216" t="s">
        <v>686</v>
      </c>
      <c r="D1216" s="110">
        <v>-33</v>
      </c>
      <c r="E1216" t="str">
        <f t="shared" si="49"/>
        <v>3</v>
      </c>
      <c r="F1216" t="str">
        <f t="shared" si="48"/>
        <v>1.4</v>
      </c>
    </row>
    <row r="1217" spans="1:6" x14ac:dyDescent="0.25">
      <c r="A1217" s="109">
        <v>6281</v>
      </c>
      <c r="B1217" t="s">
        <v>1883</v>
      </c>
      <c r="C1217" t="s">
        <v>686</v>
      </c>
      <c r="D1217" s="110">
        <v>-33</v>
      </c>
      <c r="E1217" t="str">
        <f t="shared" si="49"/>
        <v>3</v>
      </c>
      <c r="F1217" t="str">
        <f t="shared" si="48"/>
        <v>1.4</v>
      </c>
    </row>
    <row r="1218" spans="1:6" x14ac:dyDescent="0.25">
      <c r="A1218" s="109">
        <v>6282</v>
      </c>
      <c r="B1218" t="s">
        <v>1884</v>
      </c>
      <c r="C1218" t="s">
        <v>686</v>
      </c>
      <c r="D1218" s="110">
        <v>-33</v>
      </c>
      <c r="E1218" t="str">
        <f t="shared" si="49"/>
        <v>3</v>
      </c>
      <c r="F1218" t="str">
        <f t="shared" si="48"/>
        <v>1.4</v>
      </c>
    </row>
    <row r="1219" spans="1:6" x14ac:dyDescent="0.25">
      <c r="A1219" s="109">
        <v>6284</v>
      </c>
      <c r="B1219" t="s">
        <v>1885</v>
      </c>
      <c r="C1219" t="s">
        <v>686</v>
      </c>
      <c r="D1219" s="110">
        <v>-33</v>
      </c>
      <c r="E1219" t="str">
        <f t="shared" si="49"/>
        <v>3</v>
      </c>
      <c r="F1219" t="str">
        <f t="shared" ref="F1219:F1282" si="50">IF(D1219&lt;-34,"1.6",IF(D1219&lt;-26,"1.4",IF(D1219&lt;-18,"1.2",IF(D1219&lt;-8,"1","lits"))))</f>
        <v>1.4</v>
      </c>
    </row>
    <row r="1220" spans="1:6" x14ac:dyDescent="0.25">
      <c r="A1220" s="109">
        <v>6285</v>
      </c>
      <c r="B1220" t="s">
        <v>1886</v>
      </c>
      <c r="C1220" t="s">
        <v>686</v>
      </c>
      <c r="D1220" s="110">
        <v>-33</v>
      </c>
      <c r="E1220" t="str">
        <f t="shared" si="49"/>
        <v>3</v>
      </c>
      <c r="F1220" t="str">
        <f t="shared" si="50"/>
        <v>1.4</v>
      </c>
    </row>
    <row r="1221" spans="1:6" x14ac:dyDescent="0.25">
      <c r="A1221" s="109">
        <v>6315</v>
      </c>
      <c r="B1221" t="s">
        <v>1887</v>
      </c>
      <c r="C1221" t="s">
        <v>686</v>
      </c>
      <c r="D1221" s="110">
        <v>-33</v>
      </c>
      <c r="E1221" t="str">
        <f t="shared" si="49"/>
        <v>3</v>
      </c>
      <c r="F1221" t="str">
        <f t="shared" si="50"/>
        <v>1.4</v>
      </c>
    </row>
    <row r="1222" spans="1:6" x14ac:dyDescent="0.25">
      <c r="A1222" s="109">
        <v>6316</v>
      </c>
      <c r="B1222" t="s">
        <v>1888</v>
      </c>
      <c r="C1222" t="s">
        <v>686</v>
      </c>
      <c r="D1222" s="110">
        <v>-33</v>
      </c>
      <c r="E1222" t="str">
        <f t="shared" si="49"/>
        <v>3</v>
      </c>
      <c r="F1222" t="str">
        <f t="shared" si="50"/>
        <v>1.4</v>
      </c>
    </row>
    <row r="1223" spans="1:6" x14ac:dyDescent="0.25">
      <c r="A1223" s="109">
        <v>6317</v>
      </c>
      <c r="B1223" t="s">
        <v>1889</v>
      </c>
      <c r="C1223" t="s">
        <v>686</v>
      </c>
      <c r="D1223" s="110">
        <v>-33</v>
      </c>
      <c r="E1223" t="str">
        <f t="shared" si="49"/>
        <v>3</v>
      </c>
      <c r="F1223" t="str">
        <f t="shared" si="50"/>
        <v>1.4</v>
      </c>
    </row>
    <row r="1224" spans="1:6" x14ac:dyDescent="0.25">
      <c r="A1224" s="109">
        <v>6318</v>
      </c>
      <c r="B1224" t="s">
        <v>1890</v>
      </c>
      <c r="C1224" t="s">
        <v>686</v>
      </c>
      <c r="D1224" s="110">
        <v>-33</v>
      </c>
      <c r="E1224" t="str">
        <f t="shared" si="49"/>
        <v>3</v>
      </c>
      <c r="F1224" t="str">
        <f t="shared" si="50"/>
        <v>1.4</v>
      </c>
    </row>
    <row r="1225" spans="1:6" x14ac:dyDescent="0.25">
      <c r="A1225" s="109">
        <v>6335</v>
      </c>
      <c r="B1225" t="s">
        <v>1891</v>
      </c>
      <c r="C1225" t="s">
        <v>686</v>
      </c>
      <c r="D1225" s="110">
        <v>-33</v>
      </c>
      <c r="E1225" t="str">
        <f t="shared" si="49"/>
        <v>3</v>
      </c>
      <c r="F1225" t="str">
        <f t="shared" si="50"/>
        <v>1.4</v>
      </c>
    </row>
    <row r="1226" spans="1:6" x14ac:dyDescent="0.25">
      <c r="A1226" s="109">
        <v>6337</v>
      </c>
      <c r="B1226" t="s">
        <v>1892</v>
      </c>
      <c r="C1226" t="s">
        <v>686</v>
      </c>
      <c r="D1226" s="110">
        <v>-33</v>
      </c>
      <c r="E1226" t="str">
        <f t="shared" si="49"/>
        <v>3</v>
      </c>
      <c r="F1226" t="str">
        <f t="shared" si="50"/>
        <v>1.4</v>
      </c>
    </row>
    <row r="1227" spans="1:6" x14ac:dyDescent="0.25">
      <c r="A1227" s="109">
        <v>6341</v>
      </c>
      <c r="B1227" t="s">
        <v>1893</v>
      </c>
      <c r="C1227" t="s">
        <v>686</v>
      </c>
      <c r="D1227" s="110">
        <v>-33</v>
      </c>
      <c r="E1227" t="str">
        <f t="shared" si="49"/>
        <v>3</v>
      </c>
      <c r="F1227" t="str">
        <f t="shared" si="50"/>
        <v>1.4</v>
      </c>
    </row>
    <row r="1228" spans="1:6" x14ac:dyDescent="0.25">
      <c r="A1228" s="109">
        <v>6343</v>
      </c>
      <c r="B1228" t="s">
        <v>1894</v>
      </c>
      <c r="C1228" t="s">
        <v>686</v>
      </c>
      <c r="D1228" s="110">
        <v>-33</v>
      </c>
      <c r="E1228" t="str">
        <f t="shared" si="49"/>
        <v>3</v>
      </c>
      <c r="F1228" t="str">
        <f t="shared" si="50"/>
        <v>1.4</v>
      </c>
    </row>
    <row r="1229" spans="1:6" x14ac:dyDescent="0.25">
      <c r="A1229" s="109">
        <v>6346</v>
      </c>
      <c r="B1229" t="s">
        <v>1895</v>
      </c>
      <c r="C1229" t="s">
        <v>686</v>
      </c>
      <c r="D1229" s="110">
        <v>-33</v>
      </c>
      <c r="E1229" t="str">
        <f t="shared" si="49"/>
        <v>3</v>
      </c>
      <c r="F1229" t="str">
        <f t="shared" si="50"/>
        <v>1.4</v>
      </c>
    </row>
    <row r="1230" spans="1:6" x14ac:dyDescent="0.25">
      <c r="A1230" s="109">
        <v>6348</v>
      </c>
      <c r="B1230" t="s">
        <v>1896</v>
      </c>
      <c r="C1230" t="s">
        <v>686</v>
      </c>
      <c r="D1230" s="110">
        <v>-33</v>
      </c>
      <c r="E1230" t="str">
        <f t="shared" si="49"/>
        <v>3</v>
      </c>
      <c r="F1230" t="str">
        <f t="shared" si="50"/>
        <v>1.4</v>
      </c>
    </row>
    <row r="1231" spans="1:6" x14ac:dyDescent="0.25">
      <c r="A1231" s="109">
        <v>6350</v>
      </c>
      <c r="B1231" t="s">
        <v>1897</v>
      </c>
      <c r="C1231" t="s">
        <v>686</v>
      </c>
      <c r="D1231" s="110">
        <v>-33</v>
      </c>
      <c r="E1231" t="str">
        <f t="shared" si="49"/>
        <v>3</v>
      </c>
      <c r="F1231" t="str">
        <f t="shared" si="50"/>
        <v>1.4</v>
      </c>
    </row>
    <row r="1232" spans="1:6" x14ac:dyDescent="0.25">
      <c r="A1232" s="109">
        <v>6352</v>
      </c>
      <c r="B1232" t="s">
        <v>1898</v>
      </c>
      <c r="C1232" t="s">
        <v>686</v>
      </c>
      <c r="D1232" s="110">
        <v>-33</v>
      </c>
      <c r="E1232" t="str">
        <f t="shared" si="49"/>
        <v>3</v>
      </c>
      <c r="F1232" t="str">
        <f t="shared" si="50"/>
        <v>1.4</v>
      </c>
    </row>
    <row r="1233" spans="1:6" x14ac:dyDescent="0.25">
      <c r="A1233" s="109">
        <v>6353</v>
      </c>
      <c r="B1233" t="s">
        <v>1899</v>
      </c>
      <c r="C1233" t="s">
        <v>686</v>
      </c>
      <c r="D1233" s="110">
        <v>-33</v>
      </c>
      <c r="E1233" t="str">
        <f t="shared" si="49"/>
        <v>3</v>
      </c>
      <c r="F1233" t="str">
        <f t="shared" si="50"/>
        <v>1.4</v>
      </c>
    </row>
    <row r="1234" spans="1:6" x14ac:dyDescent="0.25">
      <c r="A1234" s="109">
        <v>6355</v>
      </c>
      <c r="B1234" t="s">
        <v>1900</v>
      </c>
      <c r="C1234" t="s">
        <v>686</v>
      </c>
      <c r="D1234" s="110">
        <v>-33</v>
      </c>
      <c r="E1234" t="str">
        <f t="shared" si="49"/>
        <v>3</v>
      </c>
      <c r="F1234" t="str">
        <f t="shared" si="50"/>
        <v>1.4</v>
      </c>
    </row>
    <row r="1235" spans="1:6" x14ac:dyDescent="0.25">
      <c r="A1235" s="109">
        <v>6361</v>
      </c>
      <c r="B1235" t="s">
        <v>1901</v>
      </c>
      <c r="C1235" t="s">
        <v>686</v>
      </c>
      <c r="D1235" s="110">
        <v>-33</v>
      </c>
      <c r="E1235" t="str">
        <f t="shared" si="49"/>
        <v>3</v>
      </c>
      <c r="F1235" t="str">
        <f t="shared" si="50"/>
        <v>1.4</v>
      </c>
    </row>
    <row r="1236" spans="1:6" x14ac:dyDescent="0.25">
      <c r="A1236" s="109">
        <v>6363</v>
      </c>
      <c r="B1236" t="s">
        <v>1902</v>
      </c>
      <c r="C1236" t="s">
        <v>686</v>
      </c>
      <c r="D1236" s="110">
        <v>-33</v>
      </c>
      <c r="E1236" t="str">
        <f t="shared" si="49"/>
        <v>3</v>
      </c>
      <c r="F1236" t="str">
        <f t="shared" si="50"/>
        <v>1.4</v>
      </c>
    </row>
    <row r="1237" spans="1:6" x14ac:dyDescent="0.25">
      <c r="A1237" s="109">
        <v>6392</v>
      </c>
      <c r="B1237" t="s">
        <v>1903</v>
      </c>
      <c r="C1237" t="s">
        <v>686</v>
      </c>
      <c r="D1237" s="110">
        <v>-33</v>
      </c>
      <c r="E1237" t="str">
        <f t="shared" si="49"/>
        <v>3</v>
      </c>
      <c r="F1237" t="str">
        <f t="shared" si="50"/>
        <v>1.4</v>
      </c>
    </row>
    <row r="1238" spans="1:6" x14ac:dyDescent="0.25">
      <c r="A1238" s="109">
        <v>6393</v>
      </c>
      <c r="B1238" t="s">
        <v>1904</v>
      </c>
      <c r="C1238" t="s">
        <v>686</v>
      </c>
      <c r="D1238" s="110">
        <v>-33</v>
      </c>
      <c r="E1238" t="str">
        <f t="shared" si="49"/>
        <v>3</v>
      </c>
      <c r="F1238" t="str">
        <f t="shared" si="50"/>
        <v>1.4</v>
      </c>
    </row>
    <row r="1239" spans="1:6" x14ac:dyDescent="0.25">
      <c r="A1239" s="109">
        <v>6446</v>
      </c>
      <c r="B1239" t="s">
        <v>1905</v>
      </c>
      <c r="C1239" t="s">
        <v>686</v>
      </c>
      <c r="D1239" s="110">
        <v>-33</v>
      </c>
      <c r="E1239" t="str">
        <f t="shared" si="49"/>
        <v>3</v>
      </c>
      <c r="F1239" t="str">
        <f t="shared" si="50"/>
        <v>1.4</v>
      </c>
    </row>
    <row r="1240" spans="1:6" x14ac:dyDescent="0.25">
      <c r="A1240" s="109">
        <v>6448</v>
      </c>
      <c r="B1240" t="s">
        <v>1906</v>
      </c>
      <c r="C1240" t="s">
        <v>686</v>
      </c>
      <c r="D1240" s="110">
        <v>-33</v>
      </c>
      <c r="E1240" t="str">
        <f t="shared" si="49"/>
        <v>3</v>
      </c>
      <c r="F1240" t="str">
        <f t="shared" si="50"/>
        <v>1.4</v>
      </c>
    </row>
    <row r="1241" spans="1:6" x14ac:dyDescent="0.25">
      <c r="A1241" s="109">
        <v>6450</v>
      </c>
      <c r="B1241" t="s">
        <v>1907</v>
      </c>
      <c r="C1241" t="s">
        <v>686</v>
      </c>
      <c r="D1241" s="110">
        <v>-33</v>
      </c>
      <c r="E1241" t="str">
        <f t="shared" si="49"/>
        <v>3</v>
      </c>
      <c r="F1241" t="str">
        <f t="shared" si="50"/>
        <v>1.4</v>
      </c>
    </row>
    <row r="1242" spans="1:6" x14ac:dyDescent="0.25">
      <c r="A1242" s="109">
        <v>2224</v>
      </c>
      <c r="B1242" t="s">
        <v>1908</v>
      </c>
      <c r="C1242" t="s">
        <v>1113</v>
      </c>
      <c r="D1242" s="110">
        <v>-34</v>
      </c>
      <c r="E1242" t="str">
        <f t="shared" si="49"/>
        <v>3</v>
      </c>
      <c r="F1242" t="str">
        <f t="shared" si="50"/>
        <v>1.4</v>
      </c>
    </row>
    <row r="1243" spans="1:6" x14ac:dyDescent="0.25">
      <c r="A1243" s="109">
        <v>2226</v>
      </c>
      <c r="B1243" t="s">
        <v>1909</v>
      </c>
      <c r="C1243" t="s">
        <v>1113</v>
      </c>
      <c r="D1243" s="110">
        <v>-34</v>
      </c>
      <c r="E1243" t="str">
        <f t="shared" si="49"/>
        <v>3</v>
      </c>
      <c r="F1243" t="str">
        <f t="shared" si="50"/>
        <v>1.4</v>
      </c>
    </row>
    <row r="1244" spans="1:6" x14ac:dyDescent="0.25">
      <c r="A1244" s="109">
        <v>2227</v>
      </c>
      <c r="B1244" t="s">
        <v>1910</v>
      </c>
      <c r="C1244" t="s">
        <v>1113</v>
      </c>
      <c r="D1244" s="110">
        <v>-34</v>
      </c>
      <c r="E1244" t="str">
        <f t="shared" si="49"/>
        <v>3</v>
      </c>
      <c r="F1244" t="str">
        <f t="shared" si="50"/>
        <v>1.4</v>
      </c>
    </row>
    <row r="1245" spans="1:6" x14ac:dyDescent="0.25">
      <c r="A1245" s="109">
        <v>2228</v>
      </c>
      <c r="B1245" t="s">
        <v>1911</v>
      </c>
      <c r="C1245" t="s">
        <v>1113</v>
      </c>
      <c r="D1245" s="110">
        <v>-34</v>
      </c>
      <c r="E1245" t="str">
        <f t="shared" si="49"/>
        <v>3</v>
      </c>
      <c r="F1245" t="str">
        <f t="shared" si="50"/>
        <v>1.4</v>
      </c>
    </row>
    <row r="1246" spans="1:6" x14ac:dyDescent="0.25">
      <c r="A1246" s="109">
        <v>2229</v>
      </c>
      <c r="B1246" t="s">
        <v>1912</v>
      </c>
      <c r="C1246" t="s">
        <v>1113</v>
      </c>
      <c r="D1246" s="110">
        <v>-34</v>
      </c>
      <c r="E1246" t="str">
        <f t="shared" si="49"/>
        <v>3</v>
      </c>
      <c r="F1246" t="str">
        <f t="shared" si="50"/>
        <v>1.4</v>
      </c>
    </row>
    <row r="1247" spans="1:6" x14ac:dyDescent="0.25">
      <c r="A1247" s="109">
        <v>2230</v>
      </c>
      <c r="B1247" t="s">
        <v>1913</v>
      </c>
      <c r="C1247" t="s">
        <v>1113</v>
      </c>
      <c r="D1247" s="110">
        <v>-34</v>
      </c>
      <c r="E1247" t="str">
        <f t="shared" si="49"/>
        <v>3</v>
      </c>
      <c r="F1247" t="str">
        <f t="shared" si="50"/>
        <v>1.4</v>
      </c>
    </row>
    <row r="1248" spans="1:6" x14ac:dyDescent="0.25">
      <c r="A1248" s="109">
        <v>2231</v>
      </c>
      <c r="B1248" t="s">
        <v>1914</v>
      </c>
      <c r="C1248" t="s">
        <v>1113</v>
      </c>
      <c r="D1248" s="110">
        <v>-34</v>
      </c>
      <c r="E1248" t="str">
        <f t="shared" si="49"/>
        <v>3</v>
      </c>
      <c r="F1248" t="str">
        <f t="shared" si="50"/>
        <v>1.4</v>
      </c>
    </row>
    <row r="1249" spans="1:6" x14ac:dyDescent="0.25">
      <c r="A1249" s="109">
        <v>2232</v>
      </c>
      <c r="B1249" t="s">
        <v>1915</v>
      </c>
      <c r="C1249" t="s">
        <v>1113</v>
      </c>
      <c r="D1249" s="110">
        <v>-34</v>
      </c>
      <c r="E1249" t="str">
        <f t="shared" si="49"/>
        <v>3</v>
      </c>
      <c r="F1249" t="str">
        <f t="shared" si="50"/>
        <v>1.4</v>
      </c>
    </row>
    <row r="1250" spans="1:6" x14ac:dyDescent="0.25">
      <c r="A1250" s="109">
        <v>2233</v>
      </c>
      <c r="B1250" t="s">
        <v>1916</v>
      </c>
      <c r="C1250" t="s">
        <v>1113</v>
      </c>
      <c r="D1250" s="110">
        <v>-34</v>
      </c>
      <c r="E1250" t="str">
        <f t="shared" si="49"/>
        <v>3</v>
      </c>
      <c r="F1250" t="str">
        <f t="shared" si="50"/>
        <v>1.4</v>
      </c>
    </row>
    <row r="1251" spans="1:6" x14ac:dyDescent="0.25">
      <c r="A1251" s="109">
        <v>2234</v>
      </c>
      <c r="B1251" t="s">
        <v>1917</v>
      </c>
      <c r="C1251" t="s">
        <v>1113</v>
      </c>
      <c r="D1251" s="110">
        <v>-34</v>
      </c>
      <c r="E1251" t="str">
        <f t="shared" si="49"/>
        <v>3</v>
      </c>
      <c r="F1251" t="str">
        <f t="shared" si="50"/>
        <v>1.4</v>
      </c>
    </row>
    <row r="1252" spans="1:6" x14ac:dyDescent="0.25">
      <c r="A1252" s="109">
        <v>2500</v>
      </c>
      <c r="B1252" t="s">
        <v>1918</v>
      </c>
      <c r="C1252" t="s">
        <v>1113</v>
      </c>
      <c r="D1252" s="110">
        <v>-34</v>
      </c>
      <c r="E1252" t="str">
        <f t="shared" ref="E1252:E1315" si="51">IF(D1252&lt;-34,"4",IF(D1252&lt;-26,"3",IF(D1252&lt;-18,"2",IF(D1252&lt;-8,"1","lits"))))</f>
        <v>3</v>
      </c>
      <c r="F1252" t="str">
        <f t="shared" si="50"/>
        <v>1.4</v>
      </c>
    </row>
    <row r="1253" spans="1:6" x14ac:dyDescent="0.25">
      <c r="A1253" s="109">
        <v>2502</v>
      </c>
      <c r="B1253" t="s">
        <v>1919</v>
      </c>
      <c r="C1253" t="s">
        <v>1113</v>
      </c>
      <c r="D1253" s="110">
        <v>-34</v>
      </c>
      <c r="E1253" t="str">
        <f t="shared" si="51"/>
        <v>3</v>
      </c>
      <c r="F1253" t="str">
        <f t="shared" si="50"/>
        <v>1.4</v>
      </c>
    </row>
    <row r="1254" spans="1:6" x14ac:dyDescent="0.25">
      <c r="A1254" s="109">
        <v>2505</v>
      </c>
      <c r="B1254" t="s">
        <v>1920</v>
      </c>
      <c r="C1254" t="s">
        <v>1113</v>
      </c>
      <c r="D1254" s="110">
        <v>-34</v>
      </c>
      <c r="E1254" t="str">
        <f t="shared" si="51"/>
        <v>3</v>
      </c>
      <c r="F1254" t="str">
        <f t="shared" si="50"/>
        <v>1.4</v>
      </c>
    </row>
    <row r="1255" spans="1:6" x14ac:dyDescent="0.25">
      <c r="A1255" s="109">
        <v>2506</v>
      </c>
      <c r="B1255" t="s">
        <v>1921</v>
      </c>
      <c r="C1255" t="s">
        <v>1113</v>
      </c>
      <c r="D1255" s="110">
        <v>-34</v>
      </c>
      <c r="E1255" t="str">
        <f t="shared" si="51"/>
        <v>3</v>
      </c>
      <c r="F1255" t="str">
        <f t="shared" si="50"/>
        <v>1.4</v>
      </c>
    </row>
    <row r="1256" spans="1:6" x14ac:dyDescent="0.25">
      <c r="A1256" s="109">
        <v>2508</v>
      </c>
      <c r="B1256" t="s">
        <v>1922</v>
      </c>
      <c r="C1256" t="s">
        <v>1113</v>
      </c>
      <c r="D1256" s="110">
        <v>-34</v>
      </c>
      <c r="E1256" t="str">
        <f t="shared" si="51"/>
        <v>3</v>
      </c>
      <c r="F1256" t="str">
        <f t="shared" si="50"/>
        <v>1.4</v>
      </c>
    </row>
    <row r="1257" spans="1:6" x14ac:dyDescent="0.25">
      <c r="A1257" s="109">
        <v>2515</v>
      </c>
      <c r="B1257" t="s">
        <v>1923</v>
      </c>
      <c r="C1257" t="s">
        <v>1113</v>
      </c>
      <c r="D1257" s="110">
        <v>-34</v>
      </c>
      <c r="E1257" t="str">
        <f t="shared" si="51"/>
        <v>3</v>
      </c>
      <c r="F1257" t="str">
        <f t="shared" si="50"/>
        <v>1.4</v>
      </c>
    </row>
    <row r="1258" spans="1:6" x14ac:dyDescent="0.25">
      <c r="A1258" s="109">
        <v>2516</v>
      </c>
      <c r="B1258" t="s">
        <v>1924</v>
      </c>
      <c r="C1258" t="s">
        <v>1113</v>
      </c>
      <c r="D1258" s="110">
        <v>-34</v>
      </c>
      <c r="E1258" t="str">
        <f t="shared" si="51"/>
        <v>3</v>
      </c>
      <c r="F1258" t="str">
        <f t="shared" si="50"/>
        <v>1.4</v>
      </c>
    </row>
    <row r="1259" spans="1:6" x14ac:dyDescent="0.25">
      <c r="A1259" s="109">
        <v>2517</v>
      </c>
      <c r="B1259" t="s">
        <v>1925</v>
      </c>
      <c r="C1259" t="s">
        <v>1113</v>
      </c>
      <c r="D1259" s="110">
        <v>-34</v>
      </c>
      <c r="E1259" t="str">
        <f t="shared" si="51"/>
        <v>3</v>
      </c>
      <c r="F1259" t="str">
        <f t="shared" si="50"/>
        <v>1.4</v>
      </c>
    </row>
    <row r="1260" spans="1:6" x14ac:dyDescent="0.25">
      <c r="A1260" s="109">
        <v>2518</v>
      </c>
      <c r="B1260" t="s">
        <v>1926</v>
      </c>
      <c r="C1260" t="s">
        <v>1113</v>
      </c>
      <c r="D1260" s="110">
        <v>-34</v>
      </c>
      <c r="E1260" t="str">
        <f t="shared" si="51"/>
        <v>3</v>
      </c>
      <c r="F1260" t="str">
        <f t="shared" si="50"/>
        <v>1.4</v>
      </c>
    </row>
    <row r="1261" spans="1:6" x14ac:dyDescent="0.25">
      <c r="A1261" s="109">
        <v>2519</v>
      </c>
      <c r="B1261" t="s">
        <v>1927</v>
      </c>
      <c r="C1261" t="s">
        <v>1113</v>
      </c>
      <c r="D1261" s="110">
        <v>-34</v>
      </c>
      <c r="E1261" t="str">
        <f t="shared" si="51"/>
        <v>3</v>
      </c>
      <c r="F1261" t="str">
        <f t="shared" si="50"/>
        <v>1.4</v>
      </c>
    </row>
    <row r="1262" spans="1:6" x14ac:dyDescent="0.25">
      <c r="A1262" s="109">
        <v>2525</v>
      </c>
      <c r="B1262" t="s">
        <v>1928</v>
      </c>
      <c r="C1262" t="s">
        <v>1113</v>
      </c>
      <c r="D1262" s="110">
        <v>-34</v>
      </c>
      <c r="E1262" t="str">
        <f t="shared" si="51"/>
        <v>3</v>
      </c>
      <c r="F1262" t="str">
        <f t="shared" si="50"/>
        <v>1.4</v>
      </c>
    </row>
    <row r="1263" spans="1:6" x14ac:dyDescent="0.25">
      <c r="A1263" s="109">
        <v>2527</v>
      </c>
      <c r="B1263" t="s">
        <v>1929</v>
      </c>
      <c r="C1263" t="s">
        <v>1113</v>
      </c>
      <c r="D1263" s="110">
        <v>-34</v>
      </c>
      <c r="E1263" t="str">
        <f t="shared" si="51"/>
        <v>3</v>
      </c>
      <c r="F1263" t="str">
        <f t="shared" si="50"/>
        <v>1.4</v>
      </c>
    </row>
    <row r="1264" spans="1:6" x14ac:dyDescent="0.25">
      <c r="A1264" s="109">
        <v>2528</v>
      </c>
      <c r="B1264" t="s">
        <v>1930</v>
      </c>
      <c r="C1264" t="s">
        <v>1113</v>
      </c>
      <c r="D1264" s="110">
        <v>-34</v>
      </c>
      <c r="E1264" t="str">
        <f t="shared" si="51"/>
        <v>3</v>
      </c>
      <c r="F1264" t="str">
        <f t="shared" si="50"/>
        <v>1.4</v>
      </c>
    </row>
    <row r="1265" spans="1:6" x14ac:dyDescent="0.25">
      <c r="A1265" s="109">
        <v>2529</v>
      </c>
      <c r="B1265" t="s">
        <v>1931</v>
      </c>
      <c r="C1265" t="s">
        <v>1113</v>
      </c>
      <c r="D1265" s="111">
        <v>-34</v>
      </c>
      <c r="E1265" t="str">
        <f t="shared" si="51"/>
        <v>3</v>
      </c>
      <c r="F1265" t="str">
        <f t="shared" si="50"/>
        <v>1.4</v>
      </c>
    </row>
    <row r="1266" spans="1:6" x14ac:dyDescent="0.25">
      <c r="A1266" s="109">
        <v>2534</v>
      </c>
      <c r="B1266" t="s">
        <v>1932</v>
      </c>
      <c r="C1266" t="s">
        <v>1113</v>
      </c>
      <c r="D1266" s="110">
        <v>-34</v>
      </c>
      <c r="E1266" t="str">
        <f t="shared" si="51"/>
        <v>3</v>
      </c>
      <c r="F1266" t="str">
        <f t="shared" si="50"/>
        <v>1.4</v>
      </c>
    </row>
    <row r="1267" spans="1:6" x14ac:dyDescent="0.25">
      <c r="A1267" s="109">
        <v>2535</v>
      </c>
      <c r="B1267" t="s">
        <v>1933</v>
      </c>
      <c r="C1267" t="s">
        <v>1113</v>
      </c>
      <c r="D1267" s="110">
        <v>-34</v>
      </c>
      <c r="E1267" t="str">
        <f t="shared" si="51"/>
        <v>3</v>
      </c>
      <c r="F1267" t="str">
        <f t="shared" si="50"/>
        <v>1.4</v>
      </c>
    </row>
    <row r="1268" spans="1:6" x14ac:dyDescent="0.25">
      <c r="A1268" s="109">
        <v>2540</v>
      </c>
      <c r="B1268" t="s">
        <v>1934</v>
      </c>
      <c r="C1268" t="s">
        <v>1113</v>
      </c>
      <c r="D1268" s="110">
        <v>-34</v>
      </c>
      <c r="E1268" t="str">
        <f t="shared" si="51"/>
        <v>3</v>
      </c>
      <c r="F1268" t="str">
        <f t="shared" si="50"/>
        <v>1.4</v>
      </c>
    </row>
    <row r="1269" spans="1:6" x14ac:dyDescent="0.25">
      <c r="A1269" s="109">
        <v>2558</v>
      </c>
      <c r="B1269" t="s">
        <v>1935</v>
      </c>
      <c r="C1269" t="s">
        <v>1113</v>
      </c>
      <c r="D1269" s="110">
        <v>-34</v>
      </c>
      <c r="E1269" t="str">
        <f t="shared" si="51"/>
        <v>3</v>
      </c>
      <c r="F1269" t="str">
        <f t="shared" si="50"/>
        <v>1.4</v>
      </c>
    </row>
    <row r="1270" spans="1:6" x14ac:dyDescent="0.25">
      <c r="A1270" s="109">
        <v>2559</v>
      </c>
      <c r="B1270" t="s">
        <v>1936</v>
      </c>
      <c r="C1270" t="s">
        <v>1113</v>
      </c>
      <c r="D1270" s="110">
        <v>-34</v>
      </c>
      <c r="E1270" t="str">
        <f t="shared" si="51"/>
        <v>3</v>
      </c>
      <c r="F1270" t="str">
        <f t="shared" si="50"/>
        <v>1.4</v>
      </c>
    </row>
    <row r="1271" spans="1:6" x14ac:dyDescent="0.25">
      <c r="A1271" s="109">
        <v>2560</v>
      </c>
      <c r="B1271" t="s">
        <v>1937</v>
      </c>
      <c r="C1271" t="s">
        <v>1113</v>
      </c>
      <c r="D1271" s="110">
        <v>-34</v>
      </c>
      <c r="E1271" t="str">
        <f t="shared" si="51"/>
        <v>3</v>
      </c>
      <c r="F1271" t="str">
        <f t="shared" si="50"/>
        <v>1.4</v>
      </c>
    </row>
    <row r="1272" spans="1:6" x14ac:dyDescent="0.25">
      <c r="A1272" s="109">
        <v>2563</v>
      </c>
      <c r="B1272" t="s">
        <v>1938</v>
      </c>
      <c r="C1272" t="s">
        <v>1113</v>
      </c>
      <c r="D1272" s="110">
        <v>-34</v>
      </c>
      <c r="E1272" t="str">
        <f t="shared" si="51"/>
        <v>3</v>
      </c>
      <c r="F1272" t="str">
        <f t="shared" si="50"/>
        <v>1.4</v>
      </c>
    </row>
    <row r="1273" spans="1:6" x14ac:dyDescent="0.25">
      <c r="A1273" s="109">
        <v>2566</v>
      </c>
      <c r="B1273" t="s">
        <v>1939</v>
      </c>
      <c r="C1273" t="s">
        <v>1113</v>
      </c>
      <c r="D1273" s="110">
        <v>-34</v>
      </c>
      <c r="E1273" t="str">
        <f t="shared" si="51"/>
        <v>3</v>
      </c>
      <c r="F1273" t="str">
        <f t="shared" si="50"/>
        <v>1.4</v>
      </c>
    </row>
    <row r="1274" spans="1:6" x14ac:dyDescent="0.25">
      <c r="A1274" s="109">
        <v>2567</v>
      </c>
      <c r="B1274" t="s">
        <v>1940</v>
      </c>
      <c r="C1274" t="s">
        <v>1113</v>
      </c>
      <c r="D1274" s="110">
        <v>-34</v>
      </c>
      <c r="E1274" t="str">
        <f t="shared" si="51"/>
        <v>3</v>
      </c>
      <c r="F1274" t="str">
        <f t="shared" si="50"/>
        <v>1.4</v>
      </c>
    </row>
    <row r="1275" spans="1:6" x14ac:dyDescent="0.25">
      <c r="A1275" s="109">
        <v>2568</v>
      </c>
      <c r="B1275" t="s">
        <v>1941</v>
      </c>
      <c r="C1275" t="s">
        <v>1113</v>
      </c>
      <c r="D1275" s="110">
        <v>-34</v>
      </c>
      <c r="E1275" t="str">
        <f t="shared" si="51"/>
        <v>3</v>
      </c>
      <c r="F1275" t="str">
        <f t="shared" si="50"/>
        <v>1.4</v>
      </c>
    </row>
    <row r="1276" spans="1:6" x14ac:dyDescent="0.25">
      <c r="A1276" s="109">
        <v>2569</v>
      </c>
      <c r="B1276" t="s">
        <v>1942</v>
      </c>
      <c r="C1276" t="s">
        <v>1113</v>
      </c>
      <c r="D1276" s="110">
        <v>-34</v>
      </c>
      <c r="E1276" t="str">
        <f t="shared" si="51"/>
        <v>3</v>
      </c>
      <c r="F1276" t="str">
        <f t="shared" si="50"/>
        <v>1.4</v>
      </c>
    </row>
    <row r="1277" spans="1:6" x14ac:dyDescent="0.25">
      <c r="A1277" s="109">
        <v>2570</v>
      </c>
      <c r="B1277" t="s">
        <v>1943</v>
      </c>
      <c r="C1277" t="s">
        <v>1113</v>
      </c>
      <c r="D1277" s="110">
        <v>-34</v>
      </c>
      <c r="E1277" t="str">
        <f t="shared" si="51"/>
        <v>3</v>
      </c>
      <c r="F1277" t="str">
        <f t="shared" si="50"/>
        <v>1.4</v>
      </c>
    </row>
    <row r="1278" spans="1:6" x14ac:dyDescent="0.25">
      <c r="A1278" s="109">
        <v>2571</v>
      </c>
      <c r="B1278" t="s">
        <v>1944</v>
      </c>
      <c r="C1278" t="s">
        <v>1113</v>
      </c>
      <c r="D1278" s="110">
        <v>-34</v>
      </c>
      <c r="E1278" t="str">
        <f t="shared" si="51"/>
        <v>3</v>
      </c>
      <c r="F1278" t="str">
        <f t="shared" si="50"/>
        <v>1.4</v>
      </c>
    </row>
    <row r="1279" spans="1:6" x14ac:dyDescent="0.25">
      <c r="A1279" s="109">
        <v>2573</v>
      </c>
      <c r="B1279" t="s">
        <v>1945</v>
      </c>
      <c r="C1279" t="s">
        <v>1113</v>
      </c>
      <c r="D1279" s="110">
        <v>-34</v>
      </c>
      <c r="E1279" t="str">
        <f t="shared" si="51"/>
        <v>3</v>
      </c>
      <c r="F1279" t="str">
        <f t="shared" si="50"/>
        <v>1.4</v>
      </c>
    </row>
    <row r="1280" spans="1:6" x14ac:dyDescent="0.25">
      <c r="A1280" s="109">
        <v>2574</v>
      </c>
      <c r="B1280" t="s">
        <v>1946</v>
      </c>
      <c r="C1280" t="s">
        <v>1113</v>
      </c>
      <c r="D1280" s="110">
        <v>-34</v>
      </c>
      <c r="E1280" t="str">
        <f t="shared" si="51"/>
        <v>3</v>
      </c>
      <c r="F1280" t="str">
        <f t="shared" si="50"/>
        <v>1.4</v>
      </c>
    </row>
    <row r="1281" spans="1:6" x14ac:dyDescent="0.25">
      <c r="A1281" s="109">
        <v>2575</v>
      </c>
      <c r="B1281" t="s">
        <v>1947</v>
      </c>
      <c r="C1281" t="s">
        <v>1113</v>
      </c>
      <c r="D1281" s="110">
        <v>-34</v>
      </c>
      <c r="E1281" t="str">
        <f t="shared" si="51"/>
        <v>3</v>
      </c>
      <c r="F1281" t="str">
        <f t="shared" si="50"/>
        <v>1.4</v>
      </c>
    </row>
    <row r="1282" spans="1:6" x14ac:dyDescent="0.25">
      <c r="A1282" s="109">
        <v>2576</v>
      </c>
      <c r="B1282" t="s">
        <v>1948</v>
      </c>
      <c r="C1282" t="s">
        <v>1113</v>
      </c>
      <c r="D1282" s="110">
        <v>-34</v>
      </c>
      <c r="E1282" t="str">
        <f t="shared" si="51"/>
        <v>3</v>
      </c>
      <c r="F1282" t="str">
        <f t="shared" si="50"/>
        <v>1.4</v>
      </c>
    </row>
    <row r="1283" spans="1:6" x14ac:dyDescent="0.25">
      <c r="A1283" s="109">
        <v>2577</v>
      </c>
      <c r="B1283" t="s">
        <v>1949</v>
      </c>
      <c r="C1283" t="s">
        <v>1113</v>
      </c>
      <c r="D1283" s="110">
        <v>-34</v>
      </c>
      <c r="E1283" t="str">
        <f t="shared" si="51"/>
        <v>3</v>
      </c>
      <c r="F1283" t="str">
        <f t="shared" ref="F1283:F1346" si="52">IF(D1283&lt;-34,"1.6",IF(D1283&lt;-26,"1.4",IF(D1283&lt;-18,"1.2",IF(D1283&lt;-8,"1","lits"))))</f>
        <v>1.4</v>
      </c>
    </row>
    <row r="1284" spans="1:6" x14ac:dyDescent="0.25">
      <c r="A1284" s="109">
        <v>2578</v>
      </c>
      <c r="B1284" t="s">
        <v>1950</v>
      </c>
      <c r="C1284" t="s">
        <v>1113</v>
      </c>
      <c r="D1284" s="110">
        <v>-34</v>
      </c>
      <c r="E1284" t="str">
        <f t="shared" si="51"/>
        <v>3</v>
      </c>
      <c r="F1284" t="str">
        <f t="shared" si="52"/>
        <v>1.4</v>
      </c>
    </row>
    <row r="1285" spans="1:6" x14ac:dyDescent="0.25">
      <c r="A1285" s="109">
        <v>2579</v>
      </c>
      <c r="B1285" t="s">
        <v>1951</v>
      </c>
      <c r="C1285" t="s">
        <v>1113</v>
      </c>
      <c r="D1285" s="110">
        <v>-34</v>
      </c>
      <c r="E1285" t="str">
        <f t="shared" si="51"/>
        <v>3</v>
      </c>
      <c r="F1285" t="str">
        <f t="shared" si="52"/>
        <v>1.4</v>
      </c>
    </row>
    <row r="1286" spans="1:6" x14ac:dyDescent="0.25">
      <c r="A1286" s="109">
        <v>2580</v>
      </c>
      <c r="B1286" t="s">
        <v>1952</v>
      </c>
      <c r="C1286" t="s">
        <v>1113</v>
      </c>
      <c r="D1286" s="110">
        <v>-34</v>
      </c>
      <c r="E1286" t="str">
        <f t="shared" si="51"/>
        <v>3</v>
      </c>
      <c r="F1286" t="str">
        <f t="shared" si="52"/>
        <v>1.4</v>
      </c>
    </row>
    <row r="1287" spans="1:6" x14ac:dyDescent="0.25">
      <c r="A1287" s="109">
        <v>2581</v>
      </c>
      <c r="B1287" t="s">
        <v>1953</v>
      </c>
      <c r="C1287" t="s">
        <v>1113</v>
      </c>
      <c r="D1287" s="110">
        <v>-34</v>
      </c>
      <c r="E1287" t="str">
        <f t="shared" si="51"/>
        <v>3</v>
      </c>
      <c r="F1287" t="str">
        <f t="shared" si="52"/>
        <v>1.4</v>
      </c>
    </row>
    <row r="1288" spans="1:6" x14ac:dyDescent="0.25">
      <c r="A1288" s="109">
        <v>2582</v>
      </c>
      <c r="B1288" t="s">
        <v>1954</v>
      </c>
      <c r="C1288" t="s">
        <v>1113</v>
      </c>
      <c r="D1288" s="110">
        <v>-34</v>
      </c>
      <c r="E1288" t="str">
        <f t="shared" si="51"/>
        <v>3</v>
      </c>
      <c r="F1288" t="str">
        <f t="shared" si="52"/>
        <v>1.4</v>
      </c>
    </row>
    <row r="1289" spans="1:6" x14ac:dyDescent="0.25">
      <c r="A1289" s="109">
        <v>2583</v>
      </c>
      <c r="B1289" t="s">
        <v>1955</v>
      </c>
      <c r="C1289" t="s">
        <v>1113</v>
      </c>
      <c r="D1289" s="110">
        <v>-34</v>
      </c>
      <c r="E1289" t="str">
        <f t="shared" si="51"/>
        <v>3</v>
      </c>
      <c r="F1289" t="str">
        <f t="shared" si="52"/>
        <v>1.4</v>
      </c>
    </row>
    <row r="1290" spans="1:6" x14ac:dyDescent="0.25">
      <c r="A1290" s="109">
        <v>2584</v>
      </c>
      <c r="B1290" t="s">
        <v>1956</v>
      </c>
      <c r="C1290" t="s">
        <v>1113</v>
      </c>
      <c r="D1290" s="110">
        <v>-34</v>
      </c>
      <c r="E1290" t="str">
        <f t="shared" si="51"/>
        <v>3</v>
      </c>
      <c r="F1290" t="str">
        <f t="shared" si="52"/>
        <v>1.4</v>
      </c>
    </row>
    <row r="1291" spans="1:6" x14ac:dyDescent="0.25">
      <c r="A1291" s="109">
        <v>2585</v>
      </c>
      <c r="B1291" t="s">
        <v>1957</v>
      </c>
      <c r="C1291" t="s">
        <v>1113</v>
      </c>
      <c r="D1291" s="110">
        <v>-34</v>
      </c>
      <c r="E1291" t="str">
        <f t="shared" si="51"/>
        <v>3</v>
      </c>
      <c r="F1291" t="str">
        <f t="shared" si="52"/>
        <v>1.4</v>
      </c>
    </row>
    <row r="1292" spans="1:6" x14ac:dyDescent="0.25">
      <c r="A1292" s="109">
        <v>2586</v>
      </c>
      <c r="B1292" t="s">
        <v>1958</v>
      </c>
      <c r="C1292" t="s">
        <v>1113</v>
      </c>
      <c r="D1292" s="110">
        <v>-34</v>
      </c>
      <c r="E1292" t="str">
        <f t="shared" si="51"/>
        <v>3</v>
      </c>
      <c r="F1292" t="str">
        <f t="shared" si="52"/>
        <v>1.4</v>
      </c>
    </row>
    <row r="1293" spans="1:6" x14ac:dyDescent="0.25">
      <c r="A1293" s="109">
        <v>2587</v>
      </c>
      <c r="B1293" t="s">
        <v>1959</v>
      </c>
      <c r="C1293" t="s">
        <v>1113</v>
      </c>
      <c r="D1293" s="110">
        <v>-34</v>
      </c>
      <c r="E1293" t="str">
        <f t="shared" si="51"/>
        <v>3</v>
      </c>
      <c r="F1293" t="str">
        <f t="shared" si="52"/>
        <v>1.4</v>
      </c>
    </row>
    <row r="1294" spans="1:6" x14ac:dyDescent="0.25">
      <c r="A1294" s="109">
        <v>2588</v>
      </c>
      <c r="B1294" t="s">
        <v>1960</v>
      </c>
      <c r="C1294" t="s">
        <v>1113</v>
      </c>
      <c r="D1294" s="110">
        <v>-34</v>
      </c>
      <c r="E1294" t="str">
        <f t="shared" si="51"/>
        <v>3</v>
      </c>
      <c r="F1294" t="str">
        <f t="shared" si="52"/>
        <v>1.4</v>
      </c>
    </row>
    <row r="1295" spans="1:6" x14ac:dyDescent="0.25">
      <c r="A1295" s="109">
        <v>2590</v>
      </c>
      <c r="B1295" t="s">
        <v>1961</v>
      </c>
      <c r="C1295" t="s">
        <v>1113</v>
      </c>
      <c r="D1295" s="110">
        <v>-34</v>
      </c>
      <c r="E1295" t="str">
        <f t="shared" si="51"/>
        <v>3</v>
      </c>
      <c r="F1295" t="str">
        <f t="shared" si="52"/>
        <v>1.4</v>
      </c>
    </row>
    <row r="1296" spans="1:6" x14ac:dyDescent="0.25">
      <c r="A1296" s="109">
        <v>2594</v>
      </c>
      <c r="B1296" t="s">
        <v>1962</v>
      </c>
      <c r="C1296" t="s">
        <v>1113</v>
      </c>
      <c r="D1296" s="110">
        <v>-34</v>
      </c>
      <c r="E1296" t="str">
        <f t="shared" si="51"/>
        <v>3</v>
      </c>
      <c r="F1296" t="str">
        <f t="shared" si="52"/>
        <v>1.4</v>
      </c>
    </row>
    <row r="1297" spans="1:6" x14ac:dyDescent="0.25">
      <c r="A1297" s="109">
        <v>2663</v>
      </c>
      <c r="B1297" t="s">
        <v>1963</v>
      </c>
      <c r="C1297" t="s">
        <v>1113</v>
      </c>
      <c r="D1297" s="110">
        <v>-34</v>
      </c>
      <c r="E1297" t="str">
        <f t="shared" si="51"/>
        <v>3</v>
      </c>
      <c r="F1297" t="str">
        <f t="shared" si="52"/>
        <v>1.4</v>
      </c>
    </row>
    <row r="1298" spans="1:6" x14ac:dyDescent="0.25">
      <c r="A1298" s="109">
        <v>2665</v>
      </c>
      <c r="B1298" t="s">
        <v>1964</v>
      </c>
      <c r="C1298" t="s">
        <v>1113</v>
      </c>
      <c r="D1298" s="110">
        <v>-34</v>
      </c>
      <c r="E1298" t="str">
        <f t="shared" si="51"/>
        <v>3</v>
      </c>
      <c r="F1298" t="str">
        <f t="shared" si="52"/>
        <v>1.4</v>
      </c>
    </row>
    <row r="1299" spans="1:6" x14ac:dyDescent="0.25">
      <c r="A1299" s="109">
        <v>2666</v>
      </c>
      <c r="B1299" t="s">
        <v>1965</v>
      </c>
      <c r="C1299" t="s">
        <v>1113</v>
      </c>
      <c r="D1299" s="110">
        <v>-34</v>
      </c>
      <c r="E1299" t="str">
        <f t="shared" si="51"/>
        <v>3</v>
      </c>
      <c r="F1299" t="str">
        <f t="shared" si="52"/>
        <v>1.4</v>
      </c>
    </row>
    <row r="1300" spans="1:6" x14ac:dyDescent="0.25">
      <c r="A1300" s="109">
        <v>2668</v>
      </c>
      <c r="B1300" t="s">
        <v>1966</v>
      </c>
      <c r="C1300" t="s">
        <v>1113</v>
      </c>
      <c r="D1300" s="110">
        <v>-34</v>
      </c>
      <c r="E1300" t="str">
        <f t="shared" si="51"/>
        <v>3</v>
      </c>
      <c r="F1300" t="str">
        <f t="shared" si="52"/>
        <v>1.4</v>
      </c>
    </row>
    <row r="1301" spans="1:6" x14ac:dyDescent="0.25">
      <c r="A1301" s="109">
        <v>2680</v>
      </c>
      <c r="B1301" t="s">
        <v>1967</v>
      </c>
      <c r="C1301" t="s">
        <v>1113</v>
      </c>
      <c r="D1301" s="110">
        <v>-34</v>
      </c>
      <c r="E1301" t="str">
        <f t="shared" si="51"/>
        <v>3</v>
      </c>
      <c r="F1301" t="str">
        <f t="shared" si="52"/>
        <v>1.4</v>
      </c>
    </row>
    <row r="1302" spans="1:6" x14ac:dyDescent="0.25">
      <c r="A1302" s="109">
        <v>2681</v>
      </c>
      <c r="B1302" t="s">
        <v>1968</v>
      </c>
      <c r="C1302" t="s">
        <v>1113</v>
      </c>
      <c r="D1302" s="110">
        <v>-34</v>
      </c>
      <c r="E1302" t="str">
        <f t="shared" si="51"/>
        <v>3</v>
      </c>
      <c r="F1302" t="str">
        <f t="shared" si="52"/>
        <v>1.4</v>
      </c>
    </row>
    <row r="1303" spans="1:6" x14ac:dyDescent="0.25">
      <c r="A1303" s="109">
        <v>2700</v>
      </c>
      <c r="B1303" t="s">
        <v>1969</v>
      </c>
      <c r="C1303" t="s">
        <v>1113</v>
      </c>
      <c r="D1303" s="110">
        <v>-34</v>
      </c>
      <c r="E1303" t="str">
        <f t="shared" si="51"/>
        <v>3</v>
      </c>
      <c r="F1303" t="str">
        <f t="shared" si="52"/>
        <v>1.4</v>
      </c>
    </row>
    <row r="1304" spans="1:6" x14ac:dyDescent="0.25">
      <c r="A1304" s="109">
        <v>2701</v>
      </c>
      <c r="B1304" t="s">
        <v>1970</v>
      </c>
      <c r="C1304" t="s">
        <v>1113</v>
      </c>
      <c r="D1304" s="110">
        <v>-34</v>
      </c>
      <c r="E1304" t="str">
        <f t="shared" si="51"/>
        <v>3</v>
      </c>
      <c r="F1304" t="str">
        <f t="shared" si="52"/>
        <v>1.4</v>
      </c>
    </row>
    <row r="1305" spans="1:6" x14ac:dyDescent="0.25">
      <c r="A1305" s="109">
        <v>2702</v>
      </c>
      <c r="B1305" t="s">
        <v>1971</v>
      </c>
      <c r="C1305" t="s">
        <v>1113</v>
      </c>
      <c r="D1305" s="110">
        <v>-34</v>
      </c>
      <c r="E1305" t="str">
        <f t="shared" si="51"/>
        <v>3</v>
      </c>
      <c r="F1305" t="str">
        <f t="shared" si="52"/>
        <v>1.4</v>
      </c>
    </row>
    <row r="1306" spans="1:6" x14ac:dyDescent="0.25">
      <c r="A1306" s="109">
        <v>2703</v>
      </c>
      <c r="B1306" t="s">
        <v>1972</v>
      </c>
      <c r="C1306" t="s">
        <v>1113</v>
      </c>
      <c r="D1306" s="110">
        <v>-34</v>
      </c>
      <c r="E1306" t="str">
        <f t="shared" si="51"/>
        <v>3</v>
      </c>
      <c r="F1306" t="str">
        <f t="shared" si="52"/>
        <v>1.4</v>
      </c>
    </row>
    <row r="1307" spans="1:6" x14ac:dyDescent="0.25">
      <c r="A1307" s="109">
        <v>2705</v>
      </c>
      <c r="B1307" t="s">
        <v>1973</v>
      </c>
      <c r="C1307" t="s">
        <v>1113</v>
      </c>
      <c r="D1307" s="110">
        <v>-34</v>
      </c>
      <c r="E1307" t="str">
        <f t="shared" si="51"/>
        <v>3</v>
      </c>
      <c r="F1307" t="str">
        <f t="shared" si="52"/>
        <v>1.4</v>
      </c>
    </row>
    <row r="1308" spans="1:6" x14ac:dyDescent="0.25">
      <c r="A1308" s="109">
        <v>2706</v>
      </c>
      <c r="B1308" t="s">
        <v>1974</v>
      </c>
      <c r="C1308" t="s">
        <v>1113</v>
      </c>
      <c r="D1308" s="110">
        <v>-34</v>
      </c>
      <c r="E1308" t="str">
        <f t="shared" si="51"/>
        <v>3</v>
      </c>
      <c r="F1308" t="str">
        <f t="shared" si="52"/>
        <v>1.4</v>
      </c>
    </row>
    <row r="1309" spans="1:6" x14ac:dyDescent="0.25">
      <c r="A1309" s="109">
        <v>2707</v>
      </c>
      <c r="B1309" t="s">
        <v>1975</v>
      </c>
      <c r="C1309" t="s">
        <v>1113</v>
      </c>
      <c r="D1309" s="110">
        <v>-34</v>
      </c>
      <c r="E1309" t="str">
        <f t="shared" si="51"/>
        <v>3</v>
      </c>
      <c r="F1309" t="str">
        <f t="shared" si="52"/>
        <v>1.4</v>
      </c>
    </row>
    <row r="1310" spans="1:6" x14ac:dyDescent="0.25">
      <c r="A1310" s="109">
        <v>2711</v>
      </c>
      <c r="B1310" t="s">
        <v>1976</v>
      </c>
      <c r="C1310" t="s">
        <v>1113</v>
      </c>
      <c r="D1310" s="110">
        <v>-34</v>
      </c>
      <c r="E1310" t="str">
        <f t="shared" si="51"/>
        <v>3</v>
      </c>
      <c r="F1310" t="str">
        <f t="shared" si="52"/>
        <v>1.4</v>
      </c>
    </row>
    <row r="1311" spans="1:6" x14ac:dyDescent="0.25">
      <c r="A1311" s="109">
        <v>2715</v>
      </c>
      <c r="B1311" t="s">
        <v>1977</v>
      </c>
      <c r="C1311" t="s">
        <v>1113</v>
      </c>
      <c r="D1311" s="110">
        <v>-34</v>
      </c>
      <c r="E1311" t="str">
        <f t="shared" si="51"/>
        <v>3</v>
      </c>
      <c r="F1311" t="str">
        <f t="shared" si="52"/>
        <v>1.4</v>
      </c>
    </row>
    <row r="1312" spans="1:6" x14ac:dyDescent="0.25">
      <c r="A1312" s="109">
        <v>2717</v>
      </c>
      <c r="B1312" t="s">
        <v>1978</v>
      </c>
      <c r="C1312" t="s">
        <v>1113</v>
      </c>
      <c r="D1312" s="110">
        <v>-34</v>
      </c>
      <c r="E1312" t="str">
        <f t="shared" si="51"/>
        <v>3</v>
      </c>
      <c r="F1312" t="str">
        <f t="shared" si="52"/>
        <v>1.4</v>
      </c>
    </row>
    <row r="1313" spans="1:6" x14ac:dyDescent="0.25">
      <c r="A1313" s="109">
        <v>2721</v>
      </c>
      <c r="B1313" t="s">
        <v>1979</v>
      </c>
      <c r="C1313" t="s">
        <v>1113</v>
      </c>
      <c r="D1313" s="110">
        <v>-34</v>
      </c>
      <c r="E1313" t="str">
        <f t="shared" si="51"/>
        <v>3</v>
      </c>
      <c r="F1313" t="str">
        <f t="shared" si="52"/>
        <v>1.4</v>
      </c>
    </row>
    <row r="1314" spans="1:6" x14ac:dyDescent="0.25">
      <c r="A1314" s="109">
        <v>2722</v>
      </c>
      <c r="B1314" t="s">
        <v>1980</v>
      </c>
      <c r="C1314" t="s">
        <v>1113</v>
      </c>
      <c r="D1314" s="110">
        <v>-34</v>
      </c>
      <c r="E1314" t="str">
        <f t="shared" si="51"/>
        <v>3</v>
      </c>
      <c r="F1314" t="str">
        <f t="shared" si="52"/>
        <v>1.4</v>
      </c>
    </row>
    <row r="1315" spans="1:6" x14ac:dyDescent="0.25">
      <c r="A1315" s="109">
        <v>2726</v>
      </c>
      <c r="B1315" t="s">
        <v>1981</v>
      </c>
      <c r="C1315" t="s">
        <v>1113</v>
      </c>
      <c r="D1315" s="110">
        <v>-34</v>
      </c>
      <c r="E1315" t="str">
        <f t="shared" si="51"/>
        <v>3</v>
      </c>
      <c r="F1315" t="str">
        <f t="shared" si="52"/>
        <v>1.4</v>
      </c>
    </row>
    <row r="1316" spans="1:6" x14ac:dyDescent="0.25">
      <c r="A1316" s="109">
        <v>2727</v>
      </c>
      <c r="B1316" t="s">
        <v>1982</v>
      </c>
      <c r="C1316" t="s">
        <v>1113</v>
      </c>
      <c r="D1316" s="110">
        <v>-34</v>
      </c>
      <c r="E1316" t="str">
        <f t="shared" ref="E1316:E1317" si="53">IF(D1316&lt;-34,"4",IF(D1316&lt;-26,"3",IF(D1316&lt;-18,"2",IF(D1316&lt;-8,"1","lits"))))</f>
        <v>3</v>
      </c>
      <c r="F1316" t="str">
        <f t="shared" si="52"/>
        <v>1.4</v>
      </c>
    </row>
    <row r="1317" spans="1:6" x14ac:dyDescent="0.25">
      <c r="A1317" s="109">
        <v>2734</v>
      </c>
      <c r="B1317" t="s">
        <v>1983</v>
      </c>
      <c r="C1317" t="s">
        <v>1113</v>
      </c>
      <c r="D1317" s="110">
        <v>-34</v>
      </c>
      <c r="E1317" t="str">
        <f t="shared" si="53"/>
        <v>3</v>
      </c>
      <c r="F1317" t="str">
        <f t="shared" si="52"/>
        <v>1.4</v>
      </c>
    </row>
    <row r="1318" spans="1:6" x14ac:dyDescent="0.25">
      <c r="A1318" s="109">
        <v>2737</v>
      </c>
      <c r="B1318" t="s">
        <v>1984</v>
      </c>
      <c r="C1318" t="s">
        <v>1113</v>
      </c>
      <c r="D1318" s="110">
        <v>-34</v>
      </c>
      <c r="E1318" t="str">
        <f t="shared" ref="E1318" si="54">IF(D1318&lt;-8,"1",IF(D1318&lt;-18,"2",IF(D1318&lt;-26,"3",IF(D1318&lt;-34,"4","lits"))))</f>
        <v>1</v>
      </c>
      <c r="F1318" t="str">
        <f t="shared" si="52"/>
        <v>1.4</v>
      </c>
    </row>
    <row r="1319" spans="1:6" x14ac:dyDescent="0.25">
      <c r="A1319" s="109">
        <v>2738</v>
      </c>
      <c r="B1319" t="s">
        <v>1985</v>
      </c>
      <c r="C1319" t="s">
        <v>1113</v>
      </c>
      <c r="D1319" s="110">
        <v>-34</v>
      </c>
      <c r="E1319" t="str">
        <f t="shared" ref="E1319:E1382" si="55">IF(D1319&lt;-34,"4",IF(D1319&lt;-26,"3",IF(D1319&lt;-18,"2",IF(D1319&lt;-8,"1","lits"))))</f>
        <v>3</v>
      </c>
      <c r="F1319" t="str">
        <f t="shared" si="52"/>
        <v>1.4</v>
      </c>
    </row>
    <row r="1320" spans="1:6" x14ac:dyDescent="0.25">
      <c r="A1320" s="109">
        <v>2787</v>
      </c>
      <c r="B1320" t="s">
        <v>1986</v>
      </c>
      <c r="C1320" t="s">
        <v>1113</v>
      </c>
      <c r="D1320" s="110">
        <v>-34</v>
      </c>
      <c r="E1320" t="str">
        <f t="shared" si="55"/>
        <v>3</v>
      </c>
      <c r="F1320" t="str">
        <f t="shared" si="52"/>
        <v>1.4</v>
      </c>
    </row>
    <row r="1321" spans="1:6" x14ac:dyDescent="0.25">
      <c r="A1321" s="109">
        <v>2803</v>
      </c>
      <c r="B1321" t="s">
        <v>1987</v>
      </c>
      <c r="C1321" t="s">
        <v>1113</v>
      </c>
      <c r="D1321" s="110">
        <v>-34</v>
      </c>
      <c r="E1321" t="str">
        <f t="shared" si="55"/>
        <v>3</v>
      </c>
      <c r="F1321" t="str">
        <f t="shared" si="52"/>
        <v>1.4</v>
      </c>
    </row>
    <row r="1322" spans="1:6" x14ac:dyDescent="0.25">
      <c r="A1322" s="109">
        <v>2807</v>
      </c>
      <c r="B1322" t="s">
        <v>1988</v>
      </c>
      <c r="C1322" t="s">
        <v>1113</v>
      </c>
      <c r="D1322" s="110">
        <v>-34</v>
      </c>
      <c r="E1322" t="str">
        <f t="shared" si="55"/>
        <v>3</v>
      </c>
      <c r="F1322" t="str">
        <f t="shared" si="52"/>
        <v>1.4</v>
      </c>
    </row>
    <row r="1323" spans="1:6" x14ac:dyDescent="0.25">
      <c r="A1323" s="109">
        <v>2810</v>
      </c>
      <c r="B1323" t="s">
        <v>1989</v>
      </c>
      <c r="C1323" t="s">
        <v>1113</v>
      </c>
      <c r="D1323" s="110">
        <v>-34</v>
      </c>
      <c r="E1323" t="str">
        <f t="shared" si="55"/>
        <v>3</v>
      </c>
      <c r="F1323" t="str">
        <f t="shared" si="52"/>
        <v>1.4</v>
      </c>
    </row>
    <row r="1324" spans="1:6" x14ac:dyDescent="0.25">
      <c r="A1324" s="109">
        <v>3490</v>
      </c>
      <c r="B1324" t="s">
        <v>1990</v>
      </c>
      <c r="C1324" t="s">
        <v>1991</v>
      </c>
      <c r="D1324" s="110">
        <v>-34</v>
      </c>
      <c r="E1324" t="str">
        <f t="shared" si="55"/>
        <v>3</v>
      </c>
      <c r="F1324" t="str">
        <f t="shared" si="52"/>
        <v>1.4</v>
      </c>
    </row>
    <row r="1325" spans="1:6" x14ac:dyDescent="0.25">
      <c r="A1325" s="109">
        <v>3494</v>
      </c>
      <c r="B1325" t="s">
        <v>1992</v>
      </c>
      <c r="C1325" t="s">
        <v>1991</v>
      </c>
      <c r="D1325" s="110">
        <v>-34</v>
      </c>
      <c r="E1325" t="str">
        <f t="shared" si="55"/>
        <v>3</v>
      </c>
      <c r="F1325" t="str">
        <f t="shared" si="52"/>
        <v>1.4</v>
      </c>
    </row>
    <row r="1326" spans="1:6" x14ac:dyDescent="0.25">
      <c r="A1326" s="109">
        <v>3496</v>
      </c>
      <c r="B1326" t="s">
        <v>1993</v>
      </c>
      <c r="C1326" t="s">
        <v>1991</v>
      </c>
      <c r="D1326" s="110">
        <v>-34</v>
      </c>
      <c r="E1326" t="str">
        <f t="shared" si="55"/>
        <v>3</v>
      </c>
      <c r="F1326" t="str">
        <f t="shared" si="52"/>
        <v>1.4</v>
      </c>
    </row>
    <row r="1327" spans="1:6" x14ac:dyDescent="0.25">
      <c r="A1327" s="109">
        <v>3498</v>
      </c>
      <c r="B1327" t="s">
        <v>1994</v>
      </c>
      <c r="C1327" t="s">
        <v>1991</v>
      </c>
      <c r="D1327" s="110">
        <v>-34</v>
      </c>
      <c r="E1327" t="str">
        <f t="shared" si="55"/>
        <v>3</v>
      </c>
      <c r="F1327" t="str">
        <f t="shared" si="52"/>
        <v>1.4</v>
      </c>
    </row>
    <row r="1328" spans="1:6" x14ac:dyDescent="0.25">
      <c r="A1328" s="109">
        <v>3549</v>
      </c>
      <c r="B1328" t="s">
        <v>1995</v>
      </c>
      <c r="C1328" t="s">
        <v>1991</v>
      </c>
      <c r="D1328" s="110">
        <v>-34</v>
      </c>
      <c r="E1328" t="str">
        <f t="shared" si="55"/>
        <v>3</v>
      </c>
      <c r="F1328" t="str">
        <f t="shared" si="52"/>
        <v>1.4</v>
      </c>
    </row>
    <row r="1329" spans="1:6" x14ac:dyDescent="0.25">
      <c r="A1329" s="109">
        <v>3597</v>
      </c>
      <c r="B1329" t="s">
        <v>1996</v>
      </c>
      <c r="C1329" t="s">
        <v>1991</v>
      </c>
      <c r="D1329" s="110">
        <v>-34</v>
      </c>
      <c r="E1329" t="str">
        <f t="shared" si="55"/>
        <v>3</v>
      </c>
      <c r="F1329" t="str">
        <f t="shared" si="52"/>
        <v>1.4</v>
      </c>
    </row>
    <row r="1330" spans="1:6" x14ac:dyDescent="0.25">
      <c r="A1330" s="109">
        <v>3599</v>
      </c>
      <c r="B1330" t="s">
        <v>1997</v>
      </c>
      <c r="C1330" t="s">
        <v>1991</v>
      </c>
      <c r="D1330" s="110">
        <v>-34</v>
      </c>
      <c r="E1330" t="str">
        <f t="shared" si="55"/>
        <v>3</v>
      </c>
      <c r="F1330" t="str">
        <f t="shared" si="52"/>
        <v>1.4</v>
      </c>
    </row>
    <row r="1331" spans="1:6" x14ac:dyDescent="0.25">
      <c r="A1331" s="109">
        <v>5000</v>
      </c>
      <c r="B1331" t="s">
        <v>1998</v>
      </c>
      <c r="C1331" t="s">
        <v>1105</v>
      </c>
      <c r="D1331" s="110">
        <v>-34</v>
      </c>
      <c r="E1331" t="str">
        <f t="shared" si="55"/>
        <v>3</v>
      </c>
      <c r="F1331" t="str">
        <f t="shared" si="52"/>
        <v>1.4</v>
      </c>
    </row>
    <row r="1332" spans="1:6" x14ac:dyDescent="0.25">
      <c r="A1332" s="109">
        <v>5006</v>
      </c>
      <c r="B1332" t="s">
        <v>1999</v>
      </c>
      <c r="C1332" t="s">
        <v>1105</v>
      </c>
      <c r="D1332" s="110">
        <v>-34</v>
      </c>
      <c r="E1332" t="str">
        <f t="shared" si="55"/>
        <v>3</v>
      </c>
      <c r="F1332" t="str">
        <f t="shared" si="52"/>
        <v>1.4</v>
      </c>
    </row>
    <row r="1333" spans="1:6" x14ac:dyDescent="0.25">
      <c r="A1333" s="109">
        <v>5007</v>
      </c>
      <c r="B1333" t="s">
        <v>2000</v>
      </c>
      <c r="C1333" t="s">
        <v>1105</v>
      </c>
      <c r="D1333" s="110">
        <v>-34</v>
      </c>
      <c r="E1333" t="str">
        <f t="shared" si="55"/>
        <v>3</v>
      </c>
      <c r="F1333" t="str">
        <f t="shared" si="52"/>
        <v>1.4</v>
      </c>
    </row>
    <row r="1334" spans="1:6" x14ac:dyDescent="0.25">
      <c r="A1334" s="109">
        <v>5008</v>
      </c>
      <c r="B1334" t="s">
        <v>2001</v>
      </c>
      <c r="C1334" t="s">
        <v>1105</v>
      </c>
      <c r="D1334" s="110">
        <v>-34</v>
      </c>
      <c r="E1334" t="str">
        <f t="shared" si="55"/>
        <v>3</v>
      </c>
      <c r="F1334" t="str">
        <f t="shared" si="52"/>
        <v>1.4</v>
      </c>
    </row>
    <row r="1335" spans="1:6" x14ac:dyDescent="0.25">
      <c r="A1335" s="109">
        <v>5009</v>
      </c>
      <c r="B1335" t="s">
        <v>2002</v>
      </c>
      <c r="C1335" t="s">
        <v>1105</v>
      </c>
      <c r="D1335" s="110">
        <v>-34</v>
      </c>
      <c r="E1335" t="str">
        <f t="shared" si="55"/>
        <v>3</v>
      </c>
      <c r="F1335" t="str">
        <f t="shared" si="52"/>
        <v>1.4</v>
      </c>
    </row>
    <row r="1336" spans="1:6" x14ac:dyDescent="0.25">
      <c r="A1336" s="109">
        <v>5010</v>
      </c>
      <c r="B1336" t="s">
        <v>2003</v>
      </c>
      <c r="C1336" t="s">
        <v>1105</v>
      </c>
      <c r="D1336" s="110">
        <v>-34</v>
      </c>
      <c r="E1336" t="str">
        <f t="shared" si="55"/>
        <v>3</v>
      </c>
      <c r="F1336" t="str">
        <f t="shared" si="52"/>
        <v>1.4</v>
      </c>
    </row>
    <row r="1337" spans="1:6" x14ac:dyDescent="0.25">
      <c r="A1337" s="109">
        <v>5011</v>
      </c>
      <c r="B1337" t="s">
        <v>1456</v>
      </c>
      <c r="C1337" t="s">
        <v>1105</v>
      </c>
      <c r="D1337" s="110">
        <v>-34</v>
      </c>
      <c r="E1337" t="str">
        <f t="shared" si="55"/>
        <v>3</v>
      </c>
      <c r="F1337" t="str">
        <f t="shared" si="52"/>
        <v>1.4</v>
      </c>
    </row>
    <row r="1338" spans="1:6" x14ac:dyDescent="0.25">
      <c r="A1338" s="109">
        <v>5012</v>
      </c>
      <c r="B1338" t="s">
        <v>2004</v>
      </c>
      <c r="C1338" t="s">
        <v>1105</v>
      </c>
      <c r="D1338" s="110">
        <v>-34</v>
      </c>
      <c r="E1338" t="str">
        <f t="shared" si="55"/>
        <v>3</v>
      </c>
      <c r="F1338" t="str">
        <f t="shared" si="52"/>
        <v>1.4</v>
      </c>
    </row>
    <row r="1339" spans="1:6" x14ac:dyDescent="0.25">
      <c r="A1339" s="109">
        <v>5013</v>
      </c>
      <c r="B1339" t="s">
        <v>2005</v>
      </c>
      <c r="C1339" t="s">
        <v>1105</v>
      </c>
      <c r="D1339" s="110">
        <v>-34</v>
      </c>
      <c r="E1339" t="str">
        <f t="shared" si="55"/>
        <v>3</v>
      </c>
      <c r="F1339" t="str">
        <f t="shared" si="52"/>
        <v>1.4</v>
      </c>
    </row>
    <row r="1340" spans="1:6" x14ac:dyDescent="0.25">
      <c r="A1340" s="109">
        <v>5014</v>
      </c>
      <c r="B1340" t="s">
        <v>2006</v>
      </c>
      <c r="C1340" t="s">
        <v>1105</v>
      </c>
      <c r="D1340" s="110">
        <v>-34</v>
      </c>
      <c r="E1340" t="str">
        <f t="shared" si="55"/>
        <v>3</v>
      </c>
      <c r="F1340" t="str">
        <f t="shared" si="52"/>
        <v>1.4</v>
      </c>
    </row>
    <row r="1341" spans="1:6" x14ac:dyDescent="0.25">
      <c r="A1341" s="109">
        <v>5015</v>
      </c>
      <c r="B1341" t="s">
        <v>2007</v>
      </c>
      <c r="C1341" t="s">
        <v>1105</v>
      </c>
      <c r="D1341" s="110">
        <v>-34</v>
      </c>
      <c r="E1341" t="str">
        <f t="shared" si="55"/>
        <v>3</v>
      </c>
      <c r="F1341" t="str">
        <f t="shared" si="52"/>
        <v>1.4</v>
      </c>
    </row>
    <row r="1342" spans="1:6" x14ac:dyDescent="0.25">
      <c r="A1342" s="109">
        <v>5016</v>
      </c>
      <c r="B1342" t="s">
        <v>2008</v>
      </c>
      <c r="C1342" t="s">
        <v>1105</v>
      </c>
      <c r="D1342" s="110">
        <v>-34</v>
      </c>
      <c r="E1342" t="str">
        <f t="shared" si="55"/>
        <v>3</v>
      </c>
      <c r="F1342" t="str">
        <f t="shared" si="52"/>
        <v>1.4</v>
      </c>
    </row>
    <row r="1343" spans="1:6" x14ac:dyDescent="0.25">
      <c r="A1343" s="109">
        <v>5017</v>
      </c>
      <c r="B1343" t="s">
        <v>2009</v>
      </c>
      <c r="C1343" t="s">
        <v>1105</v>
      </c>
      <c r="D1343" s="110">
        <v>-34</v>
      </c>
      <c r="E1343" t="str">
        <f t="shared" si="55"/>
        <v>3</v>
      </c>
      <c r="F1343" t="str">
        <f t="shared" si="52"/>
        <v>1.4</v>
      </c>
    </row>
    <row r="1344" spans="1:6" x14ac:dyDescent="0.25">
      <c r="A1344" s="109">
        <v>5018</v>
      </c>
      <c r="B1344" t="s">
        <v>2010</v>
      </c>
      <c r="C1344" t="s">
        <v>1105</v>
      </c>
      <c r="D1344" s="110">
        <v>-34</v>
      </c>
      <c r="E1344" t="str">
        <f t="shared" si="55"/>
        <v>3</v>
      </c>
      <c r="F1344" t="str">
        <f t="shared" si="52"/>
        <v>1.4</v>
      </c>
    </row>
    <row r="1345" spans="1:6" x14ac:dyDescent="0.25">
      <c r="A1345" s="109">
        <v>5019</v>
      </c>
      <c r="B1345" t="s">
        <v>2011</v>
      </c>
      <c r="C1345" t="s">
        <v>1105</v>
      </c>
      <c r="D1345" s="110">
        <v>-34</v>
      </c>
      <c r="E1345" t="str">
        <f t="shared" si="55"/>
        <v>3</v>
      </c>
      <c r="F1345" t="str">
        <f t="shared" si="52"/>
        <v>1.4</v>
      </c>
    </row>
    <row r="1346" spans="1:6" x14ac:dyDescent="0.25">
      <c r="A1346" s="109">
        <v>5020</v>
      </c>
      <c r="B1346" t="s">
        <v>2012</v>
      </c>
      <c r="C1346" t="s">
        <v>1105</v>
      </c>
      <c r="D1346" s="110">
        <v>-34</v>
      </c>
      <c r="E1346" t="str">
        <f t="shared" si="55"/>
        <v>3</v>
      </c>
      <c r="F1346" t="str">
        <f t="shared" si="52"/>
        <v>1.4</v>
      </c>
    </row>
    <row r="1347" spans="1:6" x14ac:dyDescent="0.25">
      <c r="A1347" s="109">
        <v>5021</v>
      </c>
      <c r="B1347" t="s">
        <v>2013</v>
      </c>
      <c r="C1347" t="s">
        <v>1105</v>
      </c>
      <c r="D1347" s="110">
        <v>-34</v>
      </c>
      <c r="E1347" t="str">
        <f t="shared" si="55"/>
        <v>3</v>
      </c>
      <c r="F1347" t="str">
        <f t="shared" ref="F1347:F1410" si="56">IF(D1347&lt;-34,"1.6",IF(D1347&lt;-26,"1.4",IF(D1347&lt;-18,"1.2",IF(D1347&lt;-8,"1","lits"))))</f>
        <v>1.4</v>
      </c>
    </row>
    <row r="1348" spans="1:6" x14ac:dyDescent="0.25">
      <c r="A1348" s="109">
        <v>5022</v>
      </c>
      <c r="B1348" t="s">
        <v>2014</v>
      </c>
      <c r="C1348" t="s">
        <v>1105</v>
      </c>
      <c r="D1348" s="110">
        <v>-34</v>
      </c>
      <c r="E1348" t="str">
        <f t="shared" si="55"/>
        <v>3</v>
      </c>
      <c r="F1348" t="str">
        <f t="shared" si="56"/>
        <v>1.4</v>
      </c>
    </row>
    <row r="1349" spans="1:6" x14ac:dyDescent="0.25">
      <c r="A1349" s="109">
        <v>5023</v>
      </c>
      <c r="B1349" t="s">
        <v>2015</v>
      </c>
      <c r="C1349" t="s">
        <v>1105</v>
      </c>
      <c r="D1349" s="110">
        <v>-34</v>
      </c>
      <c r="E1349" t="str">
        <f t="shared" si="55"/>
        <v>3</v>
      </c>
      <c r="F1349" t="str">
        <f t="shared" si="56"/>
        <v>1.4</v>
      </c>
    </row>
    <row r="1350" spans="1:6" x14ac:dyDescent="0.25">
      <c r="A1350" s="109">
        <v>5033</v>
      </c>
      <c r="B1350" t="s">
        <v>2016</v>
      </c>
      <c r="C1350" t="s">
        <v>1105</v>
      </c>
      <c r="D1350" s="110">
        <v>-34</v>
      </c>
      <c r="E1350" t="str">
        <f t="shared" si="55"/>
        <v>3</v>
      </c>
      <c r="F1350" t="str">
        <f t="shared" si="56"/>
        <v>1.4</v>
      </c>
    </row>
    <row r="1351" spans="1:6" x14ac:dyDescent="0.25">
      <c r="A1351" s="109">
        <v>5034</v>
      </c>
      <c r="B1351" t="s">
        <v>2017</v>
      </c>
      <c r="C1351" t="s">
        <v>1105</v>
      </c>
      <c r="D1351" s="110">
        <v>-34</v>
      </c>
      <c r="E1351" t="str">
        <f t="shared" si="55"/>
        <v>3</v>
      </c>
      <c r="F1351" t="str">
        <f t="shared" si="56"/>
        <v>1.4</v>
      </c>
    </row>
    <row r="1352" spans="1:6" x14ac:dyDescent="0.25">
      <c r="A1352" s="109">
        <v>5035</v>
      </c>
      <c r="B1352" t="s">
        <v>2018</v>
      </c>
      <c r="C1352" t="s">
        <v>1105</v>
      </c>
      <c r="D1352" s="110">
        <v>-34</v>
      </c>
      <c r="E1352" t="str">
        <f t="shared" si="55"/>
        <v>3</v>
      </c>
      <c r="F1352" t="str">
        <f t="shared" si="56"/>
        <v>1.4</v>
      </c>
    </row>
    <row r="1353" spans="1:6" x14ac:dyDescent="0.25">
      <c r="A1353" s="109">
        <v>5037</v>
      </c>
      <c r="B1353" t="s">
        <v>2019</v>
      </c>
      <c r="C1353" t="s">
        <v>1105</v>
      </c>
      <c r="D1353" s="110">
        <v>-34</v>
      </c>
      <c r="E1353" t="str">
        <f t="shared" si="55"/>
        <v>3</v>
      </c>
      <c r="F1353" t="str">
        <f t="shared" si="56"/>
        <v>1.4</v>
      </c>
    </row>
    <row r="1354" spans="1:6" x14ac:dyDescent="0.25">
      <c r="A1354" s="109">
        <v>5038</v>
      </c>
      <c r="B1354" t="s">
        <v>2020</v>
      </c>
      <c r="C1354" t="s">
        <v>1105</v>
      </c>
      <c r="D1354" s="110">
        <v>-34</v>
      </c>
      <c r="E1354" t="str">
        <f t="shared" si="55"/>
        <v>3</v>
      </c>
      <c r="F1354" t="str">
        <f t="shared" si="56"/>
        <v>1.4</v>
      </c>
    </row>
    <row r="1355" spans="1:6" x14ac:dyDescent="0.25">
      <c r="A1355" s="109">
        <v>5039</v>
      </c>
      <c r="B1355" t="s">
        <v>2021</v>
      </c>
      <c r="C1355" t="s">
        <v>1105</v>
      </c>
      <c r="D1355" s="110">
        <v>-34</v>
      </c>
      <c r="E1355" t="str">
        <f t="shared" si="55"/>
        <v>3</v>
      </c>
      <c r="F1355" t="str">
        <f t="shared" si="56"/>
        <v>1.4</v>
      </c>
    </row>
    <row r="1356" spans="1:6" x14ac:dyDescent="0.25">
      <c r="A1356" s="109">
        <v>5041</v>
      </c>
      <c r="B1356" t="s">
        <v>2022</v>
      </c>
      <c r="C1356" t="s">
        <v>1105</v>
      </c>
      <c r="D1356" s="110">
        <v>-34</v>
      </c>
      <c r="E1356" t="str">
        <f t="shared" si="55"/>
        <v>3</v>
      </c>
      <c r="F1356" t="str">
        <f t="shared" si="56"/>
        <v>1.4</v>
      </c>
    </row>
    <row r="1357" spans="1:6" x14ac:dyDescent="0.25">
      <c r="A1357" s="109">
        <v>5043</v>
      </c>
      <c r="B1357" t="s">
        <v>2023</v>
      </c>
      <c r="C1357" t="s">
        <v>1105</v>
      </c>
      <c r="D1357" s="110">
        <v>-34</v>
      </c>
      <c r="E1357" t="str">
        <f t="shared" si="55"/>
        <v>3</v>
      </c>
      <c r="F1357" t="str">
        <f t="shared" si="56"/>
        <v>1.4</v>
      </c>
    </row>
    <row r="1358" spans="1:6" x14ac:dyDescent="0.25">
      <c r="A1358" s="109">
        <v>5044</v>
      </c>
      <c r="B1358" t="s">
        <v>2024</v>
      </c>
      <c r="C1358" t="s">
        <v>1105</v>
      </c>
      <c r="D1358" s="110">
        <v>-34</v>
      </c>
      <c r="E1358" t="str">
        <f t="shared" si="55"/>
        <v>3</v>
      </c>
      <c r="F1358" t="str">
        <f t="shared" si="56"/>
        <v>1.4</v>
      </c>
    </row>
    <row r="1359" spans="1:6" x14ac:dyDescent="0.25">
      <c r="A1359" s="109">
        <v>5045</v>
      </c>
      <c r="B1359" t="s">
        <v>2025</v>
      </c>
      <c r="C1359" t="s">
        <v>1105</v>
      </c>
      <c r="D1359" s="110">
        <v>-34</v>
      </c>
      <c r="E1359" t="str">
        <f t="shared" si="55"/>
        <v>3</v>
      </c>
      <c r="F1359" t="str">
        <f t="shared" si="56"/>
        <v>1.4</v>
      </c>
    </row>
    <row r="1360" spans="1:6" x14ac:dyDescent="0.25">
      <c r="A1360" s="109">
        <v>5052</v>
      </c>
      <c r="B1360" t="s">
        <v>2026</v>
      </c>
      <c r="C1360" t="s">
        <v>1105</v>
      </c>
      <c r="D1360" s="110">
        <v>-34</v>
      </c>
      <c r="E1360" t="str">
        <f t="shared" si="55"/>
        <v>3</v>
      </c>
      <c r="F1360" t="str">
        <f t="shared" si="56"/>
        <v>1.4</v>
      </c>
    </row>
    <row r="1361" spans="1:6" x14ac:dyDescent="0.25">
      <c r="A1361" s="109">
        <v>5061</v>
      </c>
      <c r="B1361" t="s">
        <v>2027</v>
      </c>
      <c r="C1361" t="s">
        <v>1105</v>
      </c>
      <c r="D1361" s="110">
        <v>-34</v>
      </c>
      <c r="E1361" t="str">
        <f t="shared" si="55"/>
        <v>3</v>
      </c>
      <c r="F1361" t="str">
        <f t="shared" si="56"/>
        <v>1.4</v>
      </c>
    </row>
    <row r="1362" spans="1:6" x14ac:dyDescent="0.25">
      <c r="A1362" s="109">
        <v>5062</v>
      </c>
      <c r="B1362" t="s">
        <v>2028</v>
      </c>
      <c r="C1362" t="s">
        <v>1105</v>
      </c>
      <c r="D1362" s="110">
        <v>-34</v>
      </c>
      <c r="E1362" t="str">
        <f t="shared" si="55"/>
        <v>3</v>
      </c>
      <c r="F1362" t="str">
        <f t="shared" si="56"/>
        <v>1.4</v>
      </c>
    </row>
    <row r="1363" spans="1:6" x14ac:dyDescent="0.25">
      <c r="A1363" s="109">
        <v>5063</v>
      </c>
      <c r="B1363" t="s">
        <v>2029</v>
      </c>
      <c r="C1363" t="s">
        <v>1105</v>
      </c>
      <c r="D1363" s="110">
        <v>-34</v>
      </c>
      <c r="E1363" t="str">
        <f t="shared" si="55"/>
        <v>3</v>
      </c>
      <c r="F1363" t="str">
        <f t="shared" si="56"/>
        <v>1.4</v>
      </c>
    </row>
    <row r="1364" spans="1:6" x14ac:dyDescent="0.25">
      <c r="A1364" s="109">
        <v>5064</v>
      </c>
      <c r="B1364" t="s">
        <v>2030</v>
      </c>
      <c r="C1364" t="s">
        <v>1105</v>
      </c>
      <c r="D1364" s="110">
        <v>-34</v>
      </c>
      <c r="E1364" t="str">
        <f t="shared" si="55"/>
        <v>3</v>
      </c>
      <c r="F1364" t="str">
        <f t="shared" si="56"/>
        <v>1.4</v>
      </c>
    </row>
    <row r="1365" spans="1:6" x14ac:dyDescent="0.25">
      <c r="A1365" s="109">
        <v>5065</v>
      </c>
      <c r="B1365" t="s">
        <v>2031</v>
      </c>
      <c r="C1365" t="s">
        <v>1105</v>
      </c>
      <c r="D1365" s="110">
        <v>-34</v>
      </c>
      <c r="E1365" t="str">
        <f t="shared" si="55"/>
        <v>3</v>
      </c>
      <c r="F1365" t="str">
        <f t="shared" si="56"/>
        <v>1.4</v>
      </c>
    </row>
    <row r="1366" spans="1:6" x14ac:dyDescent="0.25">
      <c r="A1366" s="109">
        <v>5066</v>
      </c>
      <c r="B1366" t="s">
        <v>2032</v>
      </c>
      <c r="C1366" t="s">
        <v>1105</v>
      </c>
      <c r="D1366" s="110">
        <v>-34</v>
      </c>
      <c r="E1366" t="str">
        <f t="shared" si="55"/>
        <v>3</v>
      </c>
      <c r="F1366" t="str">
        <f t="shared" si="56"/>
        <v>1.4</v>
      </c>
    </row>
    <row r="1367" spans="1:6" x14ac:dyDescent="0.25">
      <c r="A1367" s="109">
        <v>5067</v>
      </c>
      <c r="B1367" t="s">
        <v>2033</v>
      </c>
      <c r="C1367" t="s">
        <v>1105</v>
      </c>
      <c r="D1367" s="110">
        <v>-34</v>
      </c>
      <c r="E1367" t="str">
        <f t="shared" si="55"/>
        <v>3</v>
      </c>
      <c r="F1367" t="str">
        <f t="shared" si="56"/>
        <v>1.4</v>
      </c>
    </row>
    <row r="1368" spans="1:6" x14ac:dyDescent="0.25">
      <c r="A1368" s="109">
        <v>5068</v>
      </c>
      <c r="B1368" t="s">
        <v>2034</v>
      </c>
      <c r="C1368" t="s">
        <v>1105</v>
      </c>
      <c r="D1368" s="110">
        <v>-34</v>
      </c>
      <c r="E1368" t="str">
        <f t="shared" si="55"/>
        <v>3</v>
      </c>
      <c r="F1368" t="str">
        <f t="shared" si="56"/>
        <v>1.4</v>
      </c>
    </row>
    <row r="1369" spans="1:6" x14ac:dyDescent="0.25">
      <c r="A1369" s="109">
        <v>5069</v>
      </c>
      <c r="B1369" t="s">
        <v>2035</v>
      </c>
      <c r="C1369" t="s">
        <v>1105</v>
      </c>
      <c r="D1369" s="110">
        <v>-34</v>
      </c>
      <c r="E1369" t="str">
        <f t="shared" si="55"/>
        <v>3</v>
      </c>
      <c r="F1369" t="str">
        <f t="shared" si="56"/>
        <v>1.4</v>
      </c>
    </row>
    <row r="1370" spans="1:6" x14ac:dyDescent="0.25">
      <c r="A1370" s="109">
        <v>5070</v>
      </c>
      <c r="B1370" t="s">
        <v>2036</v>
      </c>
      <c r="C1370" t="s">
        <v>1105</v>
      </c>
      <c r="D1370" s="110">
        <v>-34</v>
      </c>
      <c r="E1370" t="str">
        <f t="shared" si="55"/>
        <v>3</v>
      </c>
      <c r="F1370" t="str">
        <f t="shared" si="56"/>
        <v>1.4</v>
      </c>
    </row>
    <row r="1371" spans="1:6" x14ac:dyDescent="0.25">
      <c r="A1371" s="109">
        <v>5072</v>
      </c>
      <c r="B1371" t="s">
        <v>2037</v>
      </c>
      <c r="C1371" t="s">
        <v>1105</v>
      </c>
      <c r="D1371" s="110">
        <v>-34</v>
      </c>
      <c r="E1371" t="str">
        <f t="shared" si="55"/>
        <v>3</v>
      </c>
      <c r="F1371" t="str">
        <f t="shared" si="56"/>
        <v>1.4</v>
      </c>
    </row>
    <row r="1372" spans="1:6" x14ac:dyDescent="0.25">
      <c r="A1372" s="109">
        <v>5074</v>
      </c>
      <c r="B1372" t="s">
        <v>2038</v>
      </c>
      <c r="C1372" t="s">
        <v>1105</v>
      </c>
      <c r="D1372" s="110">
        <v>-34</v>
      </c>
      <c r="E1372" t="str">
        <f t="shared" si="55"/>
        <v>3</v>
      </c>
      <c r="F1372" t="str">
        <f t="shared" si="56"/>
        <v>1.4</v>
      </c>
    </row>
    <row r="1373" spans="1:6" x14ac:dyDescent="0.25">
      <c r="A1373" s="109">
        <v>5075</v>
      </c>
      <c r="B1373" t="s">
        <v>2039</v>
      </c>
      <c r="C1373" t="s">
        <v>1105</v>
      </c>
      <c r="D1373" s="110">
        <v>-34</v>
      </c>
      <c r="E1373" t="str">
        <f t="shared" si="55"/>
        <v>3</v>
      </c>
      <c r="F1373" t="str">
        <f t="shared" si="56"/>
        <v>1.4</v>
      </c>
    </row>
    <row r="1374" spans="1:6" x14ac:dyDescent="0.25">
      <c r="A1374" s="109">
        <v>5076</v>
      </c>
      <c r="B1374" t="s">
        <v>2040</v>
      </c>
      <c r="C1374" t="s">
        <v>1105</v>
      </c>
      <c r="D1374" s="110">
        <v>-34</v>
      </c>
      <c r="E1374" t="str">
        <f t="shared" si="55"/>
        <v>3</v>
      </c>
      <c r="F1374" t="str">
        <f t="shared" si="56"/>
        <v>1.4</v>
      </c>
    </row>
    <row r="1375" spans="1:6" x14ac:dyDescent="0.25">
      <c r="A1375" s="109">
        <v>5081</v>
      </c>
      <c r="B1375" t="s">
        <v>2041</v>
      </c>
      <c r="C1375" t="s">
        <v>1105</v>
      </c>
      <c r="D1375" s="110">
        <v>-34</v>
      </c>
      <c r="E1375" t="str">
        <f t="shared" si="55"/>
        <v>3</v>
      </c>
      <c r="F1375" t="str">
        <f t="shared" si="56"/>
        <v>1.4</v>
      </c>
    </row>
    <row r="1376" spans="1:6" x14ac:dyDescent="0.25">
      <c r="A1376" s="109">
        <v>5082</v>
      </c>
      <c r="B1376" t="s">
        <v>2042</v>
      </c>
      <c r="C1376" t="s">
        <v>1105</v>
      </c>
      <c r="D1376" s="110">
        <v>-34</v>
      </c>
      <c r="E1376" t="str">
        <f t="shared" si="55"/>
        <v>3</v>
      </c>
      <c r="F1376" t="str">
        <f t="shared" si="56"/>
        <v>1.4</v>
      </c>
    </row>
    <row r="1377" spans="1:6" x14ac:dyDescent="0.25">
      <c r="A1377" s="109">
        <v>5083</v>
      </c>
      <c r="B1377" t="s">
        <v>2043</v>
      </c>
      <c r="C1377" t="s">
        <v>1105</v>
      </c>
      <c r="D1377" s="110">
        <v>-34</v>
      </c>
      <c r="E1377" t="str">
        <f t="shared" si="55"/>
        <v>3</v>
      </c>
      <c r="F1377" t="str">
        <f t="shared" si="56"/>
        <v>1.4</v>
      </c>
    </row>
    <row r="1378" spans="1:6" x14ac:dyDescent="0.25">
      <c r="A1378" s="109">
        <v>5084</v>
      </c>
      <c r="B1378" t="s">
        <v>2044</v>
      </c>
      <c r="C1378" t="s">
        <v>1105</v>
      </c>
      <c r="D1378" s="110">
        <v>-34</v>
      </c>
      <c r="E1378" t="str">
        <f t="shared" si="55"/>
        <v>3</v>
      </c>
      <c r="F1378" t="str">
        <f t="shared" si="56"/>
        <v>1.4</v>
      </c>
    </row>
    <row r="1379" spans="1:6" x14ac:dyDescent="0.25">
      <c r="A1379" s="109">
        <v>5085</v>
      </c>
      <c r="B1379" t="s">
        <v>946</v>
      </c>
      <c r="C1379" t="s">
        <v>1105</v>
      </c>
      <c r="D1379" s="110">
        <v>-34</v>
      </c>
      <c r="E1379" t="str">
        <f t="shared" si="55"/>
        <v>3</v>
      </c>
      <c r="F1379" t="str">
        <f t="shared" si="56"/>
        <v>1.4</v>
      </c>
    </row>
    <row r="1380" spans="1:6" x14ac:dyDescent="0.25">
      <c r="A1380" s="109">
        <v>5086</v>
      </c>
      <c r="B1380" t="s">
        <v>2045</v>
      </c>
      <c r="C1380" t="s">
        <v>1105</v>
      </c>
      <c r="D1380" s="110">
        <v>-34</v>
      </c>
      <c r="E1380" t="str">
        <f t="shared" si="55"/>
        <v>3</v>
      </c>
      <c r="F1380" t="str">
        <f t="shared" si="56"/>
        <v>1.4</v>
      </c>
    </row>
    <row r="1381" spans="1:6" x14ac:dyDescent="0.25">
      <c r="A1381" s="109">
        <v>5087</v>
      </c>
      <c r="B1381" t="s">
        <v>2046</v>
      </c>
      <c r="C1381" t="s">
        <v>1105</v>
      </c>
      <c r="D1381" s="110">
        <v>-34</v>
      </c>
      <c r="E1381" t="str">
        <f t="shared" si="55"/>
        <v>3</v>
      </c>
      <c r="F1381" t="str">
        <f t="shared" si="56"/>
        <v>1.4</v>
      </c>
    </row>
    <row r="1382" spans="1:6" x14ac:dyDescent="0.25">
      <c r="A1382" s="109">
        <v>5088</v>
      </c>
      <c r="B1382" t="s">
        <v>2047</v>
      </c>
      <c r="C1382" t="s">
        <v>1105</v>
      </c>
      <c r="D1382" s="110">
        <v>-34</v>
      </c>
      <c r="E1382" t="str">
        <f t="shared" si="55"/>
        <v>3</v>
      </c>
      <c r="F1382" t="str">
        <f t="shared" si="56"/>
        <v>1.4</v>
      </c>
    </row>
    <row r="1383" spans="1:6" x14ac:dyDescent="0.25">
      <c r="A1383" s="109">
        <v>5089</v>
      </c>
      <c r="B1383" t="s">
        <v>2048</v>
      </c>
      <c r="C1383" t="s">
        <v>1105</v>
      </c>
      <c r="D1383" s="110">
        <v>-34</v>
      </c>
      <c r="E1383" t="str">
        <f t="shared" ref="E1383:E1446" si="57">IF(D1383&lt;-34,"4",IF(D1383&lt;-26,"3",IF(D1383&lt;-18,"2",IF(D1383&lt;-8,"1","lits"))))</f>
        <v>3</v>
      </c>
      <c r="F1383" t="str">
        <f t="shared" si="56"/>
        <v>1.4</v>
      </c>
    </row>
    <row r="1384" spans="1:6" x14ac:dyDescent="0.25">
      <c r="A1384" s="109">
        <v>5090</v>
      </c>
      <c r="B1384" t="s">
        <v>2049</v>
      </c>
      <c r="C1384" t="s">
        <v>1105</v>
      </c>
      <c r="D1384" s="110">
        <v>-34</v>
      </c>
      <c r="E1384" t="str">
        <f t="shared" si="57"/>
        <v>3</v>
      </c>
      <c r="F1384" t="str">
        <f t="shared" si="56"/>
        <v>1.4</v>
      </c>
    </row>
    <row r="1385" spans="1:6" x14ac:dyDescent="0.25">
      <c r="A1385" s="109">
        <v>5091</v>
      </c>
      <c r="B1385" t="s">
        <v>2050</v>
      </c>
      <c r="C1385" t="s">
        <v>1105</v>
      </c>
      <c r="D1385" s="110">
        <v>-34</v>
      </c>
      <c r="E1385" t="str">
        <f t="shared" si="57"/>
        <v>3</v>
      </c>
      <c r="F1385" t="str">
        <f t="shared" si="56"/>
        <v>1.4</v>
      </c>
    </row>
    <row r="1386" spans="1:6" x14ac:dyDescent="0.25">
      <c r="A1386" s="109">
        <v>5092</v>
      </c>
      <c r="B1386" t="s">
        <v>2051</v>
      </c>
      <c r="C1386" t="s">
        <v>1105</v>
      </c>
      <c r="D1386" s="110">
        <v>-34</v>
      </c>
      <c r="E1386" t="str">
        <f t="shared" si="57"/>
        <v>3</v>
      </c>
      <c r="F1386" t="str">
        <f t="shared" si="56"/>
        <v>1.4</v>
      </c>
    </row>
    <row r="1387" spans="1:6" x14ac:dyDescent="0.25">
      <c r="A1387" s="109">
        <v>5094</v>
      </c>
      <c r="B1387" t="s">
        <v>2052</v>
      </c>
      <c r="C1387" t="s">
        <v>1105</v>
      </c>
      <c r="D1387" s="110">
        <v>-34</v>
      </c>
      <c r="E1387" t="str">
        <f t="shared" si="57"/>
        <v>3</v>
      </c>
      <c r="F1387" t="str">
        <f t="shared" si="56"/>
        <v>1.4</v>
      </c>
    </row>
    <row r="1388" spans="1:6" x14ac:dyDescent="0.25">
      <c r="A1388" s="109">
        <v>5095</v>
      </c>
      <c r="B1388" t="s">
        <v>2053</v>
      </c>
      <c r="C1388" t="s">
        <v>1105</v>
      </c>
      <c r="D1388" s="110">
        <v>-34</v>
      </c>
      <c r="E1388" t="str">
        <f t="shared" si="57"/>
        <v>3</v>
      </c>
      <c r="F1388" t="str">
        <f t="shared" si="56"/>
        <v>1.4</v>
      </c>
    </row>
    <row r="1389" spans="1:6" x14ac:dyDescent="0.25">
      <c r="A1389" s="109">
        <v>5096</v>
      </c>
      <c r="B1389" t="s">
        <v>2054</v>
      </c>
      <c r="C1389" t="s">
        <v>1105</v>
      </c>
      <c r="D1389" s="110">
        <v>-34</v>
      </c>
      <c r="E1389" t="str">
        <f t="shared" si="57"/>
        <v>3</v>
      </c>
      <c r="F1389" t="str">
        <f t="shared" si="56"/>
        <v>1.4</v>
      </c>
    </row>
    <row r="1390" spans="1:6" x14ac:dyDescent="0.25">
      <c r="A1390" s="109">
        <v>5097</v>
      </c>
      <c r="B1390" t="s">
        <v>2055</v>
      </c>
      <c r="C1390" t="s">
        <v>1105</v>
      </c>
      <c r="D1390" s="110">
        <v>-34</v>
      </c>
      <c r="E1390" t="str">
        <f t="shared" si="57"/>
        <v>3</v>
      </c>
      <c r="F1390" t="str">
        <f t="shared" si="56"/>
        <v>1.4</v>
      </c>
    </row>
    <row r="1391" spans="1:6" x14ac:dyDescent="0.25">
      <c r="A1391" s="109">
        <v>5098</v>
      </c>
      <c r="B1391" t="s">
        <v>2056</v>
      </c>
      <c r="C1391" t="s">
        <v>1105</v>
      </c>
      <c r="D1391" s="110">
        <v>-34</v>
      </c>
      <c r="E1391" t="str">
        <f t="shared" si="57"/>
        <v>3</v>
      </c>
      <c r="F1391" t="str">
        <f t="shared" si="56"/>
        <v>1.4</v>
      </c>
    </row>
    <row r="1392" spans="1:6" x14ac:dyDescent="0.25">
      <c r="A1392" s="109">
        <v>5106</v>
      </c>
      <c r="B1392" t="s">
        <v>2057</v>
      </c>
      <c r="C1392" t="s">
        <v>1105</v>
      </c>
      <c r="D1392" s="110">
        <v>-34</v>
      </c>
      <c r="E1392" t="str">
        <f t="shared" si="57"/>
        <v>3</v>
      </c>
      <c r="F1392" t="str">
        <f t="shared" si="56"/>
        <v>1.4</v>
      </c>
    </row>
    <row r="1393" spans="1:6" x14ac:dyDescent="0.25">
      <c r="A1393" s="109">
        <v>5107</v>
      </c>
      <c r="B1393" t="s">
        <v>2058</v>
      </c>
      <c r="C1393" t="s">
        <v>1105</v>
      </c>
      <c r="D1393" s="110">
        <v>-34</v>
      </c>
      <c r="E1393" t="str">
        <f t="shared" si="57"/>
        <v>3</v>
      </c>
      <c r="F1393" t="str">
        <f t="shared" si="56"/>
        <v>1.4</v>
      </c>
    </row>
    <row r="1394" spans="1:6" x14ac:dyDescent="0.25">
      <c r="A1394" s="109">
        <v>5108</v>
      </c>
      <c r="B1394" t="s">
        <v>2059</v>
      </c>
      <c r="C1394" t="s">
        <v>1105</v>
      </c>
      <c r="D1394" s="110">
        <v>-34</v>
      </c>
      <c r="E1394" t="str">
        <f t="shared" si="57"/>
        <v>3</v>
      </c>
      <c r="F1394" t="str">
        <f t="shared" si="56"/>
        <v>1.4</v>
      </c>
    </row>
    <row r="1395" spans="1:6" x14ac:dyDescent="0.25">
      <c r="A1395" s="109">
        <v>5109</v>
      </c>
      <c r="B1395" t="s">
        <v>2060</v>
      </c>
      <c r="C1395" t="s">
        <v>1105</v>
      </c>
      <c r="D1395" s="110">
        <v>-34</v>
      </c>
      <c r="E1395" t="str">
        <f t="shared" si="57"/>
        <v>3</v>
      </c>
      <c r="F1395" t="str">
        <f t="shared" si="56"/>
        <v>1.4</v>
      </c>
    </row>
    <row r="1396" spans="1:6" x14ac:dyDescent="0.25">
      <c r="A1396" s="109">
        <v>5110</v>
      </c>
      <c r="B1396" t="s">
        <v>2061</v>
      </c>
      <c r="C1396" t="s">
        <v>1105</v>
      </c>
      <c r="D1396" s="110">
        <v>-34</v>
      </c>
      <c r="E1396" t="str">
        <f t="shared" si="57"/>
        <v>3</v>
      </c>
      <c r="F1396" t="str">
        <f t="shared" si="56"/>
        <v>1.4</v>
      </c>
    </row>
    <row r="1397" spans="1:6" x14ac:dyDescent="0.25">
      <c r="A1397" s="109">
        <v>5111</v>
      </c>
      <c r="B1397" t="s">
        <v>2062</v>
      </c>
      <c r="C1397" t="s">
        <v>1105</v>
      </c>
      <c r="D1397" s="110">
        <v>-34</v>
      </c>
      <c r="E1397" t="str">
        <f t="shared" si="57"/>
        <v>3</v>
      </c>
      <c r="F1397" t="str">
        <f t="shared" si="56"/>
        <v>1.4</v>
      </c>
    </row>
    <row r="1398" spans="1:6" x14ac:dyDescent="0.25">
      <c r="A1398" s="109">
        <v>5112</v>
      </c>
      <c r="B1398" t="s">
        <v>2063</v>
      </c>
      <c r="C1398" t="s">
        <v>1105</v>
      </c>
      <c r="D1398" s="110">
        <v>-34</v>
      </c>
      <c r="E1398" t="str">
        <f t="shared" si="57"/>
        <v>3</v>
      </c>
      <c r="F1398" t="str">
        <f t="shared" si="56"/>
        <v>1.4</v>
      </c>
    </row>
    <row r="1399" spans="1:6" x14ac:dyDescent="0.25">
      <c r="A1399" s="109">
        <v>5113</v>
      </c>
      <c r="B1399" t="s">
        <v>2064</v>
      </c>
      <c r="C1399" t="s">
        <v>1105</v>
      </c>
      <c r="D1399" s="110">
        <v>-34</v>
      </c>
      <c r="E1399" t="str">
        <f t="shared" si="57"/>
        <v>3</v>
      </c>
      <c r="F1399" t="str">
        <f t="shared" si="56"/>
        <v>1.4</v>
      </c>
    </row>
    <row r="1400" spans="1:6" x14ac:dyDescent="0.25">
      <c r="A1400" s="109">
        <v>5114</v>
      </c>
      <c r="B1400" t="s">
        <v>2065</v>
      </c>
      <c r="C1400" t="s">
        <v>1105</v>
      </c>
      <c r="D1400" s="110">
        <v>-34</v>
      </c>
      <c r="E1400" t="str">
        <f t="shared" si="57"/>
        <v>3</v>
      </c>
      <c r="F1400" t="str">
        <f t="shared" si="56"/>
        <v>1.4</v>
      </c>
    </row>
    <row r="1401" spans="1:6" x14ac:dyDescent="0.25">
      <c r="A1401" s="109">
        <v>5116</v>
      </c>
      <c r="B1401" t="s">
        <v>2066</v>
      </c>
      <c r="C1401" t="s">
        <v>1105</v>
      </c>
      <c r="D1401" s="110">
        <v>-34</v>
      </c>
      <c r="E1401" t="str">
        <f t="shared" si="57"/>
        <v>3</v>
      </c>
      <c r="F1401" t="str">
        <f t="shared" si="56"/>
        <v>1.4</v>
      </c>
    </row>
    <row r="1402" spans="1:6" x14ac:dyDescent="0.25">
      <c r="A1402" s="109">
        <v>5117</v>
      </c>
      <c r="B1402" t="s">
        <v>2067</v>
      </c>
      <c r="C1402" t="s">
        <v>1105</v>
      </c>
      <c r="D1402" s="110">
        <v>-34</v>
      </c>
      <c r="E1402" t="str">
        <f t="shared" si="57"/>
        <v>3</v>
      </c>
      <c r="F1402" t="str">
        <f t="shared" si="56"/>
        <v>1.4</v>
      </c>
    </row>
    <row r="1403" spans="1:6" x14ac:dyDescent="0.25">
      <c r="A1403" s="109">
        <v>5118</v>
      </c>
      <c r="B1403" t="s">
        <v>2068</v>
      </c>
      <c r="C1403" t="s">
        <v>1105</v>
      </c>
      <c r="D1403" s="110">
        <v>-34</v>
      </c>
      <c r="E1403" t="str">
        <f t="shared" si="57"/>
        <v>3</v>
      </c>
      <c r="F1403" t="str">
        <f t="shared" si="56"/>
        <v>1.4</v>
      </c>
    </row>
    <row r="1404" spans="1:6" x14ac:dyDescent="0.25">
      <c r="A1404" s="109">
        <v>5120</v>
      </c>
      <c r="B1404" t="s">
        <v>947</v>
      </c>
      <c r="C1404" t="s">
        <v>1105</v>
      </c>
      <c r="D1404" s="110">
        <v>-34</v>
      </c>
      <c r="E1404" t="str">
        <f t="shared" si="57"/>
        <v>3</v>
      </c>
      <c r="F1404" t="str">
        <f t="shared" si="56"/>
        <v>1.4</v>
      </c>
    </row>
    <row r="1405" spans="1:6" x14ac:dyDescent="0.25">
      <c r="A1405" s="109">
        <v>5121</v>
      </c>
      <c r="B1405" t="s">
        <v>2069</v>
      </c>
      <c r="C1405" t="s">
        <v>1105</v>
      </c>
      <c r="D1405" s="110">
        <v>-34</v>
      </c>
      <c r="E1405" t="str">
        <f t="shared" si="57"/>
        <v>3</v>
      </c>
      <c r="F1405" t="str">
        <f t="shared" si="56"/>
        <v>1.4</v>
      </c>
    </row>
    <row r="1406" spans="1:6" x14ac:dyDescent="0.25">
      <c r="A1406" s="109">
        <v>5125</v>
      </c>
      <c r="B1406" t="s">
        <v>2070</v>
      </c>
      <c r="C1406" t="s">
        <v>1105</v>
      </c>
      <c r="D1406" s="110">
        <v>-34</v>
      </c>
      <c r="E1406" t="str">
        <f t="shared" si="57"/>
        <v>3</v>
      </c>
      <c r="F1406" t="str">
        <f t="shared" si="56"/>
        <v>1.4</v>
      </c>
    </row>
    <row r="1407" spans="1:6" x14ac:dyDescent="0.25">
      <c r="A1407" s="109">
        <v>5126</v>
      </c>
      <c r="B1407" t="s">
        <v>2071</v>
      </c>
      <c r="C1407" t="s">
        <v>1105</v>
      </c>
      <c r="D1407" s="110">
        <v>-34</v>
      </c>
      <c r="E1407" t="str">
        <f t="shared" si="57"/>
        <v>3</v>
      </c>
      <c r="F1407" t="str">
        <f t="shared" si="56"/>
        <v>1.4</v>
      </c>
    </row>
    <row r="1408" spans="1:6" x14ac:dyDescent="0.25">
      <c r="A1408" s="109">
        <v>5127</v>
      </c>
      <c r="B1408" t="s">
        <v>2072</v>
      </c>
      <c r="C1408" t="s">
        <v>1105</v>
      </c>
      <c r="D1408" s="110">
        <v>-34</v>
      </c>
      <c r="E1408" t="str">
        <f t="shared" si="57"/>
        <v>3</v>
      </c>
      <c r="F1408" t="str">
        <f t="shared" si="56"/>
        <v>1.4</v>
      </c>
    </row>
    <row r="1409" spans="1:6" x14ac:dyDescent="0.25">
      <c r="A1409" s="109">
        <v>5131</v>
      </c>
      <c r="B1409" t="s">
        <v>2073</v>
      </c>
      <c r="C1409" t="s">
        <v>1105</v>
      </c>
      <c r="D1409" s="110">
        <v>-34</v>
      </c>
      <c r="E1409" t="str">
        <f t="shared" si="57"/>
        <v>3</v>
      </c>
      <c r="F1409" t="str">
        <f t="shared" si="56"/>
        <v>1.4</v>
      </c>
    </row>
    <row r="1410" spans="1:6" x14ac:dyDescent="0.25">
      <c r="A1410" s="109">
        <v>5132</v>
      </c>
      <c r="B1410" t="s">
        <v>2074</v>
      </c>
      <c r="C1410" t="s">
        <v>1105</v>
      </c>
      <c r="D1410" s="110">
        <v>-34</v>
      </c>
      <c r="E1410" t="str">
        <f t="shared" si="57"/>
        <v>3</v>
      </c>
      <c r="F1410" t="str">
        <f t="shared" si="56"/>
        <v>1.4</v>
      </c>
    </row>
    <row r="1411" spans="1:6" x14ac:dyDescent="0.25">
      <c r="A1411" s="109">
        <v>5134</v>
      </c>
      <c r="B1411" t="s">
        <v>2075</v>
      </c>
      <c r="C1411" t="s">
        <v>1105</v>
      </c>
      <c r="D1411" s="110">
        <v>-34</v>
      </c>
      <c r="E1411" t="str">
        <f t="shared" si="57"/>
        <v>3</v>
      </c>
      <c r="F1411" t="str">
        <f t="shared" ref="F1411:F1474" si="58">IF(D1411&lt;-34,"1.6",IF(D1411&lt;-26,"1.4",IF(D1411&lt;-18,"1.2",IF(D1411&lt;-8,"1","lits"))))</f>
        <v>1.4</v>
      </c>
    </row>
    <row r="1412" spans="1:6" x14ac:dyDescent="0.25">
      <c r="A1412" s="109">
        <v>5136</v>
      </c>
      <c r="B1412" t="s">
        <v>2076</v>
      </c>
      <c r="C1412" t="s">
        <v>1105</v>
      </c>
      <c r="D1412" s="110">
        <v>-34</v>
      </c>
      <c r="E1412" t="str">
        <f t="shared" si="57"/>
        <v>3</v>
      </c>
      <c r="F1412" t="str">
        <f t="shared" si="58"/>
        <v>1.4</v>
      </c>
    </row>
    <row r="1413" spans="1:6" x14ac:dyDescent="0.25">
      <c r="A1413" s="109">
        <v>5140</v>
      </c>
      <c r="B1413" t="s">
        <v>2077</v>
      </c>
      <c r="C1413" t="s">
        <v>1105</v>
      </c>
      <c r="D1413" s="110">
        <v>-34</v>
      </c>
      <c r="E1413" t="str">
        <f t="shared" si="57"/>
        <v>3</v>
      </c>
      <c r="F1413" t="str">
        <f t="shared" si="58"/>
        <v>1.4</v>
      </c>
    </row>
    <row r="1414" spans="1:6" x14ac:dyDescent="0.25">
      <c r="A1414" s="109">
        <v>5141</v>
      </c>
      <c r="B1414" t="s">
        <v>2078</v>
      </c>
      <c r="C1414" t="s">
        <v>1105</v>
      </c>
      <c r="D1414" s="110">
        <v>-34</v>
      </c>
      <c r="E1414" t="str">
        <f t="shared" si="57"/>
        <v>3</v>
      </c>
      <c r="F1414" t="str">
        <f t="shared" si="58"/>
        <v>1.4</v>
      </c>
    </row>
    <row r="1415" spans="1:6" x14ac:dyDescent="0.25">
      <c r="A1415" s="109">
        <v>5142</v>
      </c>
      <c r="B1415" t="s">
        <v>2079</v>
      </c>
      <c r="C1415" t="s">
        <v>1105</v>
      </c>
      <c r="D1415" s="110">
        <v>-34</v>
      </c>
      <c r="E1415" t="str">
        <f t="shared" si="57"/>
        <v>3</v>
      </c>
      <c r="F1415" t="str">
        <f t="shared" si="58"/>
        <v>1.4</v>
      </c>
    </row>
    <row r="1416" spans="1:6" x14ac:dyDescent="0.25">
      <c r="A1416" s="109">
        <v>5144</v>
      </c>
      <c r="B1416" t="s">
        <v>2080</v>
      </c>
      <c r="C1416" t="s">
        <v>1105</v>
      </c>
      <c r="D1416" s="110">
        <v>-34</v>
      </c>
      <c r="E1416" t="str">
        <f t="shared" si="57"/>
        <v>3</v>
      </c>
      <c r="F1416" t="str">
        <f t="shared" si="58"/>
        <v>1.4</v>
      </c>
    </row>
    <row r="1417" spans="1:6" x14ac:dyDescent="0.25">
      <c r="A1417" s="109">
        <v>5152</v>
      </c>
      <c r="B1417" t="s">
        <v>1341</v>
      </c>
      <c r="C1417" t="s">
        <v>1105</v>
      </c>
      <c r="D1417" s="110">
        <v>-34</v>
      </c>
      <c r="E1417" t="str">
        <f t="shared" si="57"/>
        <v>3</v>
      </c>
      <c r="F1417" t="str">
        <f t="shared" si="58"/>
        <v>1.4</v>
      </c>
    </row>
    <row r="1418" spans="1:6" x14ac:dyDescent="0.25">
      <c r="A1418" s="109">
        <v>5231</v>
      </c>
      <c r="B1418" t="s">
        <v>2081</v>
      </c>
      <c r="C1418" t="s">
        <v>1105</v>
      </c>
      <c r="D1418" s="110">
        <v>-34</v>
      </c>
      <c r="E1418" t="str">
        <f t="shared" si="57"/>
        <v>3</v>
      </c>
      <c r="F1418" t="str">
        <f t="shared" si="58"/>
        <v>1.4</v>
      </c>
    </row>
    <row r="1419" spans="1:6" x14ac:dyDescent="0.25">
      <c r="A1419" s="109">
        <v>5232</v>
      </c>
      <c r="B1419" t="s">
        <v>2082</v>
      </c>
      <c r="C1419" t="s">
        <v>1105</v>
      </c>
      <c r="D1419" s="110">
        <v>-34</v>
      </c>
      <c r="E1419" t="str">
        <f t="shared" si="57"/>
        <v>3</v>
      </c>
      <c r="F1419" t="str">
        <f t="shared" si="58"/>
        <v>1.4</v>
      </c>
    </row>
    <row r="1420" spans="1:6" x14ac:dyDescent="0.25">
      <c r="A1420" s="109">
        <v>5233</v>
      </c>
      <c r="B1420" t="s">
        <v>2083</v>
      </c>
      <c r="C1420" t="s">
        <v>1105</v>
      </c>
      <c r="D1420" s="110">
        <v>-34</v>
      </c>
      <c r="E1420" t="str">
        <f t="shared" si="57"/>
        <v>3</v>
      </c>
      <c r="F1420" t="str">
        <f t="shared" si="58"/>
        <v>1.4</v>
      </c>
    </row>
    <row r="1421" spans="1:6" x14ac:dyDescent="0.25">
      <c r="A1421" s="109">
        <v>5234</v>
      </c>
      <c r="B1421" t="s">
        <v>2084</v>
      </c>
      <c r="C1421" t="s">
        <v>1105</v>
      </c>
      <c r="D1421" s="110">
        <v>-34</v>
      </c>
      <c r="E1421" t="str">
        <f t="shared" si="57"/>
        <v>3</v>
      </c>
      <c r="F1421" t="str">
        <f t="shared" si="58"/>
        <v>1.4</v>
      </c>
    </row>
    <row r="1422" spans="1:6" x14ac:dyDescent="0.25">
      <c r="A1422" s="109">
        <v>5235</v>
      </c>
      <c r="B1422" t="s">
        <v>2085</v>
      </c>
      <c r="C1422" t="s">
        <v>1105</v>
      </c>
      <c r="D1422" s="110">
        <v>-34</v>
      </c>
      <c r="E1422" t="str">
        <f t="shared" si="57"/>
        <v>3</v>
      </c>
      <c r="F1422" t="str">
        <f t="shared" si="58"/>
        <v>1.4</v>
      </c>
    </row>
    <row r="1423" spans="1:6" x14ac:dyDescent="0.25">
      <c r="A1423" s="109">
        <v>5237</v>
      </c>
      <c r="B1423" t="s">
        <v>2086</v>
      </c>
      <c r="C1423" t="s">
        <v>1105</v>
      </c>
      <c r="D1423" s="110">
        <v>-34</v>
      </c>
      <c r="E1423" t="str">
        <f t="shared" si="57"/>
        <v>3</v>
      </c>
      <c r="F1423" t="str">
        <f t="shared" si="58"/>
        <v>1.4</v>
      </c>
    </row>
    <row r="1424" spans="1:6" x14ac:dyDescent="0.25">
      <c r="A1424" s="109">
        <v>5238</v>
      </c>
      <c r="B1424" t="s">
        <v>2087</v>
      </c>
      <c r="C1424" t="s">
        <v>1105</v>
      </c>
      <c r="D1424" s="110">
        <v>-34</v>
      </c>
      <c r="E1424" t="str">
        <f t="shared" si="57"/>
        <v>3</v>
      </c>
      <c r="F1424" t="str">
        <f t="shared" si="58"/>
        <v>1.4</v>
      </c>
    </row>
    <row r="1425" spans="1:6" x14ac:dyDescent="0.25">
      <c r="A1425" s="109">
        <v>5240</v>
      </c>
      <c r="B1425" t="s">
        <v>2088</v>
      </c>
      <c r="C1425" t="s">
        <v>1105</v>
      </c>
      <c r="D1425" s="110">
        <v>-34</v>
      </c>
      <c r="E1425" t="str">
        <f t="shared" si="57"/>
        <v>3</v>
      </c>
      <c r="F1425" t="str">
        <f t="shared" si="58"/>
        <v>1.4</v>
      </c>
    </row>
    <row r="1426" spans="1:6" x14ac:dyDescent="0.25">
      <c r="A1426" s="109">
        <v>5241</v>
      </c>
      <c r="B1426" t="s">
        <v>2089</v>
      </c>
      <c r="C1426" t="s">
        <v>1105</v>
      </c>
      <c r="D1426" s="110">
        <v>-34</v>
      </c>
      <c r="E1426" t="str">
        <f t="shared" si="57"/>
        <v>3</v>
      </c>
      <c r="F1426" t="str">
        <f t="shared" si="58"/>
        <v>1.4</v>
      </c>
    </row>
    <row r="1427" spans="1:6" x14ac:dyDescent="0.25">
      <c r="A1427" s="109">
        <v>5242</v>
      </c>
      <c r="B1427" t="s">
        <v>2090</v>
      </c>
      <c r="C1427" t="s">
        <v>1105</v>
      </c>
      <c r="D1427" s="110">
        <v>-34</v>
      </c>
      <c r="E1427" t="str">
        <f t="shared" si="57"/>
        <v>3</v>
      </c>
      <c r="F1427" t="str">
        <f t="shared" si="58"/>
        <v>1.4</v>
      </c>
    </row>
    <row r="1428" spans="1:6" x14ac:dyDescent="0.25">
      <c r="A1428" s="109">
        <v>5243</v>
      </c>
      <c r="B1428" t="s">
        <v>2091</v>
      </c>
      <c r="C1428" t="s">
        <v>1105</v>
      </c>
      <c r="D1428" s="110">
        <v>-34</v>
      </c>
      <c r="E1428" t="str">
        <f t="shared" si="57"/>
        <v>3</v>
      </c>
      <c r="F1428" t="str">
        <f t="shared" si="58"/>
        <v>1.4</v>
      </c>
    </row>
    <row r="1429" spans="1:6" x14ac:dyDescent="0.25">
      <c r="A1429" s="109">
        <v>5244</v>
      </c>
      <c r="B1429" t="s">
        <v>2092</v>
      </c>
      <c r="C1429" t="s">
        <v>1105</v>
      </c>
      <c r="D1429" s="110">
        <v>-34</v>
      </c>
      <c r="E1429" t="str">
        <f t="shared" si="57"/>
        <v>3</v>
      </c>
      <c r="F1429" t="str">
        <f t="shared" si="58"/>
        <v>1.4</v>
      </c>
    </row>
    <row r="1430" spans="1:6" x14ac:dyDescent="0.25">
      <c r="A1430" s="109">
        <v>5308</v>
      </c>
      <c r="B1430" t="s">
        <v>2093</v>
      </c>
      <c r="C1430" t="s">
        <v>1105</v>
      </c>
      <c r="D1430" s="110">
        <v>-34</v>
      </c>
      <c r="E1430" t="str">
        <f t="shared" si="57"/>
        <v>3</v>
      </c>
      <c r="F1430" t="str">
        <f t="shared" si="58"/>
        <v>1.4</v>
      </c>
    </row>
    <row r="1431" spans="1:6" x14ac:dyDescent="0.25">
      <c r="A1431" s="109">
        <v>5310</v>
      </c>
      <c r="B1431" t="s">
        <v>2094</v>
      </c>
      <c r="C1431" t="s">
        <v>1105</v>
      </c>
      <c r="D1431" s="110">
        <v>-34</v>
      </c>
      <c r="E1431" t="str">
        <f t="shared" si="57"/>
        <v>3</v>
      </c>
      <c r="F1431" t="str">
        <f t="shared" si="58"/>
        <v>1.4</v>
      </c>
    </row>
    <row r="1432" spans="1:6" x14ac:dyDescent="0.25">
      <c r="A1432" s="109">
        <v>5311</v>
      </c>
      <c r="B1432" t="s">
        <v>2095</v>
      </c>
      <c r="C1432" t="s">
        <v>1105</v>
      </c>
      <c r="D1432" s="110">
        <v>-34</v>
      </c>
      <c r="E1432" t="str">
        <f t="shared" si="57"/>
        <v>3</v>
      </c>
      <c r="F1432" t="str">
        <f t="shared" si="58"/>
        <v>1.4</v>
      </c>
    </row>
    <row r="1433" spans="1:6" x14ac:dyDescent="0.25">
      <c r="A1433" s="109">
        <v>5312</v>
      </c>
      <c r="B1433" t="s">
        <v>2096</v>
      </c>
      <c r="C1433" t="s">
        <v>1105</v>
      </c>
      <c r="D1433" s="110">
        <v>-34</v>
      </c>
      <c r="E1433" t="str">
        <f t="shared" si="57"/>
        <v>3</v>
      </c>
      <c r="F1433" t="str">
        <f t="shared" si="58"/>
        <v>1.4</v>
      </c>
    </row>
    <row r="1434" spans="1:6" x14ac:dyDescent="0.25">
      <c r="A1434" s="109">
        <v>5320</v>
      </c>
      <c r="B1434" t="s">
        <v>2097</v>
      </c>
      <c r="C1434" t="s">
        <v>1105</v>
      </c>
      <c r="D1434" s="110">
        <v>-34</v>
      </c>
      <c r="E1434" t="str">
        <f t="shared" si="57"/>
        <v>3</v>
      </c>
      <c r="F1434" t="str">
        <f t="shared" si="58"/>
        <v>1.4</v>
      </c>
    </row>
    <row r="1435" spans="1:6" x14ac:dyDescent="0.25">
      <c r="A1435" s="109">
        <v>5321</v>
      </c>
      <c r="B1435" t="s">
        <v>2098</v>
      </c>
      <c r="C1435" t="s">
        <v>1105</v>
      </c>
      <c r="D1435" s="110">
        <v>-34</v>
      </c>
      <c r="E1435" t="str">
        <f t="shared" si="57"/>
        <v>3</v>
      </c>
      <c r="F1435" t="str">
        <f t="shared" si="58"/>
        <v>1.4</v>
      </c>
    </row>
    <row r="1436" spans="1:6" x14ac:dyDescent="0.25">
      <c r="A1436" s="109">
        <v>5322</v>
      </c>
      <c r="B1436" t="s">
        <v>2099</v>
      </c>
      <c r="C1436" t="s">
        <v>1105</v>
      </c>
      <c r="D1436" s="110">
        <v>-34</v>
      </c>
      <c r="E1436" t="str">
        <f t="shared" si="57"/>
        <v>3</v>
      </c>
      <c r="F1436" t="str">
        <f t="shared" si="58"/>
        <v>1.4</v>
      </c>
    </row>
    <row r="1437" spans="1:6" x14ac:dyDescent="0.25">
      <c r="A1437" s="109">
        <v>5330</v>
      </c>
      <c r="B1437" t="s">
        <v>2100</v>
      </c>
      <c r="C1437" t="s">
        <v>1105</v>
      </c>
      <c r="D1437" s="110">
        <v>-34</v>
      </c>
      <c r="E1437" t="str">
        <f t="shared" si="57"/>
        <v>3</v>
      </c>
      <c r="F1437" t="str">
        <f t="shared" si="58"/>
        <v>1.4</v>
      </c>
    </row>
    <row r="1438" spans="1:6" x14ac:dyDescent="0.25">
      <c r="A1438" s="109">
        <v>5331</v>
      </c>
      <c r="B1438" t="s">
        <v>2101</v>
      </c>
      <c r="C1438" t="s">
        <v>1105</v>
      </c>
      <c r="D1438" s="110">
        <v>-34</v>
      </c>
      <c r="E1438" t="str">
        <f t="shared" si="57"/>
        <v>3</v>
      </c>
      <c r="F1438" t="str">
        <f t="shared" si="58"/>
        <v>1.4</v>
      </c>
    </row>
    <row r="1439" spans="1:6" x14ac:dyDescent="0.25">
      <c r="A1439" s="109">
        <v>5332</v>
      </c>
      <c r="B1439" t="s">
        <v>2102</v>
      </c>
      <c r="C1439" t="s">
        <v>1105</v>
      </c>
      <c r="D1439" s="110">
        <v>-34</v>
      </c>
      <c r="E1439" t="str">
        <f t="shared" si="57"/>
        <v>3</v>
      </c>
      <c r="F1439" t="str">
        <f t="shared" si="58"/>
        <v>1.4</v>
      </c>
    </row>
    <row r="1440" spans="1:6" x14ac:dyDescent="0.25">
      <c r="A1440" s="109">
        <v>5333</v>
      </c>
      <c r="B1440" t="s">
        <v>2103</v>
      </c>
      <c r="C1440" t="s">
        <v>1105</v>
      </c>
      <c r="D1440" s="110">
        <v>-34</v>
      </c>
      <c r="E1440" t="str">
        <f t="shared" si="57"/>
        <v>3</v>
      </c>
      <c r="F1440" t="str">
        <f t="shared" si="58"/>
        <v>1.4</v>
      </c>
    </row>
    <row r="1441" spans="1:6" x14ac:dyDescent="0.25">
      <c r="A1441" s="109">
        <v>5340</v>
      </c>
      <c r="B1441" t="s">
        <v>2104</v>
      </c>
      <c r="C1441" t="s">
        <v>1105</v>
      </c>
      <c r="D1441" s="110">
        <v>-34</v>
      </c>
      <c r="E1441" t="str">
        <f t="shared" si="57"/>
        <v>3</v>
      </c>
      <c r="F1441" t="str">
        <f t="shared" si="58"/>
        <v>1.4</v>
      </c>
    </row>
    <row r="1442" spans="1:6" x14ac:dyDescent="0.25">
      <c r="A1442" s="109">
        <v>5341</v>
      </c>
      <c r="B1442" t="s">
        <v>2105</v>
      </c>
      <c r="C1442" t="s">
        <v>1105</v>
      </c>
      <c r="D1442" s="110">
        <v>-34</v>
      </c>
      <c r="E1442" t="str">
        <f t="shared" si="57"/>
        <v>3</v>
      </c>
      <c r="F1442" t="str">
        <f t="shared" si="58"/>
        <v>1.4</v>
      </c>
    </row>
    <row r="1443" spans="1:6" x14ac:dyDescent="0.25">
      <c r="A1443" s="109">
        <v>5342</v>
      </c>
      <c r="B1443" t="s">
        <v>2106</v>
      </c>
      <c r="C1443" t="s">
        <v>1105</v>
      </c>
      <c r="D1443" s="110">
        <v>-34</v>
      </c>
      <c r="E1443" t="str">
        <f t="shared" si="57"/>
        <v>3</v>
      </c>
      <c r="F1443" t="str">
        <f t="shared" si="58"/>
        <v>1.4</v>
      </c>
    </row>
    <row r="1444" spans="1:6" x14ac:dyDescent="0.25">
      <c r="A1444" s="109">
        <v>5343</v>
      </c>
      <c r="B1444" t="s">
        <v>2107</v>
      </c>
      <c r="C1444" t="s">
        <v>1105</v>
      </c>
      <c r="D1444" s="110">
        <v>-34</v>
      </c>
      <c r="E1444" t="str">
        <f t="shared" si="57"/>
        <v>3</v>
      </c>
      <c r="F1444" t="str">
        <f t="shared" si="58"/>
        <v>1.4</v>
      </c>
    </row>
    <row r="1445" spans="1:6" x14ac:dyDescent="0.25">
      <c r="A1445" s="109">
        <v>5344</v>
      </c>
      <c r="B1445" t="s">
        <v>2108</v>
      </c>
      <c r="C1445" t="s">
        <v>1105</v>
      </c>
      <c r="D1445" s="110">
        <v>-34</v>
      </c>
      <c r="E1445" t="str">
        <f t="shared" si="57"/>
        <v>3</v>
      </c>
      <c r="F1445" t="str">
        <f t="shared" si="58"/>
        <v>1.4</v>
      </c>
    </row>
    <row r="1446" spans="1:6" x14ac:dyDescent="0.25">
      <c r="A1446" s="109">
        <v>5345</v>
      </c>
      <c r="B1446" t="s">
        <v>2109</v>
      </c>
      <c r="C1446" t="s">
        <v>1105</v>
      </c>
      <c r="D1446" s="110">
        <v>-34</v>
      </c>
      <c r="E1446" t="str">
        <f t="shared" si="57"/>
        <v>3</v>
      </c>
      <c r="F1446" t="str">
        <f t="shared" si="58"/>
        <v>1.4</v>
      </c>
    </row>
    <row r="1447" spans="1:6" x14ac:dyDescent="0.25">
      <c r="A1447" s="109">
        <v>5346</v>
      </c>
      <c r="B1447" t="s">
        <v>2110</v>
      </c>
      <c r="C1447" t="s">
        <v>1105</v>
      </c>
      <c r="D1447" s="110">
        <v>-34</v>
      </c>
      <c r="E1447" t="str">
        <f t="shared" ref="E1447:E1510" si="59">IF(D1447&lt;-34,"4",IF(D1447&lt;-26,"3",IF(D1447&lt;-18,"2",IF(D1447&lt;-8,"1","lits"))))</f>
        <v>3</v>
      </c>
      <c r="F1447" t="str">
        <f t="shared" si="58"/>
        <v>1.4</v>
      </c>
    </row>
    <row r="1448" spans="1:6" x14ac:dyDescent="0.25">
      <c r="A1448" s="109">
        <v>5350</v>
      </c>
      <c r="B1448" t="s">
        <v>2111</v>
      </c>
      <c r="C1448" t="s">
        <v>1105</v>
      </c>
      <c r="D1448" s="110">
        <v>-34</v>
      </c>
      <c r="E1448" t="str">
        <f t="shared" si="59"/>
        <v>3</v>
      </c>
      <c r="F1448" t="str">
        <f t="shared" si="58"/>
        <v>1.4</v>
      </c>
    </row>
    <row r="1449" spans="1:6" x14ac:dyDescent="0.25">
      <c r="A1449" s="109">
        <v>5351</v>
      </c>
      <c r="B1449" t="s">
        <v>2112</v>
      </c>
      <c r="C1449" t="s">
        <v>1105</v>
      </c>
      <c r="D1449" s="110">
        <v>-34</v>
      </c>
      <c r="E1449" t="str">
        <f t="shared" si="59"/>
        <v>3</v>
      </c>
      <c r="F1449" t="str">
        <f t="shared" si="58"/>
        <v>1.4</v>
      </c>
    </row>
    <row r="1450" spans="1:6" x14ac:dyDescent="0.25">
      <c r="A1450" s="109">
        <v>5352</v>
      </c>
      <c r="B1450" t="s">
        <v>2113</v>
      </c>
      <c r="C1450" t="s">
        <v>1105</v>
      </c>
      <c r="D1450" s="110">
        <v>-34</v>
      </c>
      <c r="E1450" t="str">
        <f t="shared" si="59"/>
        <v>3</v>
      </c>
      <c r="F1450" t="str">
        <f t="shared" si="58"/>
        <v>1.4</v>
      </c>
    </row>
    <row r="1451" spans="1:6" x14ac:dyDescent="0.25">
      <c r="A1451" s="109">
        <v>5353</v>
      </c>
      <c r="B1451" t="s">
        <v>2114</v>
      </c>
      <c r="C1451" t="s">
        <v>1105</v>
      </c>
      <c r="D1451" s="110">
        <v>-34</v>
      </c>
      <c r="E1451" t="str">
        <f t="shared" si="59"/>
        <v>3</v>
      </c>
      <c r="F1451" t="str">
        <f t="shared" si="58"/>
        <v>1.4</v>
      </c>
    </row>
    <row r="1452" spans="1:6" x14ac:dyDescent="0.25">
      <c r="A1452" s="109">
        <v>5354</v>
      </c>
      <c r="B1452" t="s">
        <v>2115</v>
      </c>
      <c r="C1452" t="s">
        <v>1105</v>
      </c>
      <c r="D1452" s="110">
        <v>-34</v>
      </c>
      <c r="E1452" t="str">
        <f t="shared" si="59"/>
        <v>3</v>
      </c>
      <c r="F1452" t="str">
        <f t="shared" si="58"/>
        <v>1.4</v>
      </c>
    </row>
    <row r="1453" spans="1:6" x14ac:dyDescent="0.25">
      <c r="A1453" s="109">
        <v>5355</v>
      </c>
      <c r="B1453" t="s">
        <v>2116</v>
      </c>
      <c r="C1453" t="s">
        <v>1105</v>
      </c>
      <c r="D1453" s="110">
        <v>-34</v>
      </c>
      <c r="E1453" t="str">
        <f t="shared" si="59"/>
        <v>3</v>
      </c>
      <c r="F1453" t="str">
        <f t="shared" si="58"/>
        <v>1.4</v>
      </c>
    </row>
    <row r="1454" spans="1:6" x14ac:dyDescent="0.25">
      <c r="A1454" s="109">
        <v>5356</v>
      </c>
      <c r="B1454" t="s">
        <v>2117</v>
      </c>
      <c r="C1454" t="s">
        <v>1105</v>
      </c>
      <c r="D1454" s="110">
        <v>-34</v>
      </c>
      <c r="E1454" t="str">
        <f t="shared" si="59"/>
        <v>3</v>
      </c>
      <c r="F1454" t="str">
        <f t="shared" si="58"/>
        <v>1.4</v>
      </c>
    </row>
    <row r="1455" spans="1:6" x14ac:dyDescent="0.25">
      <c r="A1455" s="109">
        <v>5357</v>
      </c>
      <c r="B1455" t="s">
        <v>2118</v>
      </c>
      <c r="C1455" t="s">
        <v>1105</v>
      </c>
      <c r="D1455" s="110">
        <v>-34</v>
      </c>
      <c r="E1455" t="str">
        <f t="shared" si="59"/>
        <v>3</v>
      </c>
      <c r="F1455" t="str">
        <f t="shared" si="58"/>
        <v>1.4</v>
      </c>
    </row>
    <row r="1456" spans="1:6" x14ac:dyDescent="0.25">
      <c r="A1456" s="109">
        <v>5360</v>
      </c>
      <c r="B1456" t="s">
        <v>2119</v>
      </c>
      <c r="C1456" t="s">
        <v>1105</v>
      </c>
      <c r="D1456" s="110">
        <v>-34</v>
      </c>
      <c r="E1456" t="str">
        <f t="shared" si="59"/>
        <v>3</v>
      </c>
      <c r="F1456" t="str">
        <f t="shared" si="58"/>
        <v>1.4</v>
      </c>
    </row>
    <row r="1457" spans="1:6" x14ac:dyDescent="0.25">
      <c r="A1457" s="109">
        <v>5371</v>
      </c>
      <c r="B1457" t="s">
        <v>2120</v>
      </c>
      <c r="C1457" t="s">
        <v>1105</v>
      </c>
      <c r="D1457" s="110">
        <v>-34</v>
      </c>
      <c r="E1457" t="str">
        <f t="shared" si="59"/>
        <v>3</v>
      </c>
      <c r="F1457" t="str">
        <f t="shared" si="58"/>
        <v>1.4</v>
      </c>
    </row>
    <row r="1458" spans="1:6" x14ac:dyDescent="0.25">
      <c r="A1458" s="109">
        <v>5372</v>
      </c>
      <c r="B1458" t="s">
        <v>2121</v>
      </c>
      <c r="C1458" t="s">
        <v>1105</v>
      </c>
      <c r="D1458" s="110">
        <v>-34</v>
      </c>
      <c r="E1458" t="str">
        <f t="shared" si="59"/>
        <v>3</v>
      </c>
      <c r="F1458" t="str">
        <f t="shared" si="58"/>
        <v>1.4</v>
      </c>
    </row>
    <row r="1459" spans="1:6" x14ac:dyDescent="0.25">
      <c r="A1459" s="109">
        <v>5373</v>
      </c>
      <c r="B1459" t="s">
        <v>2122</v>
      </c>
      <c r="C1459" t="s">
        <v>1105</v>
      </c>
      <c r="D1459" s="110">
        <v>-34</v>
      </c>
      <c r="E1459" t="str">
        <f t="shared" si="59"/>
        <v>3</v>
      </c>
      <c r="F1459" t="str">
        <f t="shared" si="58"/>
        <v>1.4</v>
      </c>
    </row>
    <row r="1460" spans="1:6" x14ac:dyDescent="0.25">
      <c r="A1460" s="109">
        <v>5374</v>
      </c>
      <c r="B1460" t="s">
        <v>2123</v>
      </c>
      <c r="C1460" t="s">
        <v>1105</v>
      </c>
      <c r="D1460" s="110">
        <v>-34</v>
      </c>
      <c r="E1460" t="str">
        <f t="shared" si="59"/>
        <v>3</v>
      </c>
      <c r="F1460" t="str">
        <f t="shared" si="58"/>
        <v>1.4</v>
      </c>
    </row>
    <row r="1461" spans="1:6" x14ac:dyDescent="0.25">
      <c r="A1461" s="109">
        <v>5401</v>
      </c>
      <c r="B1461" t="s">
        <v>2124</v>
      </c>
      <c r="C1461" t="s">
        <v>1105</v>
      </c>
      <c r="D1461" s="110">
        <v>-34</v>
      </c>
      <c r="E1461" t="str">
        <f t="shared" si="59"/>
        <v>3</v>
      </c>
      <c r="F1461" t="str">
        <f t="shared" si="58"/>
        <v>1.4</v>
      </c>
    </row>
    <row r="1462" spans="1:6" x14ac:dyDescent="0.25">
      <c r="A1462" s="109">
        <v>5410</v>
      </c>
      <c r="B1462" t="s">
        <v>2125</v>
      </c>
      <c r="C1462" t="s">
        <v>1105</v>
      </c>
      <c r="D1462" s="110">
        <v>-34</v>
      </c>
      <c r="E1462" t="str">
        <f t="shared" si="59"/>
        <v>3</v>
      </c>
      <c r="F1462" t="str">
        <f t="shared" si="58"/>
        <v>1.4</v>
      </c>
    </row>
    <row r="1463" spans="1:6" x14ac:dyDescent="0.25">
      <c r="A1463" s="109">
        <v>5411</v>
      </c>
      <c r="B1463" t="s">
        <v>2126</v>
      </c>
      <c r="C1463" t="s">
        <v>1105</v>
      </c>
      <c r="D1463" s="110">
        <v>-34</v>
      </c>
      <c r="E1463" t="str">
        <f t="shared" si="59"/>
        <v>3</v>
      </c>
      <c r="F1463" t="str">
        <f t="shared" si="58"/>
        <v>1.4</v>
      </c>
    </row>
    <row r="1464" spans="1:6" x14ac:dyDescent="0.25">
      <c r="A1464" s="109">
        <v>5412</v>
      </c>
      <c r="B1464" t="s">
        <v>2127</v>
      </c>
      <c r="C1464" t="s">
        <v>1105</v>
      </c>
      <c r="D1464" s="110">
        <v>-34</v>
      </c>
      <c r="E1464" t="str">
        <f t="shared" si="59"/>
        <v>3</v>
      </c>
      <c r="F1464" t="str">
        <f t="shared" si="58"/>
        <v>1.4</v>
      </c>
    </row>
    <row r="1465" spans="1:6" x14ac:dyDescent="0.25">
      <c r="A1465" s="109">
        <v>5413</v>
      </c>
      <c r="B1465" t="s">
        <v>2128</v>
      </c>
      <c r="C1465" t="s">
        <v>1105</v>
      </c>
      <c r="D1465" s="110">
        <v>-34</v>
      </c>
      <c r="E1465" t="str">
        <f t="shared" si="59"/>
        <v>3</v>
      </c>
      <c r="F1465" t="str">
        <f t="shared" si="58"/>
        <v>1.4</v>
      </c>
    </row>
    <row r="1466" spans="1:6" x14ac:dyDescent="0.25">
      <c r="A1466" s="109">
        <v>5414</v>
      </c>
      <c r="B1466" t="s">
        <v>2129</v>
      </c>
      <c r="C1466" t="s">
        <v>1105</v>
      </c>
      <c r="D1466" s="110">
        <v>-34</v>
      </c>
      <c r="E1466" t="str">
        <f t="shared" si="59"/>
        <v>3</v>
      </c>
      <c r="F1466" t="str">
        <f t="shared" si="58"/>
        <v>1.4</v>
      </c>
    </row>
    <row r="1467" spans="1:6" x14ac:dyDescent="0.25">
      <c r="A1467" s="109">
        <v>5451</v>
      </c>
      <c r="B1467" t="s">
        <v>1686</v>
      </c>
      <c r="C1467" t="s">
        <v>1105</v>
      </c>
      <c r="D1467" s="110">
        <v>-34</v>
      </c>
      <c r="E1467" t="str">
        <f t="shared" si="59"/>
        <v>3</v>
      </c>
      <c r="F1467" t="str">
        <f t="shared" si="58"/>
        <v>1.4</v>
      </c>
    </row>
    <row r="1468" spans="1:6" x14ac:dyDescent="0.25">
      <c r="A1468" s="109">
        <v>5460</v>
      </c>
      <c r="B1468" t="s">
        <v>2130</v>
      </c>
      <c r="C1468" t="s">
        <v>1105</v>
      </c>
      <c r="D1468" s="110">
        <v>-34</v>
      </c>
      <c r="E1468" t="str">
        <f t="shared" si="59"/>
        <v>3</v>
      </c>
      <c r="F1468" t="str">
        <f t="shared" si="58"/>
        <v>1.4</v>
      </c>
    </row>
    <row r="1469" spans="1:6" x14ac:dyDescent="0.25">
      <c r="A1469" s="109">
        <v>5461</v>
      </c>
      <c r="B1469" t="s">
        <v>2131</v>
      </c>
      <c r="C1469" t="s">
        <v>1105</v>
      </c>
      <c r="D1469" s="110">
        <v>-34</v>
      </c>
      <c r="E1469" t="str">
        <f t="shared" si="59"/>
        <v>3</v>
      </c>
      <c r="F1469" t="str">
        <f t="shared" si="58"/>
        <v>1.4</v>
      </c>
    </row>
    <row r="1470" spans="1:6" x14ac:dyDescent="0.25">
      <c r="A1470" s="109">
        <v>5501</v>
      </c>
      <c r="B1470" t="s">
        <v>1776</v>
      </c>
      <c r="C1470" t="s">
        <v>1105</v>
      </c>
      <c r="D1470" s="110">
        <v>-34</v>
      </c>
      <c r="E1470" t="str">
        <f t="shared" si="59"/>
        <v>3</v>
      </c>
      <c r="F1470" t="str">
        <f t="shared" si="58"/>
        <v>1.4</v>
      </c>
    </row>
    <row r="1471" spans="1:6" x14ac:dyDescent="0.25">
      <c r="A1471" s="109">
        <v>5502</v>
      </c>
      <c r="B1471" t="s">
        <v>2132</v>
      </c>
      <c r="C1471" t="s">
        <v>1105</v>
      </c>
      <c r="D1471" s="110">
        <v>-34</v>
      </c>
      <c r="E1471" t="str">
        <f t="shared" si="59"/>
        <v>3</v>
      </c>
      <c r="F1471" t="str">
        <f t="shared" si="58"/>
        <v>1.4</v>
      </c>
    </row>
    <row r="1472" spans="1:6" x14ac:dyDescent="0.25">
      <c r="A1472" s="109">
        <v>5550</v>
      </c>
      <c r="B1472" t="s">
        <v>2133</v>
      </c>
      <c r="C1472" t="s">
        <v>1105</v>
      </c>
      <c r="D1472" s="110">
        <v>-34</v>
      </c>
      <c r="E1472" t="str">
        <f t="shared" si="59"/>
        <v>3</v>
      </c>
      <c r="F1472" t="str">
        <f t="shared" si="58"/>
        <v>1.4</v>
      </c>
    </row>
    <row r="1473" spans="1:6" x14ac:dyDescent="0.25">
      <c r="A1473" s="109">
        <v>5552</v>
      </c>
      <c r="B1473" t="s">
        <v>2134</v>
      </c>
      <c r="C1473" t="s">
        <v>1105</v>
      </c>
      <c r="D1473" s="110">
        <v>-34</v>
      </c>
      <c r="E1473" t="str">
        <f t="shared" si="59"/>
        <v>3</v>
      </c>
      <c r="F1473" t="str">
        <f t="shared" si="58"/>
        <v>1.4</v>
      </c>
    </row>
    <row r="1474" spans="1:6" x14ac:dyDescent="0.25">
      <c r="A1474" s="109">
        <v>5558</v>
      </c>
      <c r="B1474" t="s">
        <v>2135</v>
      </c>
      <c r="C1474" t="s">
        <v>1105</v>
      </c>
      <c r="D1474" s="110">
        <v>-34</v>
      </c>
      <c r="E1474" t="str">
        <f t="shared" si="59"/>
        <v>3</v>
      </c>
      <c r="F1474" t="str">
        <f t="shared" si="58"/>
        <v>1.4</v>
      </c>
    </row>
    <row r="1475" spans="1:6" x14ac:dyDescent="0.25">
      <c r="A1475" s="109">
        <v>5570</v>
      </c>
      <c r="B1475" t="s">
        <v>2136</v>
      </c>
      <c r="C1475" t="s">
        <v>1105</v>
      </c>
      <c r="D1475" s="110">
        <v>-34</v>
      </c>
      <c r="E1475" t="str">
        <f t="shared" si="59"/>
        <v>3</v>
      </c>
      <c r="F1475" t="str">
        <f t="shared" ref="F1475:F1538" si="60">IF(D1475&lt;-34,"1.6",IF(D1475&lt;-26,"1.4",IF(D1475&lt;-18,"1.2",IF(D1475&lt;-8,"1","lits"))))</f>
        <v>1.4</v>
      </c>
    </row>
    <row r="1476" spans="1:6" x14ac:dyDescent="0.25">
      <c r="A1476" s="109">
        <v>5571</v>
      </c>
      <c r="B1476" t="s">
        <v>2137</v>
      </c>
      <c r="C1476" t="s">
        <v>1105</v>
      </c>
      <c r="D1476" s="110">
        <v>-34</v>
      </c>
      <c r="E1476" t="str">
        <f t="shared" si="59"/>
        <v>3</v>
      </c>
      <c r="F1476" t="str">
        <f t="shared" si="60"/>
        <v>1.4</v>
      </c>
    </row>
    <row r="1477" spans="1:6" x14ac:dyDescent="0.25">
      <c r="A1477" s="109">
        <v>5572</v>
      </c>
      <c r="B1477" t="s">
        <v>2138</v>
      </c>
      <c r="C1477" t="s">
        <v>1105</v>
      </c>
      <c r="D1477" s="110">
        <v>-34</v>
      </c>
      <c r="E1477" t="str">
        <f t="shared" si="59"/>
        <v>3</v>
      </c>
      <c r="F1477" t="str">
        <f t="shared" si="60"/>
        <v>1.4</v>
      </c>
    </row>
    <row r="1478" spans="1:6" x14ac:dyDescent="0.25">
      <c r="A1478" s="109">
        <v>5573</v>
      </c>
      <c r="B1478" t="s">
        <v>2139</v>
      </c>
      <c r="C1478" t="s">
        <v>1105</v>
      </c>
      <c r="D1478" s="110">
        <v>-34</v>
      </c>
      <c r="E1478" t="str">
        <f t="shared" si="59"/>
        <v>3</v>
      </c>
      <c r="F1478" t="str">
        <f t="shared" si="60"/>
        <v>1.4</v>
      </c>
    </row>
    <row r="1479" spans="1:6" x14ac:dyDescent="0.25">
      <c r="A1479" s="109">
        <v>5575</v>
      </c>
      <c r="B1479" t="s">
        <v>2140</v>
      </c>
      <c r="C1479" t="s">
        <v>1105</v>
      </c>
      <c r="D1479" s="110">
        <v>-34</v>
      </c>
      <c r="E1479" t="str">
        <f t="shared" si="59"/>
        <v>3</v>
      </c>
      <c r="F1479" t="str">
        <f t="shared" si="60"/>
        <v>1.4</v>
      </c>
    </row>
    <row r="1480" spans="1:6" x14ac:dyDescent="0.25">
      <c r="A1480" s="109">
        <v>5580</v>
      </c>
      <c r="B1480" t="s">
        <v>2141</v>
      </c>
      <c r="C1480" t="s">
        <v>1105</v>
      </c>
      <c r="D1480" s="110">
        <v>-34</v>
      </c>
      <c r="E1480" t="str">
        <f t="shared" si="59"/>
        <v>3</v>
      </c>
      <c r="F1480" t="str">
        <f t="shared" si="60"/>
        <v>1.4</v>
      </c>
    </row>
    <row r="1481" spans="1:6" x14ac:dyDescent="0.25">
      <c r="A1481" s="109">
        <v>5581</v>
      </c>
      <c r="B1481" t="s">
        <v>2142</v>
      </c>
      <c r="C1481" t="s">
        <v>1105</v>
      </c>
      <c r="D1481" s="110">
        <v>-34</v>
      </c>
      <c r="E1481" t="str">
        <f t="shared" si="59"/>
        <v>3</v>
      </c>
      <c r="F1481" t="str">
        <f t="shared" si="60"/>
        <v>1.4</v>
      </c>
    </row>
    <row r="1482" spans="1:6" x14ac:dyDescent="0.25">
      <c r="A1482" s="109">
        <v>5605</v>
      </c>
      <c r="B1482" t="s">
        <v>2143</v>
      </c>
      <c r="C1482" t="s">
        <v>1105</v>
      </c>
      <c r="D1482" s="110">
        <v>-34</v>
      </c>
      <c r="E1482" t="str">
        <f t="shared" si="59"/>
        <v>3</v>
      </c>
      <c r="F1482" t="str">
        <f t="shared" si="60"/>
        <v>1.4</v>
      </c>
    </row>
    <row r="1483" spans="1:6" x14ac:dyDescent="0.25">
      <c r="A1483" s="109">
        <v>5606</v>
      </c>
      <c r="B1483" t="s">
        <v>2144</v>
      </c>
      <c r="C1483" t="s">
        <v>1105</v>
      </c>
      <c r="D1483" s="110">
        <v>-34</v>
      </c>
      <c r="E1483" t="str">
        <f t="shared" si="59"/>
        <v>3</v>
      </c>
      <c r="F1483" t="str">
        <f t="shared" si="60"/>
        <v>1.4</v>
      </c>
    </row>
    <row r="1484" spans="1:6" x14ac:dyDescent="0.25">
      <c r="A1484" s="109">
        <v>5607</v>
      </c>
      <c r="B1484" t="s">
        <v>2145</v>
      </c>
      <c r="C1484" t="s">
        <v>1105</v>
      </c>
      <c r="D1484" s="110">
        <v>-34</v>
      </c>
      <c r="E1484" t="str">
        <f t="shared" si="59"/>
        <v>3</v>
      </c>
      <c r="F1484" t="str">
        <f t="shared" si="60"/>
        <v>1.4</v>
      </c>
    </row>
    <row r="1485" spans="1:6" x14ac:dyDescent="0.25">
      <c r="A1485" s="109">
        <v>5630</v>
      </c>
      <c r="B1485" t="s">
        <v>2146</v>
      </c>
      <c r="C1485" t="s">
        <v>1105</v>
      </c>
      <c r="D1485" s="110">
        <v>-34</v>
      </c>
      <c r="E1485" t="str">
        <f t="shared" si="59"/>
        <v>3</v>
      </c>
      <c r="F1485" t="str">
        <f t="shared" si="60"/>
        <v>1.4</v>
      </c>
    </row>
    <row r="1486" spans="1:6" x14ac:dyDescent="0.25">
      <c r="A1486" s="109">
        <v>5631</v>
      </c>
      <c r="B1486" t="s">
        <v>2147</v>
      </c>
      <c r="C1486" t="s">
        <v>1105</v>
      </c>
      <c r="D1486" s="110">
        <v>-34</v>
      </c>
      <c r="E1486" t="str">
        <f t="shared" si="59"/>
        <v>3</v>
      </c>
      <c r="F1486" t="str">
        <f t="shared" si="60"/>
        <v>1.4</v>
      </c>
    </row>
    <row r="1487" spans="1:6" x14ac:dyDescent="0.25">
      <c r="A1487" s="109">
        <v>5632</v>
      </c>
      <c r="B1487" t="s">
        <v>2148</v>
      </c>
      <c r="C1487" t="s">
        <v>1105</v>
      </c>
      <c r="D1487" s="110">
        <v>-34</v>
      </c>
      <c r="E1487" t="str">
        <f t="shared" si="59"/>
        <v>3</v>
      </c>
      <c r="F1487" t="str">
        <f t="shared" si="60"/>
        <v>1.4</v>
      </c>
    </row>
    <row r="1488" spans="1:6" x14ac:dyDescent="0.25">
      <c r="A1488" s="109">
        <v>6256</v>
      </c>
      <c r="B1488" t="s">
        <v>2149</v>
      </c>
      <c r="C1488" t="s">
        <v>686</v>
      </c>
      <c r="D1488" s="110">
        <v>-34</v>
      </c>
      <c r="E1488" t="str">
        <f t="shared" si="59"/>
        <v>3</v>
      </c>
      <c r="F1488" t="str">
        <f t="shared" si="60"/>
        <v>1.4</v>
      </c>
    </row>
    <row r="1489" spans="1:6" x14ac:dyDescent="0.25">
      <c r="A1489" s="109">
        <v>6258</v>
      </c>
      <c r="B1489" t="s">
        <v>2150</v>
      </c>
      <c r="C1489" t="s">
        <v>686</v>
      </c>
      <c r="D1489" s="110">
        <v>-34</v>
      </c>
      <c r="E1489" t="str">
        <f t="shared" si="59"/>
        <v>3</v>
      </c>
      <c r="F1489" t="str">
        <f t="shared" si="60"/>
        <v>1.4</v>
      </c>
    </row>
    <row r="1490" spans="1:6" x14ac:dyDescent="0.25">
      <c r="A1490" s="109">
        <v>6260</v>
      </c>
      <c r="B1490" t="s">
        <v>2151</v>
      </c>
      <c r="C1490" t="s">
        <v>686</v>
      </c>
      <c r="D1490" s="110">
        <v>-34</v>
      </c>
      <c r="E1490" t="str">
        <f t="shared" si="59"/>
        <v>3</v>
      </c>
      <c r="F1490" t="str">
        <f t="shared" si="60"/>
        <v>1.4</v>
      </c>
    </row>
    <row r="1491" spans="1:6" x14ac:dyDescent="0.25">
      <c r="A1491" s="109">
        <v>6262</v>
      </c>
      <c r="B1491" t="s">
        <v>2152</v>
      </c>
      <c r="C1491" t="s">
        <v>686</v>
      </c>
      <c r="D1491" s="110">
        <v>-34</v>
      </c>
      <c r="E1491" t="str">
        <f t="shared" si="59"/>
        <v>3</v>
      </c>
      <c r="F1491" t="str">
        <f t="shared" si="60"/>
        <v>1.4</v>
      </c>
    </row>
    <row r="1492" spans="1:6" x14ac:dyDescent="0.25">
      <c r="A1492" s="109">
        <v>6286</v>
      </c>
      <c r="B1492" t="s">
        <v>2153</v>
      </c>
      <c r="C1492" t="s">
        <v>686</v>
      </c>
      <c r="D1492" s="110">
        <v>-34</v>
      </c>
      <c r="E1492" t="str">
        <f t="shared" si="59"/>
        <v>3</v>
      </c>
      <c r="F1492" t="str">
        <f t="shared" si="60"/>
        <v>1.4</v>
      </c>
    </row>
    <row r="1493" spans="1:6" x14ac:dyDescent="0.25">
      <c r="A1493" s="109">
        <v>6288</v>
      </c>
      <c r="B1493" t="s">
        <v>2154</v>
      </c>
      <c r="C1493" t="s">
        <v>686</v>
      </c>
      <c r="D1493" s="110">
        <v>-34</v>
      </c>
      <c r="E1493" t="str">
        <f t="shared" si="59"/>
        <v>3</v>
      </c>
      <c r="F1493" t="str">
        <f t="shared" si="60"/>
        <v>1.4</v>
      </c>
    </row>
    <row r="1494" spans="1:6" x14ac:dyDescent="0.25">
      <c r="A1494" s="109">
        <v>6290</v>
      </c>
      <c r="B1494" t="s">
        <v>2155</v>
      </c>
      <c r="C1494" t="s">
        <v>686</v>
      </c>
      <c r="D1494" s="110">
        <v>-34</v>
      </c>
      <c r="E1494" t="str">
        <f t="shared" si="59"/>
        <v>3</v>
      </c>
      <c r="F1494" t="str">
        <f t="shared" si="60"/>
        <v>1.4</v>
      </c>
    </row>
    <row r="1495" spans="1:6" x14ac:dyDescent="0.25">
      <c r="A1495" s="109">
        <v>6320</v>
      </c>
      <c r="B1495" t="s">
        <v>2156</v>
      </c>
      <c r="C1495" t="s">
        <v>686</v>
      </c>
      <c r="D1495" s="110">
        <v>-34</v>
      </c>
      <c r="E1495" t="str">
        <f t="shared" si="59"/>
        <v>3</v>
      </c>
      <c r="F1495" t="str">
        <f t="shared" si="60"/>
        <v>1.4</v>
      </c>
    </row>
    <row r="1496" spans="1:6" x14ac:dyDescent="0.25">
      <c r="A1496" s="109">
        <v>6321</v>
      </c>
      <c r="B1496" t="s">
        <v>2157</v>
      </c>
      <c r="C1496" t="s">
        <v>686</v>
      </c>
      <c r="D1496" s="110">
        <v>-34</v>
      </c>
      <c r="E1496" t="str">
        <f t="shared" si="59"/>
        <v>3</v>
      </c>
      <c r="F1496" t="str">
        <f t="shared" si="60"/>
        <v>1.4</v>
      </c>
    </row>
    <row r="1497" spans="1:6" x14ac:dyDescent="0.25">
      <c r="A1497" s="109">
        <v>6322</v>
      </c>
      <c r="B1497" t="s">
        <v>2158</v>
      </c>
      <c r="C1497" t="s">
        <v>686</v>
      </c>
      <c r="D1497" s="110">
        <v>-34</v>
      </c>
      <c r="E1497" t="str">
        <f t="shared" si="59"/>
        <v>3</v>
      </c>
      <c r="F1497" t="str">
        <f t="shared" si="60"/>
        <v>1.4</v>
      </c>
    </row>
    <row r="1498" spans="1:6" x14ac:dyDescent="0.25">
      <c r="A1498" s="109">
        <v>6323</v>
      </c>
      <c r="B1498" t="s">
        <v>2159</v>
      </c>
      <c r="C1498" t="s">
        <v>686</v>
      </c>
      <c r="D1498" s="110">
        <v>-34</v>
      </c>
      <c r="E1498" t="str">
        <f t="shared" si="59"/>
        <v>3</v>
      </c>
      <c r="F1498" t="str">
        <f t="shared" si="60"/>
        <v>1.4</v>
      </c>
    </row>
    <row r="1499" spans="1:6" x14ac:dyDescent="0.25">
      <c r="A1499" s="109">
        <v>6324</v>
      </c>
      <c r="B1499" t="s">
        <v>2160</v>
      </c>
      <c r="C1499" t="s">
        <v>686</v>
      </c>
      <c r="D1499" s="110">
        <v>-34</v>
      </c>
      <c r="E1499" t="str">
        <f t="shared" si="59"/>
        <v>3</v>
      </c>
      <c r="F1499" t="str">
        <f t="shared" si="60"/>
        <v>1.4</v>
      </c>
    </row>
    <row r="1500" spans="1:6" x14ac:dyDescent="0.25">
      <c r="A1500" s="109">
        <v>6326</v>
      </c>
      <c r="B1500" t="s">
        <v>2161</v>
      </c>
      <c r="C1500" t="s">
        <v>686</v>
      </c>
      <c r="D1500" s="110">
        <v>-34</v>
      </c>
      <c r="E1500" t="str">
        <f t="shared" si="59"/>
        <v>3</v>
      </c>
      <c r="F1500" t="str">
        <f t="shared" si="60"/>
        <v>1.4</v>
      </c>
    </row>
    <row r="1501" spans="1:6" x14ac:dyDescent="0.25">
      <c r="A1501" s="109">
        <v>6328</v>
      </c>
      <c r="B1501" t="s">
        <v>2162</v>
      </c>
      <c r="C1501" t="s">
        <v>686</v>
      </c>
      <c r="D1501" s="110">
        <v>-34</v>
      </c>
      <c r="E1501" t="str">
        <f t="shared" si="59"/>
        <v>3</v>
      </c>
      <c r="F1501" t="str">
        <f t="shared" si="60"/>
        <v>1.4</v>
      </c>
    </row>
    <row r="1502" spans="1:6" x14ac:dyDescent="0.25">
      <c r="A1502" s="109">
        <v>6333</v>
      </c>
      <c r="B1502" t="s">
        <v>2163</v>
      </c>
      <c r="C1502" t="s">
        <v>686</v>
      </c>
      <c r="D1502" s="110">
        <v>-34</v>
      </c>
      <c r="E1502" t="str">
        <f t="shared" si="59"/>
        <v>3</v>
      </c>
      <c r="F1502" t="str">
        <f t="shared" si="60"/>
        <v>1.4</v>
      </c>
    </row>
    <row r="1503" spans="1:6" x14ac:dyDescent="0.25">
      <c r="A1503" s="109">
        <v>6336</v>
      </c>
      <c r="B1503" t="s">
        <v>2164</v>
      </c>
      <c r="C1503" t="s">
        <v>686</v>
      </c>
      <c r="D1503" s="110">
        <v>-34</v>
      </c>
      <c r="E1503" t="str">
        <f t="shared" si="59"/>
        <v>3</v>
      </c>
      <c r="F1503" t="str">
        <f t="shared" si="60"/>
        <v>1.4</v>
      </c>
    </row>
    <row r="1504" spans="1:6" x14ac:dyDescent="0.25">
      <c r="A1504" s="109">
        <v>6338</v>
      </c>
      <c r="B1504" t="s">
        <v>2165</v>
      </c>
      <c r="C1504" t="s">
        <v>686</v>
      </c>
      <c r="D1504" s="110">
        <v>-34</v>
      </c>
      <c r="E1504" t="str">
        <f t="shared" si="59"/>
        <v>3</v>
      </c>
      <c r="F1504" t="str">
        <f t="shared" si="60"/>
        <v>1.4</v>
      </c>
    </row>
    <row r="1505" spans="1:6" x14ac:dyDescent="0.25">
      <c r="A1505" s="109">
        <v>6395</v>
      </c>
      <c r="B1505" t="s">
        <v>2166</v>
      </c>
      <c r="C1505" t="s">
        <v>686</v>
      </c>
      <c r="D1505" s="110">
        <v>-34</v>
      </c>
      <c r="E1505" t="str">
        <f t="shared" si="59"/>
        <v>3</v>
      </c>
      <c r="F1505" t="str">
        <f t="shared" si="60"/>
        <v>1.4</v>
      </c>
    </row>
    <row r="1506" spans="1:6" x14ac:dyDescent="0.25">
      <c r="A1506" s="109">
        <v>6396</v>
      </c>
      <c r="B1506" t="s">
        <v>2167</v>
      </c>
      <c r="C1506" t="s">
        <v>686</v>
      </c>
      <c r="D1506" s="110">
        <v>-34</v>
      </c>
      <c r="E1506" t="str">
        <f t="shared" si="59"/>
        <v>3</v>
      </c>
      <c r="F1506" t="str">
        <f t="shared" si="60"/>
        <v>1.4</v>
      </c>
    </row>
    <row r="1507" spans="1:6" x14ac:dyDescent="0.25">
      <c r="A1507" s="109">
        <v>6398</v>
      </c>
      <c r="B1507" t="s">
        <v>2168</v>
      </c>
      <c r="C1507" t="s">
        <v>686</v>
      </c>
      <c r="D1507" s="110">
        <v>-34</v>
      </c>
      <c r="E1507" t="str">
        <f t="shared" si="59"/>
        <v>3</v>
      </c>
      <c r="F1507" t="str">
        <f t="shared" si="60"/>
        <v>1.4</v>
      </c>
    </row>
    <row r="1508" spans="1:6" x14ac:dyDescent="0.25">
      <c r="A1508" s="109">
        <v>2536</v>
      </c>
      <c r="B1508" t="s">
        <v>1067</v>
      </c>
      <c r="C1508" t="s">
        <v>1113</v>
      </c>
      <c r="D1508" s="110">
        <v>-35</v>
      </c>
      <c r="E1508" t="str">
        <f t="shared" si="59"/>
        <v>4</v>
      </c>
      <c r="F1508" t="str">
        <f t="shared" si="60"/>
        <v>1.6</v>
      </c>
    </row>
    <row r="1509" spans="1:6" x14ac:dyDescent="0.25">
      <c r="A1509" s="109">
        <v>2537</v>
      </c>
      <c r="B1509" t="s">
        <v>2169</v>
      </c>
      <c r="C1509" t="s">
        <v>1113</v>
      </c>
      <c r="D1509" s="110">
        <v>-35</v>
      </c>
      <c r="E1509" t="str">
        <f t="shared" si="59"/>
        <v>4</v>
      </c>
      <c r="F1509" t="str">
        <f t="shared" si="60"/>
        <v>1.6</v>
      </c>
    </row>
    <row r="1510" spans="1:6" x14ac:dyDescent="0.25">
      <c r="A1510" s="109">
        <v>2538</v>
      </c>
      <c r="B1510" t="s">
        <v>2170</v>
      </c>
      <c r="C1510" t="s">
        <v>1113</v>
      </c>
      <c r="D1510" s="110">
        <v>-35</v>
      </c>
      <c r="E1510" t="str">
        <f t="shared" si="59"/>
        <v>4</v>
      </c>
      <c r="F1510" t="str">
        <f t="shared" si="60"/>
        <v>1.6</v>
      </c>
    </row>
    <row r="1511" spans="1:6" x14ac:dyDescent="0.25">
      <c r="A1511" s="109">
        <v>2541</v>
      </c>
      <c r="B1511" t="s">
        <v>2171</v>
      </c>
      <c r="C1511" t="s">
        <v>1113</v>
      </c>
      <c r="D1511" s="110">
        <v>-35</v>
      </c>
      <c r="E1511" t="str">
        <f t="shared" ref="E1511:E1512" si="61">IF(D1511&lt;-34,"4",IF(D1511&lt;-26,"3",IF(D1511&lt;-18,"2",IF(D1511&lt;-8,"1","lits"))))</f>
        <v>4</v>
      </c>
      <c r="F1511" t="str">
        <f t="shared" si="60"/>
        <v>1.6</v>
      </c>
    </row>
    <row r="1512" spans="1:6" x14ac:dyDescent="0.25">
      <c r="A1512" s="109">
        <v>2600</v>
      </c>
      <c r="B1512" t="s">
        <v>2172</v>
      </c>
      <c r="C1512" t="s">
        <v>2173</v>
      </c>
      <c r="D1512" s="110">
        <v>-35</v>
      </c>
      <c r="E1512" t="str">
        <f t="shared" si="61"/>
        <v>4</v>
      </c>
      <c r="F1512" t="str">
        <f t="shared" si="60"/>
        <v>1.6</v>
      </c>
    </row>
    <row r="1513" spans="1:6" x14ac:dyDescent="0.25">
      <c r="A1513" s="109">
        <v>2602</v>
      </c>
      <c r="B1513" t="s">
        <v>2174</v>
      </c>
      <c r="C1513" t="s">
        <v>2173</v>
      </c>
      <c r="D1513" s="110">
        <v>-35</v>
      </c>
      <c r="E1513" t="str">
        <f t="shared" ref="E1513" si="62">IF(D1513&lt;-8,"1",IF(D1513&lt;-18,"2",IF(D1513&lt;-26,"3",IF(D1513&lt;-34,"4","lits"))))</f>
        <v>1</v>
      </c>
      <c r="F1513" t="str">
        <f t="shared" si="60"/>
        <v>1.6</v>
      </c>
    </row>
    <row r="1514" spans="1:6" x14ac:dyDescent="0.25">
      <c r="A1514" s="109">
        <v>2603</v>
      </c>
      <c r="B1514" t="s">
        <v>966</v>
      </c>
      <c r="C1514" t="s">
        <v>2173</v>
      </c>
      <c r="D1514" s="110">
        <v>-35</v>
      </c>
      <c r="E1514" t="str">
        <f t="shared" ref="E1514:E1577" si="63">IF(D1514&lt;-34,"4",IF(D1514&lt;-26,"3",IF(D1514&lt;-18,"2",IF(D1514&lt;-8,"1","lits"))))</f>
        <v>4</v>
      </c>
      <c r="F1514" t="str">
        <f t="shared" si="60"/>
        <v>1.6</v>
      </c>
    </row>
    <row r="1515" spans="1:6" x14ac:dyDescent="0.25">
      <c r="A1515" s="109">
        <v>2604</v>
      </c>
      <c r="B1515" t="s">
        <v>2175</v>
      </c>
      <c r="C1515" t="s">
        <v>2173</v>
      </c>
      <c r="D1515" s="110">
        <v>-35</v>
      </c>
      <c r="E1515" t="str">
        <f t="shared" si="63"/>
        <v>4</v>
      </c>
      <c r="F1515" t="str">
        <f t="shared" si="60"/>
        <v>1.6</v>
      </c>
    </row>
    <row r="1516" spans="1:6" x14ac:dyDescent="0.25">
      <c r="A1516" s="109">
        <v>2605</v>
      </c>
      <c r="B1516" t="s">
        <v>2176</v>
      </c>
      <c r="C1516" t="s">
        <v>2173</v>
      </c>
      <c r="D1516" s="110">
        <v>-35</v>
      </c>
      <c r="E1516" t="str">
        <f t="shared" si="63"/>
        <v>4</v>
      </c>
      <c r="F1516" t="str">
        <f t="shared" si="60"/>
        <v>1.6</v>
      </c>
    </row>
    <row r="1517" spans="1:6" x14ac:dyDescent="0.25">
      <c r="A1517" s="109">
        <v>2606</v>
      </c>
      <c r="B1517" t="s">
        <v>2177</v>
      </c>
      <c r="C1517" t="s">
        <v>2173</v>
      </c>
      <c r="D1517" s="110">
        <v>-35</v>
      </c>
      <c r="E1517" t="str">
        <f t="shared" si="63"/>
        <v>4</v>
      </c>
      <c r="F1517" t="str">
        <f t="shared" si="60"/>
        <v>1.6</v>
      </c>
    </row>
    <row r="1518" spans="1:6" x14ac:dyDescent="0.25">
      <c r="A1518" s="109">
        <v>2607</v>
      </c>
      <c r="B1518" t="s">
        <v>2178</v>
      </c>
      <c r="C1518" t="s">
        <v>2173</v>
      </c>
      <c r="D1518" s="110">
        <v>-35</v>
      </c>
      <c r="E1518" t="str">
        <f t="shared" si="63"/>
        <v>4</v>
      </c>
      <c r="F1518" t="str">
        <f t="shared" si="60"/>
        <v>1.6</v>
      </c>
    </row>
    <row r="1519" spans="1:6" x14ac:dyDescent="0.25">
      <c r="A1519" s="109">
        <v>2609</v>
      </c>
      <c r="B1519" t="s">
        <v>2179</v>
      </c>
      <c r="C1519" t="s">
        <v>2173</v>
      </c>
      <c r="D1519" s="110">
        <v>-35</v>
      </c>
      <c r="E1519" t="str">
        <f t="shared" si="63"/>
        <v>4</v>
      </c>
      <c r="F1519" t="str">
        <f t="shared" si="60"/>
        <v>1.6</v>
      </c>
    </row>
    <row r="1520" spans="1:6" x14ac:dyDescent="0.25">
      <c r="A1520" s="109">
        <v>2611</v>
      </c>
      <c r="B1520" t="s">
        <v>2180</v>
      </c>
      <c r="C1520" t="s">
        <v>2173</v>
      </c>
      <c r="D1520" s="110">
        <v>-35</v>
      </c>
      <c r="E1520" t="str">
        <f t="shared" si="63"/>
        <v>4</v>
      </c>
      <c r="F1520" t="str">
        <f t="shared" si="60"/>
        <v>1.6</v>
      </c>
    </row>
    <row r="1521" spans="1:6" x14ac:dyDescent="0.25">
      <c r="A1521" s="109">
        <v>2614</v>
      </c>
      <c r="B1521" t="s">
        <v>2181</v>
      </c>
      <c r="C1521" t="s">
        <v>2173</v>
      </c>
      <c r="D1521" s="110">
        <v>-35</v>
      </c>
      <c r="E1521" t="str">
        <f t="shared" si="63"/>
        <v>4</v>
      </c>
      <c r="F1521" t="str">
        <f t="shared" si="60"/>
        <v>1.6</v>
      </c>
    </row>
    <row r="1522" spans="1:6" x14ac:dyDescent="0.25">
      <c r="A1522" s="109">
        <v>2615</v>
      </c>
      <c r="B1522" t="s">
        <v>2182</v>
      </c>
      <c r="C1522" t="s">
        <v>2173</v>
      </c>
      <c r="D1522" s="110">
        <v>-35</v>
      </c>
      <c r="E1522" t="str">
        <f t="shared" si="63"/>
        <v>4</v>
      </c>
      <c r="F1522" t="str">
        <f t="shared" si="60"/>
        <v>1.6</v>
      </c>
    </row>
    <row r="1523" spans="1:6" x14ac:dyDescent="0.25">
      <c r="A1523" s="109">
        <v>2617</v>
      </c>
      <c r="B1523" t="s">
        <v>2183</v>
      </c>
      <c r="C1523" t="s">
        <v>2173</v>
      </c>
      <c r="D1523" s="110">
        <v>-35</v>
      </c>
      <c r="E1523" t="str">
        <f t="shared" si="63"/>
        <v>4</v>
      </c>
      <c r="F1523" t="str">
        <f t="shared" si="60"/>
        <v>1.6</v>
      </c>
    </row>
    <row r="1524" spans="1:6" x14ac:dyDescent="0.25">
      <c r="A1524" s="109">
        <v>2618</v>
      </c>
      <c r="B1524" t="s">
        <v>2184</v>
      </c>
      <c r="C1524" t="s">
        <v>2173</v>
      </c>
      <c r="D1524" s="110">
        <v>-35</v>
      </c>
      <c r="E1524" t="str">
        <f t="shared" si="63"/>
        <v>4</v>
      </c>
      <c r="F1524" t="str">
        <f t="shared" si="60"/>
        <v>1.6</v>
      </c>
    </row>
    <row r="1525" spans="1:6" x14ac:dyDescent="0.25">
      <c r="A1525" s="109">
        <v>2619</v>
      </c>
      <c r="B1525" t="s">
        <v>2185</v>
      </c>
      <c r="C1525" t="s">
        <v>1113</v>
      </c>
      <c r="D1525" s="110">
        <v>-35</v>
      </c>
      <c r="E1525" t="str">
        <f t="shared" si="63"/>
        <v>4</v>
      </c>
      <c r="F1525" t="str">
        <f t="shared" si="60"/>
        <v>1.6</v>
      </c>
    </row>
    <row r="1526" spans="1:6" x14ac:dyDescent="0.25">
      <c r="A1526" s="109">
        <v>2620</v>
      </c>
      <c r="B1526" t="s">
        <v>2186</v>
      </c>
      <c r="C1526" t="s">
        <v>1113</v>
      </c>
      <c r="D1526" s="110">
        <v>-35</v>
      </c>
      <c r="E1526" t="str">
        <f t="shared" si="63"/>
        <v>4</v>
      </c>
      <c r="F1526" t="str">
        <f t="shared" si="60"/>
        <v>1.6</v>
      </c>
    </row>
    <row r="1527" spans="1:6" x14ac:dyDescent="0.25">
      <c r="A1527" s="109">
        <v>2621</v>
      </c>
      <c r="B1527" t="s">
        <v>2187</v>
      </c>
      <c r="C1527" t="s">
        <v>1113</v>
      </c>
      <c r="D1527" s="110">
        <v>-35</v>
      </c>
      <c r="E1527" t="str">
        <f t="shared" si="63"/>
        <v>4</v>
      </c>
      <c r="F1527" t="str">
        <f t="shared" si="60"/>
        <v>1.6</v>
      </c>
    </row>
    <row r="1528" spans="1:6" x14ac:dyDescent="0.25">
      <c r="A1528" s="109">
        <v>2622</v>
      </c>
      <c r="B1528" t="s">
        <v>2188</v>
      </c>
      <c r="C1528" t="s">
        <v>1113</v>
      </c>
      <c r="D1528" s="110">
        <v>-35</v>
      </c>
      <c r="E1528" t="str">
        <f t="shared" si="63"/>
        <v>4</v>
      </c>
      <c r="F1528" t="str">
        <f t="shared" si="60"/>
        <v>1.6</v>
      </c>
    </row>
    <row r="1529" spans="1:6" x14ac:dyDescent="0.25">
      <c r="A1529" s="109">
        <v>2626</v>
      </c>
      <c r="B1529" t="s">
        <v>2189</v>
      </c>
      <c r="C1529" t="s">
        <v>1113</v>
      </c>
      <c r="D1529" s="110">
        <v>-35</v>
      </c>
      <c r="E1529" t="str">
        <f t="shared" si="63"/>
        <v>4</v>
      </c>
      <c r="F1529" t="str">
        <f t="shared" si="60"/>
        <v>1.6</v>
      </c>
    </row>
    <row r="1530" spans="1:6" x14ac:dyDescent="0.25">
      <c r="A1530" s="109">
        <v>2630</v>
      </c>
      <c r="B1530" t="s">
        <v>2190</v>
      </c>
      <c r="C1530" t="s">
        <v>1113</v>
      </c>
      <c r="D1530" s="110">
        <v>-35</v>
      </c>
      <c r="E1530" t="str">
        <f t="shared" si="63"/>
        <v>4</v>
      </c>
      <c r="F1530" t="str">
        <f t="shared" si="60"/>
        <v>1.6</v>
      </c>
    </row>
    <row r="1531" spans="1:6" x14ac:dyDescent="0.25">
      <c r="A1531" s="109">
        <v>2643</v>
      </c>
      <c r="B1531" t="s">
        <v>2191</v>
      </c>
      <c r="C1531" t="s">
        <v>1113</v>
      </c>
      <c r="D1531" s="110">
        <v>-35</v>
      </c>
      <c r="E1531" t="str">
        <f t="shared" si="63"/>
        <v>4</v>
      </c>
      <c r="F1531" t="str">
        <f t="shared" si="60"/>
        <v>1.6</v>
      </c>
    </row>
    <row r="1532" spans="1:6" x14ac:dyDescent="0.25">
      <c r="A1532" s="109">
        <v>2644</v>
      </c>
      <c r="B1532" t="s">
        <v>2192</v>
      </c>
      <c r="C1532" t="s">
        <v>1113</v>
      </c>
      <c r="D1532" s="110">
        <v>-35</v>
      </c>
      <c r="E1532" t="str">
        <f t="shared" si="63"/>
        <v>4</v>
      </c>
      <c r="F1532" t="str">
        <f t="shared" si="60"/>
        <v>1.6</v>
      </c>
    </row>
    <row r="1533" spans="1:6" x14ac:dyDescent="0.25">
      <c r="A1533" s="109">
        <v>2645</v>
      </c>
      <c r="B1533" t="s">
        <v>2193</v>
      </c>
      <c r="C1533" t="s">
        <v>1113</v>
      </c>
      <c r="D1533" s="110">
        <v>-35</v>
      </c>
      <c r="E1533" t="str">
        <f t="shared" si="63"/>
        <v>4</v>
      </c>
      <c r="F1533" t="str">
        <f t="shared" si="60"/>
        <v>1.6</v>
      </c>
    </row>
    <row r="1534" spans="1:6" x14ac:dyDescent="0.25">
      <c r="A1534" s="109">
        <v>2646</v>
      </c>
      <c r="B1534" t="s">
        <v>2194</v>
      </c>
      <c r="C1534" t="s">
        <v>1113</v>
      </c>
      <c r="D1534" s="110">
        <v>-35</v>
      </c>
      <c r="E1534" t="str">
        <f t="shared" si="63"/>
        <v>4</v>
      </c>
      <c r="F1534" t="str">
        <f t="shared" si="60"/>
        <v>1.6</v>
      </c>
    </row>
    <row r="1535" spans="1:6" x14ac:dyDescent="0.25">
      <c r="A1535" s="109">
        <v>2647</v>
      </c>
      <c r="B1535" t="s">
        <v>2195</v>
      </c>
      <c r="C1535" t="s">
        <v>1113</v>
      </c>
      <c r="D1535" s="110">
        <v>-35</v>
      </c>
      <c r="E1535" t="str">
        <f t="shared" si="63"/>
        <v>4</v>
      </c>
      <c r="F1535" t="str">
        <f t="shared" si="60"/>
        <v>1.6</v>
      </c>
    </row>
    <row r="1536" spans="1:6" x14ac:dyDescent="0.25">
      <c r="A1536" s="109">
        <v>2650</v>
      </c>
      <c r="B1536" t="s">
        <v>2196</v>
      </c>
      <c r="C1536" t="s">
        <v>1113</v>
      </c>
      <c r="D1536" s="110">
        <v>-35</v>
      </c>
      <c r="E1536" t="str">
        <f t="shared" si="63"/>
        <v>4</v>
      </c>
      <c r="F1536" t="str">
        <f t="shared" si="60"/>
        <v>1.6</v>
      </c>
    </row>
    <row r="1537" spans="1:6" x14ac:dyDescent="0.25">
      <c r="A1537" s="109">
        <v>2651</v>
      </c>
      <c r="B1537" t="s">
        <v>2197</v>
      </c>
      <c r="C1537" t="s">
        <v>1113</v>
      </c>
      <c r="D1537" s="110">
        <v>-35</v>
      </c>
      <c r="E1537" t="str">
        <f t="shared" si="63"/>
        <v>4</v>
      </c>
      <c r="F1537" t="str">
        <f t="shared" si="60"/>
        <v>1.6</v>
      </c>
    </row>
    <row r="1538" spans="1:6" x14ac:dyDescent="0.25">
      <c r="A1538" s="109">
        <v>2652</v>
      </c>
      <c r="B1538" t="s">
        <v>2198</v>
      </c>
      <c r="C1538" t="s">
        <v>1113</v>
      </c>
      <c r="D1538" s="110">
        <v>-35</v>
      </c>
      <c r="E1538" t="str">
        <f t="shared" si="63"/>
        <v>4</v>
      </c>
      <c r="F1538" t="str">
        <f t="shared" si="60"/>
        <v>1.6</v>
      </c>
    </row>
    <row r="1539" spans="1:6" x14ac:dyDescent="0.25">
      <c r="A1539" s="109">
        <v>2653</v>
      </c>
      <c r="B1539" t="s">
        <v>2199</v>
      </c>
      <c r="C1539" t="s">
        <v>1113</v>
      </c>
      <c r="D1539" s="110">
        <v>-35</v>
      </c>
      <c r="E1539" t="str">
        <f t="shared" si="63"/>
        <v>4</v>
      </c>
      <c r="F1539" t="str">
        <f t="shared" ref="F1539:F1602" si="64">IF(D1539&lt;-34,"1.6",IF(D1539&lt;-26,"1.4",IF(D1539&lt;-18,"1.2",IF(D1539&lt;-8,"1","lits"))))</f>
        <v>1.6</v>
      </c>
    </row>
    <row r="1540" spans="1:6" x14ac:dyDescent="0.25">
      <c r="A1540" s="109">
        <v>2655</v>
      </c>
      <c r="B1540" t="s">
        <v>2200</v>
      </c>
      <c r="C1540" t="s">
        <v>1113</v>
      </c>
      <c r="D1540" s="110">
        <v>-35</v>
      </c>
      <c r="E1540" t="str">
        <f t="shared" si="63"/>
        <v>4</v>
      </c>
      <c r="F1540" t="str">
        <f t="shared" si="64"/>
        <v>1.6</v>
      </c>
    </row>
    <row r="1541" spans="1:6" x14ac:dyDescent="0.25">
      <c r="A1541" s="109">
        <v>2656</v>
      </c>
      <c r="B1541" t="s">
        <v>2201</v>
      </c>
      <c r="C1541" t="s">
        <v>1113</v>
      </c>
      <c r="D1541" s="110">
        <v>-35</v>
      </c>
      <c r="E1541" t="str">
        <f t="shared" si="63"/>
        <v>4</v>
      </c>
      <c r="F1541" t="str">
        <f t="shared" si="64"/>
        <v>1.6</v>
      </c>
    </row>
    <row r="1542" spans="1:6" x14ac:dyDescent="0.25">
      <c r="A1542" s="109">
        <v>2658</v>
      </c>
      <c r="B1542" t="s">
        <v>2202</v>
      </c>
      <c r="C1542" t="s">
        <v>1113</v>
      </c>
      <c r="D1542" s="110">
        <v>-35</v>
      </c>
      <c r="E1542" t="str">
        <f t="shared" si="63"/>
        <v>4</v>
      </c>
      <c r="F1542" t="str">
        <f t="shared" si="64"/>
        <v>1.6</v>
      </c>
    </row>
    <row r="1543" spans="1:6" x14ac:dyDescent="0.25">
      <c r="A1543" s="109">
        <v>2659</v>
      </c>
      <c r="B1543" t="s">
        <v>2203</v>
      </c>
      <c r="C1543" t="s">
        <v>1113</v>
      </c>
      <c r="D1543" s="110">
        <v>-35</v>
      </c>
      <c r="E1543" t="str">
        <f t="shared" si="63"/>
        <v>4</v>
      </c>
      <c r="F1543" t="str">
        <f t="shared" si="64"/>
        <v>1.6</v>
      </c>
    </row>
    <row r="1544" spans="1:6" x14ac:dyDescent="0.25">
      <c r="A1544" s="109">
        <v>2660</v>
      </c>
      <c r="B1544" t="s">
        <v>888</v>
      </c>
      <c r="C1544" t="s">
        <v>1113</v>
      </c>
      <c r="D1544" s="110">
        <v>-35</v>
      </c>
      <c r="E1544" t="str">
        <f t="shared" si="63"/>
        <v>4</v>
      </c>
      <c r="F1544" t="str">
        <f t="shared" si="64"/>
        <v>1.6</v>
      </c>
    </row>
    <row r="1545" spans="1:6" x14ac:dyDescent="0.25">
      <c r="A1545" s="109">
        <v>2661</v>
      </c>
      <c r="B1545" t="s">
        <v>2204</v>
      </c>
      <c r="C1545" t="s">
        <v>1113</v>
      </c>
      <c r="D1545" s="110">
        <v>-35</v>
      </c>
      <c r="E1545" t="str">
        <f t="shared" si="63"/>
        <v>4</v>
      </c>
      <c r="F1545" t="str">
        <f t="shared" si="64"/>
        <v>1.6</v>
      </c>
    </row>
    <row r="1546" spans="1:6" x14ac:dyDescent="0.25">
      <c r="A1546" s="109">
        <v>2710</v>
      </c>
      <c r="B1546" t="s">
        <v>2205</v>
      </c>
      <c r="C1546" t="s">
        <v>1113</v>
      </c>
      <c r="D1546" s="110">
        <v>-35</v>
      </c>
      <c r="E1546" t="str">
        <f t="shared" si="63"/>
        <v>4</v>
      </c>
      <c r="F1546" t="str">
        <f t="shared" si="64"/>
        <v>1.6</v>
      </c>
    </row>
    <row r="1547" spans="1:6" x14ac:dyDescent="0.25">
      <c r="A1547" s="109">
        <v>2712</v>
      </c>
      <c r="B1547" t="s">
        <v>2206</v>
      </c>
      <c r="C1547" t="s">
        <v>1113</v>
      </c>
      <c r="D1547" s="110">
        <v>-35</v>
      </c>
      <c r="E1547" t="str">
        <f t="shared" si="63"/>
        <v>4</v>
      </c>
      <c r="F1547" t="str">
        <f t="shared" si="64"/>
        <v>1.6</v>
      </c>
    </row>
    <row r="1548" spans="1:6" x14ac:dyDescent="0.25">
      <c r="A1548" s="109">
        <v>2713</v>
      </c>
      <c r="B1548" t="s">
        <v>2207</v>
      </c>
      <c r="C1548" t="s">
        <v>1113</v>
      </c>
      <c r="D1548" s="110">
        <v>-35</v>
      </c>
      <c r="E1548" t="str">
        <f t="shared" si="63"/>
        <v>4</v>
      </c>
      <c r="F1548" t="str">
        <f t="shared" si="64"/>
        <v>1.6</v>
      </c>
    </row>
    <row r="1549" spans="1:6" x14ac:dyDescent="0.25">
      <c r="A1549" s="109">
        <v>2714</v>
      </c>
      <c r="B1549" t="s">
        <v>2208</v>
      </c>
      <c r="C1549" t="s">
        <v>1113</v>
      </c>
      <c r="D1549" s="110">
        <v>-35</v>
      </c>
      <c r="E1549" t="str">
        <f t="shared" si="63"/>
        <v>4</v>
      </c>
      <c r="F1549" t="str">
        <f t="shared" si="64"/>
        <v>1.6</v>
      </c>
    </row>
    <row r="1550" spans="1:6" x14ac:dyDescent="0.25">
      <c r="A1550" s="109">
        <v>2716</v>
      </c>
      <c r="B1550" t="s">
        <v>2209</v>
      </c>
      <c r="C1550" t="s">
        <v>1113</v>
      </c>
      <c r="D1550" s="110">
        <v>-35</v>
      </c>
      <c r="E1550" t="str">
        <f t="shared" si="63"/>
        <v>4</v>
      </c>
      <c r="F1550" t="str">
        <f t="shared" si="64"/>
        <v>1.6</v>
      </c>
    </row>
    <row r="1551" spans="1:6" x14ac:dyDescent="0.25">
      <c r="A1551" s="109">
        <v>2720</v>
      </c>
      <c r="B1551" t="s">
        <v>2210</v>
      </c>
      <c r="C1551" t="s">
        <v>1113</v>
      </c>
      <c r="D1551" s="110">
        <v>-35</v>
      </c>
      <c r="E1551" t="str">
        <f t="shared" si="63"/>
        <v>4</v>
      </c>
      <c r="F1551" t="str">
        <f t="shared" si="64"/>
        <v>1.6</v>
      </c>
    </row>
    <row r="1552" spans="1:6" x14ac:dyDescent="0.25">
      <c r="A1552" s="109">
        <v>2729</v>
      </c>
      <c r="B1552" t="s">
        <v>2211</v>
      </c>
      <c r="C1552" t="s">
        <v>1113</v>
      </c>
      <c r="D1552" s="110">
        <v>-35</v>
      </c>
      <c r="E1552" t="str">
        <f t="shared" si="63"/>
        <v>4</v>
      </c>
      <c r="F1552" t="str">
        <f t="shared" si="64"/>
        <v>1.6</v>
      </c>
    </row>
    <row r="1553" spans="1:6" x14ac:dyDescent="0.25">
      <c r="A1553" s="109">
        <v>2730</v>
      </c>
      <c r="B1553" t="s">
        <v>2212</v>
      </c>
      <c r="C1553" t="s">
        <v>1113</v>
      </c>
      <c r="D1553" s="110">
        <v>-35</v>
      </c>
      <c r="E1553" t="str">
        <f t="shared" si="63"/>
        <v>4</v>
      </c>
      <c r="F1553" t="str">
        <f t="shared" si="64"/>
        <v>1.6</v>
      </c>
    </row>
    <row r="1554" spans="1:6" x14ac:dyDescent="0.25">
      <c r="A1554" s="109">
        <v>2733</v>
      </c>
      <c r="B1554" t="s">
        <v>2213</v>
      </c>
      <c r="C1554" t="s">
        <v>1113</v>
      </c>
      <c r="D1554" s="110">
        <v>-35</v>
      </c>
      <c r="E1554" t="str">
        <f t="shared" si="63"/>
        <v>4</v>
      </c>
      <c r="F1554" t="str">
        <f t="shared" si="64"/>
        <v>1.6</v>
      </c>
    </row>
    <row r="1555" spans="1:6" x14ac:dyDescent="0.25">
      <c r="A1555" s="109">
        <v>2736</v>
      </c>
      <c r="B1555" t="s">
        <v>2214</v>
      </c>
      <c r="C1555" t="s">
        <v>1113</v>
      </c>
      <c r="D1555" s="110">
        <v>-35</v>
      </c>
      <c r="E1555" t="str">
        <f t="shared" si="63"/>
        <v>4</v>
      </c>
      <c r="F1555" t="str">
        <f t="shared" si="64"/>
        <v>1.6</v>
      </c>
    </row>
    <row r="1556" spans="1:6" x14ac:dyDescent="0.25">
      <c r="A1556" s="109">
        <v>2900</v>
      </c>
      <c r="B1556" t="s">
        <v>2215</v>
      </c>
      <c r="C1556" t="s">
        <v>2173</v>
      </c>
      <c r="D1556" s="110">
        <v>-35</v>
      </c>
      <c r="E1556" t="str">
        <f t="shared" si="63"/>
        <v>4</v>
      </c>
      <c r="F1556" t="str">
        <f t="shared" si="64"/>
        <v>1.6</v>
      </c>
    </row>
    <row r="1557" spans="1:6" x14ac:dyDescent="0.25">
      <c r="A1557" s="109">
        <v>2902</v>
      </c>
      <c r="B1557" t="s">
        <v>2216</v>
      </c>
      <c r="C1557" t="s">
        <v>2173</v>
      </c>
      <c r="D1557" s="110">
        <v>-35</v>
      </c>
      <c r="E1557" t="str">
        <f t="shared" si="63"/>
        <v>4</v>
      </c>
      <c r="F1557" t="str">
        <f t="shared" si="64"/>
        <v>1.6</v>
      </c>
    </row>
    <row r="1558" spans="1:6" x14ac:dyDescent="0.25">
      <c r="A1558" s="109">
        <v>2903</v>
      </c>
      <c r="B1558" t="s">
        <v>2217</v>
      </c>
      <c r="C1558" t="s">
        <v>2173</v>
      </c>
      <c r="D1558" s="110">
        <v>-35</v>
      </c>
      <c r="E1558" t="str">
        <f t="shared" si="63"/>
        <v>4</v>
      </c>
      <c r="F1558" t="str">
        <f t="shared" si="64"/>
        <v>1.6</v>
      </c>
    </row>
    <row r="1559" spans="1:6" x14ac:dyDescent="0.25">
      <c r="A1559" s="109">
        <v>2904</v>
      </c>
      <c r="B1559" t="s">
        <v>2106</v>
      </c>
      <c r="C1559" t="s">
        <v>2173</v>
      </c>
      <c r="D1559" s="110">
        <v>-35</v>
      </c>
      <c r="E1559" t="str">
        <f t="shared" si="63"/>
        <v>4</v>
      </c>
      <c r="F1559" t="str">
        <f t="shared" si="64"/>
        <v>1.6</v>
      </c>
    </row>
    <row r="1560" spans="1:6" x14ac:dyDescent="0.25">
      <c r="A1560" s="109">
        <v>2905</v>
      </c>
      <c r="B1560" t="s">
        <v>842</v>
      </c>
      <c r="C1560" t="s">
        <v>2173</v>
      </c>
      <c r="D1560" s="110">
        <v>-35</v>
      </c>
      <c r="E1560" t="str">
        <f t="shared" si="63"/>
        <v>4</v>
      </c>
      <c r="F1560" t="str">
        <f t="shared" si="64"/>
        <v>1.6</v>
      </c>
    </row>
    <row r="1561" spans="1:6" x14ac:dyDescent="0.25">
      <c r="A1561" s="109">
        <v>2906</v>
      </c>
      <c r="B1561" t="s">
        <v>1622</v>
      </c>
      <c r="C1561" t="s">
        <v>2173</v>
      </c>
      <c r="D1561" s="110">
        <v>-35</v>
      </c>
      <c r="E1561" t="str">
        <f t="shared" si="63"/>
        <v>4</v>
      </c>
      <c r="F1561" t="str">
        <f t="shared" si="64"/>
        <v>1.6</v>
      </c>
    </row>
    <row r="1562" spans="1:6" x14ac:dyDescent="0.25">
      <c r="A1562" s="109">
        <v>2911</v>
      </c>
      <c r="B1562" t="s">
        <v>887</v>
      </c>
      <c r="C1562" t="s">
        <v>2173</v>
      </c>
      <c r="D1562" s="110">
        <v>-35</v>
      </c>
      <c r="E1562" t="str">
        <f t="shared" si="63"/>
        <v>4</v>
      </c>
      <c r="F1562" t="str">
        <f t="shared" si="64"/>
        <v>1.6</v>
      </c>
    </row>
    <row r="1563" spans="1:6" x14ac:dyDescent="0.25">
      <c r="A1563" s="109">
        <v>3395</v>
      </c>
      <c r="B1563" t="s">
        <v>2218</v>
      </c>
      <c r="C1563" t="s">
        <v>1991</v>
      </c>
      <c r="D1563" s="110">
        <v>-35</v>
      </c>
      <c r="E1563" t="str">
        <f t="shared" si="63"/>
        <v>4</v>
      </c>
      <c r="F1563" t="str">
        <f t="shared" si="64"/>
        <v>1.6</v>
      </c>
    </row>
    <row r="1564" spans="1:6" x14ac:dyDescent="0.25">
      <c r="A1564" s="109">
        <v>3396</v>
      </c>
      <c r="B1564" t="s">
        <v>1896</v>
      </c>
      <c r="C1564" t="s">
        <v>1991</v>
      </c>
      <c r="D1564" s="110">
        <v>-35</v>
      </c>
      <c r="E1564" t="str">
        <f t="shared" si="63"/>
        <v>4</v>
      </c>
      <c r="F1564" t="str">
        <f t="shared" si="64"/>
        <v>1.6</v>
      </c>
    </row>
    <row r="1565" spans="1:6" x14ac:dyDescent="0.25">
      <c r="A1565" s="109">
        <v>3424</v>
      </c>
      <c r="B1565" t="s">
        <v>2219</v>
      </c>
      <c r="C1565" t="s">
        <v>1991</v>
      </c>
      <c r="D1565" s="110">
        <v>-35</v>
      </c>
      <c r="E1565" t="str">
        <f t="shared" si="63"/>
        <v>4</v>
      </c>
      <c r="F1565" t="str">
        <f t="shared" si="64"/>
        <v>1.6</v>
      </c>
    </row>
    <row r="1566" spans="1:6" x14ac:dyDescent="0.25">
      <c r="A1566" s="109">
        <v>3483</v>
      </c>
      <c r="B1566" t="s">
        <v>2220</v>
      </c>
      <c r="C1566" t="s">
        <v>1991</v>
      </c>
      <c r="D1566" s="110">
        <v>-35</v>
      </c>
      <c r="E1566" t="str">
        <f t="shared" si="63"/>
        <v>4</v>
      </c>
      <c r="F1566" t="str">
        <f t="shared" si="64"/>
        <v>1.6</v>
      </c>
    </row>
    <row r="1567" spans="1:6" x14ac:dyDescent="0.25">
      <c r="A1567" s="109">
        <v>3485</v>
      </c>
      <c r="B1567" t="s">
        <v>2221</v>
      </c>
      <c r="C1567" t="s">
        <v>1991</v>
      </c>
      <c r="D1567" s="110">
        <v>-35</v>
      </c>
      <c r="E1567" t="str">
        <f t="shared" si="63"/>
        <v>4</v>
      </c>
      <c r="F1567" t="str">
        <f t="shared" si="64"/>
        <v>1.6</v>
      </c>
    </row>
    <row r="1568" spans="1:6" x14ac:dyDescent="0.25">
      <c r="A1568" s="109">
        <v>3487</v>
      </c>
      <c r="B1568" t="s">
        <v>2222</v>
      </c>
      <c r="C1568" t="s">
        <v>1991</v>
      </c>
      <c r="D1568" s="110">
        <v>-35</v>
      </c>
      <c r="E1568" t="str">
        <f t="shared" si="63"/>
        <v>4</v>
      </c>
      <c r="F1568" t="str">
        <f t="shared" si="64"/>
        <v>1.6</v>
      </c>
    </row>
    <row r="1569" spans="1:6" x14ac:dyDescent="0.25">
      <c r="A1569" s="109">
        <v>3488</v>
      </c>
      <c r="B1569" t="s">
        <v>2223</v>
      </c>
      <c r="C1569" t="s">
        <v>1991</v>
      </c>
      <c r="D1569" s="110">
        <v>-35</v>
      </c>
      <c r="E1569" t="str">
        <f t="shared" si="63"/>
        <v>4</v>
      </c>
      <c r="F1569" t="str">
        <f t="shared" si="64"/>
        <v>1.6</v>
      </c>
    </row>
    <row r="1570" spans="1:6" x14ac:dyDescent="0.25">
      <c r="A1570" s="109">
        <v>3489</v>
      </c>
      <c r="B1570" t="s">
        <v>2224</v>
      </c>
      <c r="C1570" t="s">
        <v>1991</v>
      </c>
      <c r="D1570" s="110">
        <v>-35</v>
      </c>
      <c r="E1570" t="str">
        <f t="shared" si="63"/>
        <v>4</v>
      </c>
      <c r="F1570" t="str">
        <f t="shared" si="64"/>
        <v>1.6</v>
      </c>
    </row>
    <row r="1571" spans="1:6" x14ac:dyDescent="0.25">
      <c r="A1571" s="109">
        <v>3491</v>
      </c>
      <c r="B1571" t="s">
        <v>2225</v>
      </c>
      <c r="C1571" t="s">
        <v>1991</v>
      </c>
      <c r="D1571" s="110">
        <v>-35</v>
      </c>
      <c r="E1571" t="str">
        <f t="shared" si="63"/>
        <v>4</v>
      </c>
      <c r="F1571" t="str">
        <f t="shared" si="64"/>
        <v>1.6</v>
      </c>
    </row>
    <row r="1572" spans="1:6" x14ac:dyDescent="0.25">
      <c r="A1572" s="109">
        <v>3509</v>
      </c>
      <c r="B1572" t="s">
        <v>2226</v>
      </c>
      <c r="C1572" t="s">
        <v>1991</v>
      </c>
      <c r="D1572" s="110">
        <v>-35</v>
      </c>
      <c r="E1572" t="str">
        <f t="shared" si="63"/>
        <v>4</v>
      </c>
      <c r="F1572" t="str">
        <f t="shared" si="64"/>
        <v>1.6</v>
      </c>
    </row>
    <row r="1573" spans="1:6" x14ac:dyDescent="0.25">
      <c r="A1573" s="109">
        <v>3512</v>
      </c>
      <c r="B1573" t="s">
        <v>2227</v>
      </c>
      <c r="C1573" t="s">
        <v>1991</v>
      </c>
      <c r="D1573" s="110">
        <v>-35</v>
      </c>
      <c r="E1573" t="str">
        <f t="shared" si="63"/>
        <v>4</v>
      </c>
      <c r="F1573" t="str">
        <f t="shared" si="64"/>
        <v>1.6</v>
      </c>
    </row>
    <row r="1574" spans="1:6" x14ac:dyDescent="0.25">
      <c r="A1574" s="109">
        <v>3529</v>
      </c>
      <c r="B1574" t="s">
        <v>2228</v>
      </c>
      <c r="C1574" t="s">
        <v>1991</v>
      </c>
      <c r="D1574" s="110">
        <v>-35</v>
      </c>
      <c r="E1574" t="str">
        <f t="shared" si="63"/>
        <v>4</v>
      </c>
      <c r="F1574" t="str">
        <f t="shared" si="64"/>
        <v>1.6</v>
      </c>
    </row>
    <row r="1575" spans="1:6" x14ac:dyDescent="0.25">
      <c r="A1575" s="109">
        <v>3530</v>
      </c>
      <c r="B1575" t="s">
        <v>2229</v>
      </c>
      <c r="C1575" t="s">
        <v>1991</v>
      </c>
      <c r="D1575" s="110">
        <v>-35</v>
      </c>
      <c r="E1575" t="str">
        <f t="shared" si="63"/>
        <v>4</v>
      </c>
      <c r="F1575" t="str">
        <f t="shared" si="64"/>
        <v>1.6</v>
      </c>
    </row>
    <row r="1576" spans="1:6" x14ac:dyDescent="0.25">
      <c r="A1576" s="109">
        <v>3531</v>
      </c>
      <c r="B1576" t="s">
        <v>2230</v>
      </c>
      <c r="C1576" t="s">
        <v>1991</v>
      </c>
      <c r="D1576" s="110">
        <v>-35</v>
      </c>
      <c r="E1576" t="str">
        <f t="shared" si="63"/>
        <v>4</v>
      </c>
      <c r="F1576" t="str">
        <f t="shared" si="64"/>
        <v>1.6</v>
      </c>
    </row>
    <row r="1577" spans="1:6" x14ac:dyDescent="0.25">
      <c r="A1577" s="109">
        <v>3533</v>
      </c>
      <c r="B1577" t="s">
        <v>2231</v>
      </c>
      <c r="C1577" t="s">
        <v>1991</v>
      </c>
      <c r="D1577" s="110">
        <v>-35</v>
      </c>
      <c r="E1577" t="str">
        <f t="shared" si="63"/>
        <v>4</v>
      </c>
      <c r="F1577" t="str">
        <f t="shared" si="64"/>
        <v>1.6</v>
      </c>
    </row>
    <row r="1578" spans="1:6" x14ac:dyDescent="0.25">
      <c r="A1578" s="109">
        <v>3537</v>
      </c>
      <c r="B1578" t="s">
        <v>2232</v>
      </c>
      <c r="C1578" t="s">
        <v>1991</v>
      </c>
      <c r="D1578" s="110">
        <v>-35</v>
      </c>
      <c r="E1578" t="str">
        <f t="shared" ref="E1578:E1641" si="65">IF(D1578&lt;-34,"4",IF(D1578&lt;-26,"3",IF(D1578&lt;-18,"2",IF(D1578&lt;-8,"1","lits"))))</f>
        <v>4</v>
      </c>
      <c r="F1578" t="str">
        <f t="shared" si="64"/>
        <v>1.6</v>
      </c>
    </row>
    <row r="1579" spans="1:6" x14ac:dyDescent="0.25">
      <c r="A1579" s="109">
        <v>3540</v>
      </c>
      <c r="B1579" t="s">
        <v>2233</v>
      </c>
      <c r="C1579" t="s">
        <v>1991</v>
      </c>
      <c r="D1579" s="110">
        <v>-35</v>
      </c>
      <c r="E1579" t="str">
        <f t="shared" si="65"/>
        <v>4</v>
      </c>
      <c r="F1579" t="str">
        <f t="shared" si="64"/>
        <v>1.6</v>
      </c>
    </row>
    <row r="1580" spans="1:6" x14ac:dyDescent="0.25">
      <c r="A1580" s="109">
        <v>3542</v>
      </c>
      <c r="B1580" t="s">
        <v>2234</v>
      </c>
      <c r="C1580" t="s">
        <v>1991</v>
      </c>
      <c r="D1580" s="110">
        <v>-35</v>
      </c>
      <c r="E1580" t="str">
        <f t="shared" si="65"/>
        <v>4</v>
      </c>
      <c r="F1580" t="str">
        <f t="shared" si="64"/>
        <v>1.6</v>
      </c>
    </row>
    <row r="1581" spans="1:6" x14ac:dyDescent="0.25">
      <c r="A1581" s="109">
        <v>3544</v>
      </c>
      <c r="B1581" t="s">
        <v>2235</v>
      </c>
      <c r="C1581" t="s">
        <v>1991</v>
      </c>
      <c r="D1581" s="110">
        <v>-35</v>
      </c>
      <c r="E1581" t="str">
        <f t="shared" si="65"/>
        <v>4</v>
      </c>
      <c r="F1581" t="str">
        <f t="shared" si="64"/>
        <v>1.6</v>
      </c>
    </row>
    <row r="1582" spans="1:6" x14ac:dyDescent="0.25">
      <c r="A1582" s="109">
        <v>3546</v>
      </c>
      <c r="B1582" t="s">
        <v>2236</v>
      </c>
      <c r="C1582" t="s">
        <v>1991</v>
      </c>
      <c r="D1582" s="110">
        <v>-35</v>
      </c>
      <c r="E1582" t="str">
        <f t="shared" si="65"/>
        <v>4</v>
      </c>
      <c r="F1582" t="str">
        <f t="shared" si="64"/>
        <v>1.6</v>
      </c>
    </row>
    <row r="1583" spans="1:6" x14ac:dyDescent="0.25">
      <c r="A1583" s="109">
        <v>3566</v>
      </c>
      <c r="B1583" t="s">
        <v>2237</v>
      </c>
      <c r="C1583" t="s">
        <v>1991</v>
      </c>
      <c r="D1583" s="110">
        <v>-35</v>
      </c>
      <c r="E1583" t="str">
        <f t="shared" si="65"/>
        <v>4</v>
      </c>
      <c r="F1583" t="str">
        <f t="shared" si="64"/>
        <v>1.6</v>
      </c>
    </row>
    <row r="1584" spans="1:6" x14ac:dyDescent="0.25">
      <c r="A1584" s="109">
        <v>3567</v>
      </c>
      <c r="B1584" t="s">
        <v>2238</v>
      </c>
      <c r="C1584" t="s">
        <v>1991</v>
      </c>
      <c r="D1584" s="110">
        <v>-35</v>
      </c>
      <c r="E1584" t="str">
        <f t="shared" si="65"/>
        <v>4</v>
      </c>
      <c r="F1584" t="str">
        <f t="shared" si="64"/>
        <v>1.6</v>
      </c>
    </row>
    <row r="1585" spans="1:6" x14ac:dyDescent="0.25">
      <c r="A1585" s="109">
        <v>3568</v>
      </c>
      <c r="B1585" t="s">
        <v>2239</v>
      </c>
      <c r="C1585" t="s">
        <v>1991</v>
      </c>
      <c r="D1585" s="110">
        <v>-35</v>
      </c>
      <c r="E1585" t="str">
        <f t="shared" si="65"/>
        <v>4</v>
      </c>
      <c r="F1585" t="str">
        <f t="shared" si="64"/>
        <v>1.6</v>
      </c>
    </row>
    <row r="1586" spans="1:6" x14ac:dyDescent="0.25">
      <c r="A1586" s="109">
        <v>3575</v>
      </c>
      <c r="B1586" t="s">
        <v>2240</v>
      </c>
      <c r="C1586" t="s">
        <v>1991</v>
      </c>
      <c r="D1586" s="110">
        <v>-35</v>
      </c>
      <c r="E1586" t="str">
        <f t="shared" si="65"/>
        <v>4</v>
      </c>
      <c r="F1586" t="str">
        <f t="shared" si="64"/>
        <v>1.6</v>
      </c>
    </row>
    <row r="1587" spans="1:6" x14ac:dyDescent="0.25">
      <c r="A1587" s="109">
        <v>3579</v>
      </c>
      <c r="B1587" t="s">
        <v>2241</v>
      </c>
      <c r="C1587" t="s">
        <v>1991</v>
      </c>
      <c r="D1587" s="110">
        <v>-35</v>
      </c>
      <c r="E1587" t="str">
        <f t="shared" si="65"/>
        <v>4</v>
      </c>
      <c r="F1587" t="str">
        <f t="shared" si="64"/>
        <v>1.6</v>
      </c>
    </row>
    <row r="1588" spans="1:6" x14ac:dyDescent="0.25">
      <c r="A1588" s="109">
        <v>3580</v>
      </c>
      <c r="B1588" t="s">
        <v>2242</v>
      </c>
      <c r="C1588" t="s">
        <v>1991</v>
      </c>
      <c r="D1588" s="110">
        <v>-35</v>
      </c>
      <c r="E1588" t="str">
        <f t="shared" si="65"/>
        <v>4</v>
      </c>
      <c r="F1588" t="str">
        <f t="shared" si="64"/>
        <v>1.6</v>
      </c>
    </row>
    <row r="1589" spans="1:6" x14ac:dyDescent="0.25">
      <c r="A1589" s="109">
        <v>3584</v>
      </c>
      <c r="B1589" t="s">
        <v>2243</v>
      </c>
      <c r="C1589" t="s">
        <v>1991</v>
      </c>
      <c r="D1589" s="110">
        <v>-35</v>
      </c>
      <c r="E1589" t="str">
        <f t="shared" si="65"/>
        <v>4</v>
      </c>
      <c r="F1589" t="str">
        <f t="shared" si="64"/>
        <v>1.6</v>
      </c>
    </row>
    <row r="1590" spans="1:6" x14ac:dyDescent="0.25">
      <c r="A1590" s="109">
        <v>3585</v>
      </c>
      <c r="B1590" t="s">
        <v>2244</v>
      </c>
      <c r="C1590" t="s">
        <v>1991</v>
      </c>
      <c r="D1590" s="110">
        <v>-35</v>
      </c>
      <c r="E1590" t="str">
        <f t="shared" si="65"/>
        <v>4</v>
      </c>
      <c r="F1590" t="str">
        <f t="shared" si="64"/>
        <v>1.6</v>
      </c>
    </row>
    <row r="1591" spans="1:6" x14ac:dyDescent="0.25">
      <c r="A1591" s="109">
        <v>3588</v>
      </c>
      <c r="B1591" t="s">
        <v>2245</v>
      </c>
      <c r="C1591" t="s">
        <v>1991</v>
      </c>
      <c r="D1591" s="110">
        <v>-35</v>
      </c>
      <c r="E1591" t="str">
        <f t="shared" si="65"/>
        <v>4</v>
      </c>
      <c r="F1591" t="str">
        <f t="shared" si="64"/>
        <v>1.6</v>
      </c>
    </row>
    <row r="1592" spans="1:6" x14ac:dyDescent="0.25">
      <c r="A1592" s="109">
        <v>3591</v>
      </c>
      <c r="B1592" t="s">
        <v>2246</v>
      </c>
      <c r="C1592" t="s">
        <v>1991</v>
      </c>
      <c r="D1592" s="110">
        <v>-35</v>
      </c>
      <c r="E1592" t="str">
        <f t="shared" si="65"/>
        <v>4</v>
      </c>
      <c r="F1592" t="str">
        <f t="shared" si="64"/>
        <v>1.6</v>
      </c>
    </row>
    <row r="1593" spans="1:6" x14ac:dyDescent="0.25">
      <c r="A1593" s="109">
        <v>3594</v>
      </c>
      <c r="B1593" t="s">
        <v>2247</v>
      </c>
      <c r="C1593" t="s">
        <v>1991</v>
      </c>
      <c r="D1593" s="110">
        <v>-35</v>
      </c>
      <c r="E1593" t="str">
        <f t="shared" si="65"/>
        <v>4</v>
      </c>
      <c r="F1593" t="str">
        <f t="shared" si="64"/>
        <v>1.6</v>
      </c>
    </row>
    <row r="1594" spans="1:6" x14ac:dyDescent="0.25">
      <c r="A1594" s="109">
        <v>3595</v>
      </c>
      <c r="B1594" t="s">
        <v>2248</v>
      </c>
      <c r="C1594" t="s">
        <v>1991</v>
      </c>
      <c r="D1594" s="110">
        <v>-35</v>
      </c>
      <c r="E1594" t="str">
        <f t="shared" si="65"/>
        <v>4</v>
      </c>
      <c r="F1594" t="str">
        <f t="shared" si="64"/>
        <v>1.6</v>
      </c>
    </row>
    <row r="1595" spans="1:6" x14ac:dyDescent="0.25">
      <c r="A1595" s="109">
        <v>3638</v>
      </c>
      <c r="B1595" t="s">
        <v>2249</v>
      </c>
      <c r="C1595" t="s">
        <v>1991</v>
      </c>
      <c r="D1595" s="110">
        <v>-35</v>
      </c>
      <c r="E1595" t="str">
        <f t="shared" si="65"/>
        <v>4</v>
      </c>
      <c r="F1595" t="str">
        <f t="shared" si="64"/>
        <v>1.6</v>
      </c>
    </row>
    <row r="1596" spans="1:6" x14ac:dyDescent="0.25">
      <c r="A1596" s="109">
        <v>3639</v>
      </c>
      <c r="B1596" t="s">
        <v>2250</v>
      </c>
      <c r="C1596" t="s">
        <v>1991</v>
      </c>
      <c r="D1596" s="110">
        <v>-35</v>
      </c>
      <c r="E1596" t="str">
        <f t="shared" si="65"/>
        <v>4</v>
      </c>
      <c r="F1596" t="str">
        <f t="shared" si="64"/>
        <v>1.6</v>
      </c>
    </row>
    <row r="1597" spans="1:6" x14ac:dyDescent="0.25">
      <c r="A1597" s="109">
        <v>3640</v>
      </c>
      <c r="B1597" t="s">
        <v>2251</v>
      </c>
      <c r="C1597" t="s">
        <v>1991</v>
      </c>
      <c r="D1597" s="110">
        <v>-35</v>
      </c>
      <c r="E1597" t="str">
        <f t="shared" si="65"/>
        <v>4</v>
      </c>
      <c r="F1597" t="str">
        <f t="shared" si="64"/>
        <v>1.6</v>
      </c>
    </row>
    <row r="1598" spans="1:6" x14ac:dyDescent="0.25">
      <c r="A1598" s="109">
        <v>3641</v>
      </c>
      <c r="B1598" t="s">
        <v>2252</v>
      </c>
      <c r="C1598" t="s">
        <v>1991</v>
      </c>
      <c r="D1598" s="110">
        <v>-35</v>
      </c>
      <c r="E1598" t="str">
        <f t="shared" si="65"/>
        <v>4</v>
      </c>
      <c r="F1598" t="str">
        <f t="shared" si="64"/>
        <v>1.6</v>
      </c>
    </row>
    <row r="1599" spans="1:6" x14ac:dyDescent="0.25">
      <c r="A1599" s="109">
        <v>3644</v>
      </c>
      <c r="B1599" t="s">
        <v>2253</v>
      </c>
      <c r="C1599" t="s">
        <v>1991</v>
      </c>
      <c r="D1599" s="110">
        <v>-35</v>
      </c>
      <c r="E1599" t="str">
        <f t="shared" si="65"/>
        <v>4</v>
      </c>
      <c r="F1599" t="str">
        <f t="shared" si="64"/>
        <v>1.6</v>
      </c>
    </row>
    <row r="1600" spans="1:6" x14ac:dyDescent="0.25">
      <c r="A1600" s="109">
        <v>3709</v>
      </c>
      <c r="B1600" t="s">
        <v>2254</v>
      </c>
      <c r="C1600" t="s">
        <v>1991</v>
      </c>
      <c r="D1600" s="110">
        <v>-35</v>
      </c>
      <c r="E1600" t="str">
        <f t="shared" si="65"/>
        <v>4</v>
      </c>
      <c r="F1600" t="str">
        <f t="shared" si="64"/>
        <v>1.6</v>
      </c>
    </row>
    <row r="1601" spans="1:6" x14ac:dyDescent="0.25">
      <c r="A1601" s="109">
        <v>5042</v>
      </c>
      <c r="B1601" t="s">
        <v>1780</v>
      </c>
      <c r="C1601" t="s">
        <v>1105</v>
      </c>
      <c r="D1601" s="110">
        <v>-35</v>
      </c>
      <c r="E1601" t="str">
        <f t="shared" si="65"/>
        <v>4</v>
      </c>
      <c r="F1601" t="str">
        <f t="shared" si="64"/>
        <v>1.6</v>
      </c>
    </row>
    <row r="1602" spans="1:6" x14ac:dyDescent="0.25">
      <c r="A1602" s="109">
        <v>5046</v>
      </c>
      <c r="B1602" t="s">
        <v>2255</v>
      </c>
      <c r="C1602" t="s">
        <v>1105</v>
      </c>
      <c r="D1602" s="110">
        <v>-35</v>
      </c>
      <c r="E1602" t="str">
        <f t="shared" si="65"/>
        <v>4</v>
      </c>
      <c r="F1602" t="str">
        <f t="shared" si="64"/>
        <v>1.6</v>
      </c>
    </row>
    <row r="1603" spans="1:6" x14ac:dyDescent="0.25">
      <c r="A1603" s="109">
        <v>5047</v>
      </c>
      <c r="B1603" t="s">
        <v>2256</v>
      </c>
      <c r="C1603" t="s">
        <v>1105</v>
      </c>
      <c r="D1603" s="110">
        <v>-35</v>
      </c>
      <c r="E1603" t="str">
        <f t="shared" si="65"/>
        <v>4</v>
      </c>
      <c r="F1603" t="str">
        <f t="shared" ref="F1603:F1666" si="66">IF(D1603&lt;-34,"1.6",IF(D1603&lt;-26,"1.4",IF(D1603&lt;-18,"1.2",IF(D1603&lt;-8,"1","lits"))))</f>
        <v>1.6</v>
      </c>
    </row>
    <row r="1604" spans="1:6" x14ac:dyDescent="0.25">
      <c r="A1604" s="109">
        <v>5048</v>
      </c>
      <c r="B1604" t="s">
        <v>2257</v>
      </c>
      <c r="C1604" t="s">
        <v>1105</v>
      </c>
      <c r="D1604" s="110">
        <v>-35</v>
      </c>
      <c r="E1604" t="str">
        <f t="shared" si="65"/>
        <v>4</v>
      </c>
      <c r="F1604" t="str">
        <f t="shared" si="66"/>
        <v>1.6</v>
      </c>
    </row>
    <row r="1605" spans="1:6" x14ac:dyDescent="0.25">
      <c r="A1605" s="109">
        <v>5049</v>
      </c>
      <c r="B1605" t="s">
        <v>2258</v>
      </c>
      <c r="C1605" t="s">
        <v>1105</v>
      </c>
      <c r="D1605" s="110">
        <v>-35</v>
      </c>
      <c r="E1605" t="str">
        <f t="shared" si="65"/>
        <v>4</v>
      </c>
      <c r="F1605" t="str">
        <f t="shared" si="66"/>
        <v>1.6</v>
      </c>
    </row>
    <row r="1606" spans="1:6" x14ac:dyDescent="0.25">
      <c r="A1606" s="109">
        <v>5050</v>
      </c>
      <c r="B1606" t="s">
        <v>2259</v>
      </c>
      <c r="C1606" t="s">
        <v>1105</v>
      </c>
      <c r="D1606" s="110">
        <v>-35</v>
      </c>
      <c r="E1606" t="str">
        <f t="shared" si="65"/>
        <v>4</v>
      </c>
      <c r="F1606" t="str">
        <f t="shared" si="66"/>
        <v>1.6</v>
      </c>
    </row>
    <row r="1607" spans="1:6" x14ac:dyDescent="0.25">
      <c r="A1607" s="109">
        <v>5051</v>
      </c>
      <c r="B1607" t="s">
        <v>2260</v>
      </c>
      <c r="C1607" t="s">
        <v>1105</v>
      </c>
      <c r="D1607" s="110">
        <v>-35</v>
      </c>
      <c r="E1607" t="str">
        <f t="shared" si="65"/>
        <v>4</v>
      </c>
      <c r="F1607" t="str">
        <f t="shared" si="66"/>
        <v>1.6</v>
      </c>
    </row>
    <row r="1608" spans="1:6" x14ac:dyDescent="0.25">
      <c r="A1608" s="109">
        <v>5150</v>
      </c>
      <c r="B1608" t="s">
        <v>2261</v>
      </c>
      <c r="C1608" t="s">
        <v>1105</v>
      </c>
      <c r="D1608" s="110">
        <v>-35</v>
      </c>
      <c r="E1608" t="str">
        <f t="shared" si="65"/>
        <v>4</v>
      </c>
      <c r="F1608" t="str">
        <f t="shared" si="66"/>
        <v>1.6</v>
      </c>
    </row>
    <row r="1609" spans="1:6" x14ac:dyDescent="0.25">
      <c r="A1609" s="109">
        <v>5153</v>
      </c>
      <c r="B1609" t="s">
        <v>2262</v>
      </c>
      <c r="C1609" t="s">
        <v>1105</v>
      </c>
      <c r="D1609" s="110">
        <v>-35</v>
      </c>
      <c r="E1609" t="str">
        <f t="shared" si="65"/>
        <v>4</v>
      </c>
      <c r="F1609" t="str">
        <f t="shared" si="66"/>
        <v>1.6</v>
      </c>
    </row>
    <row r="1610" spans="1:6" x14ac:dyDescent="0.25">
      <c r="A1610" s="109">
        <v>5154</v>
      </c>
      <c r="B1610" t="s">
        <v>2263</v>
      </c>
      <c r="C1610" t="s">
        <v>1105</v>
      </c>
      <c r="D1610" s="110">
        <v>-35</v>
      </c>
      <c r="E1610" t="str">
        <f t="shared" si="65"/>
        <v>4</v>
      </c>
      <c r="F1610" t="str">
        <f t="shared" si="66"/>
        <v>1.6</v>
      </c>
    </row>
    <row r="1611" spans="1:6" x14ac:dyDescent="0.25">
      <c r="A1611" s="109">
        <v>5155</v>
      </c>
      <c r="B1611" t="s">
        <v>2264</v>
      </c>
      <c r="C1611" t="s">
        <v>1105</v>
      </c>
      <c r="D1611" s="110">
        <v>-35</v>
      </c>
      <c r="E1611" t="str">
        <f t="shared" si="65"/>
        <v>4</v>
      </c>
      <c r="F1611" t="str">
        <f t="shared" si="66"/>
        <v>1.6</v>
      </c>
    </row>
    <row r="1612" spans="1:6" x14ac:dyDescent="0.25">
      <c r="A1612" s="109">
        <v>5156</v>
      </c>
      <c r="B1612" t="s">
        <v>2265</v>
      </c>
      <c r="C1612" t="s">
        <v>1105</v>
      </c>
      <c r="D1612" s="110">
        <v>-35</v>
      </c>
      <c r="E1612" t="str">
        <f t="shared" si="65"/>
        <v>4</v>
      </c>
      <c r="F1612" t="str">
        <f t="shared" si="66"/>
        <v>1.6</v>
      </c>
    </row>
    <row r="1613" spans="1:6" x14ac:dyDescent="0.25">
      <c r="A1613" s="109">
        <v>5157</v>
      </c>
      <c r="B1613" t="s">
        <v>2266</v>
      </c>
      <c r="C1613" t="s">
        <v>1105</v>
      </c>
      <c r="D1613" s="110">
        <v>-35</v>
      </c>
      <c r="E1613" t="str">
        <f t="shared" si="65"/>
        <v>4</v>
      </c>
      <c r="F1613" t="str">
        <f t="shared" si="66"/>
        <v>1.6</v>
      </c>
    </row>
    <row r="1614" spans="1:6" x14ac:dyDescent="0.25">
      <c r="A1614" s="109">
        <v>5158</v>
      </c>
      <c r="B1614" t="s">
        <v>2267</v>
      </c>
      <c r="C1614" t="s">
        <v>1105</v>
      </c>
      <c r="D1614" s="110">
        <v>-35</v>
      </c>
      <c r="E1614" t="str">
        <f t="shared" si="65"/>
        <v>4</v>
      </c>
      <c r="F1614" t="str">
        <f t="shared" si="66"/>
        <v>1.6</v>
      </c>
    </row>
    <row r="1615" spans="1:6" x14ac:dyDescent="0.25">
      <c r="A1615" s="109">
        <v>5159</v>
      </c>
      <c r="B1615" t="s">
        <v>2268</v>
      </c>
      <c r="C1615" t="s">
        <v>1105</v>
      </c>
      <c r="D1615" s="110">
        <v>-35</v>
      </c>
      <c r="E1615" t="str">
        <f t="shared" si="65"/>
        <v>4</v>
      </c>
      <c r="F1615" t="str">
        <f t="shared" si="66"/>
        <v>1.6</v>
      </c>
    </row>
    <row r="1616" spans="1:6" x14ac:dyDescent="0.25">
      <c r="A1616" s="109">
        <v>5160</v>
      </c>
      <c r="B1616" t="s">
        <v>2269</v>
      </c>
      <c r="C1616" t="s">
        <v>1105</v>
      </c>
      <c r="D1616" s="110">
        <v>-35</v>
      </c>
      <c r="E1616" t="str">
        <f t="shared" si="65"/>
        <v>4</v>
      </c>
      <c r="F1616" t="str">
        <f t="shared" si="66"/>
        <v>1.6</v>
      </c>
    </row>
    <row r="1617" spans="1:6" x14ac:dyDescent="0.25">
      <c r="A1617" s="109">
        <v>5161</v>
      </c>
      <c r="B1617" t="s">
        <v>2270</v>
      </c>
      <c r="C1617" t="s">
        <v>1105</v>
      </c>
      <c r="D1617" s="110">
        <v>-35</v>
      </c>
      <c r="E1617" t="str">
        <f t="shared" si="65"/>
        <v>4</v>
      </c>
      <c r="F1617" t="str">
        <f t="shared" si="66"/>
        <v>1.6</v>
      </c>
    </row>
    <row r="1618" spans="1:6" x14ac:dyDescent="0.25">
      <c r="A1618" s="109">
        <v>5162</v>
      </c>
      <c r="B1618" t="s">
        <v>1785</v>
      </c>
      <c r="C1618" t="s">
        <v>1105</v>
      </c>
      <c r="D1618" s="110">
        <v>-35</v>
      </c>
      <c r="E1618" t="str">
        <f t="shared" si="65"/>
        <v>4</v>
      </c>
      <c r="F1618" t="str">
        <f t="shared" si="66"/>
        <v>1.6</v>
      </c>
    </row>
    <row r="1619" spans="1:6" x14ac:dyDescent="0.25">
      <c r="A1619" s="109">
        <v>5163</v>
      </c>
      <c r="B1619" t="s">
        <v>2271</v>
      </c>
      <c r="C1619" t="s">
        <v>1105</v>
      </c>
      <c r="D1619" s="110">
        <v>-35</v>
      </c>
      <c r="E1619" t="str">
        <f t="shared" si="65"/>
        <v>4</v>
      </c>
      <c r="F1619" t="str">
        <f t="shared" si="66"/>
        <v>1.6</v>
      </c>
    </row>
    <row r="1620" spans="1:6" x14ac:dyDescent="0.25">
      <c r="A1620" s="109">
        <v>5164</v>
      </c>
      <c r="B1620" t="s">
        <v>2272</v>
      </c>
      <c r="C1620" t="s">
        <v>1105</v>
      </c>
      <c r="D1620" s="110">
        <v>-35</v>
      </c>
      <c r="E1620" t="str">
        <f t="shared" si="65"/>
        <v>4</v>
      </c>
      <c r="F1620" t="str">
        <f t="shared" si="66"/>
        <v>1.6</v>
      </c>
    </row>
    <row r="1621" spans="1:6" x14ac:dyDescent="0.25">
      <c r="A1621" s="109">
        <v>5165</v>
      </c>
      <c r="B1621" t="s">
        <v>2273</v>
      </c>
      <c r="C1621" t="s">
        <v>1105</v>
      </c>
      <c r="D1621" s="110">
        <v>-35</v>
      </c>
      <c r="E1621" t="str">
        <f t="shared" si="65"/>
        <v>4</v>
      </c>
      <c r="F1621" t="str">
        <f t="shared" si="66"/>
        <v>1.6</v>
      </c>
    </row>
    <row r="1622" spans="1:6" x14ac:dyDescent="0.25">
      <c r="A1622" s="109">
        <v>5166</v>
      </c>
      <c r="B1622" t="s">
        <v>2274</v>
      </c>
      <c r="C1622" t="s">
        <v>1105</v>
      </c>
      <c r="D1622" s="110">
        <v>-35</v>
      </c>
      <c r="E1622" t="str">
        <f t="shared" si="65"/>
        <v>4</v>
      </c>
      <c r="F1622" t="str">
        <f t="shared" si="66"/>
        <v>1.6</v>
      </c>
    </row>
    <row r="1623" spans="1:6" x14ac:dyDescent="0.25">
      <c r="A1623" s="109">
        <v>5167</v>
      </c>
      <c r="B1623" t="s">
        <v>2275</v>
      </c>
      <c r="C1623" t="s">
        <v>1105</v>
      </c>
      <c r="D1623" s="110">
        <v>-35</v>
      </c>
      <c r="E1623" t="str">
        <f t="shared" si="65"/>
        <v>4</v>
      </c>
      <c r="F1623" t="str">
        <f t="shared" si="66"/>
        <v>1.6</v>
      </c>
    </row>
    <row r="1624" spans="1:6" x14ac:dyDescent="0.25">
      <c r="A1624" s="109">
        <v>5168</v>
      </c>
      <c r="B1624" t="s">
        <v>2276</v>
      </c>
      <c r="C1624" t="s">
        <v>1105</v>
      </c>
      <c r="D1624" s="110">
        <v>-35</v>
      </c>
      <c r="E1624" t="str">
        <f t="shared" si="65"/>
        <v>4</v>
      </c>
      <c r="F1624" t="str">
        <f t="shared" si="66"/>
        <v>1.6</v>
      </c>
    </row>
    <row r="1625" spans="1:6" x14ac:dyDescent="0.25">
      <c r="A1625" s="109">
        <v>5169</v>
      </c>
      <c r="B1625" t="s">
        <v>2277</v>
      </c>
      <c r="C1625" t="s">
        <v>1105</v>
      </c>
      <c r="D1625" s="110">
        <v>-35</v>
      </c>
      <c r="E1625" t="str">
        <f t="shared" si="65"/>
        <v>4</v>
      </c>
      <c r="F1625" t="str">
        <f t="shared" si="66"/>
        <v>1.6</v>
      </c>
    </row>
    <row r="1626" spans="1:6" x14ac:dyDescent="0.25">
      <c r="A1626" s="109">
        <v>5171</v>
      </c>
      <c r="B1626" t="s">
        <v>2278</v>
      </c>
      <c r="C1626" t="s">
        <v>1105</v>
      </c>
      <c r="D1626" s="110">
        <v>-35</v>
      </c>
      <c r="E1626" t="str">
        <f t="shared" si="65"/>
        <v>4</v>
      </c>
      <c r="F1626" t="str">
        <f t="shared" si="66"/>
        <v>1.6</v>
      </c>
    </row>
    <row r="1627" spans="1:6" x14ac:dyDescent="0.25">
      <c r="A1627" s="109">
        <v>5172</v>
      </c>
      <c r="B1627" t="s">
        <v>2279</v>
      </c>
      <c r="C1627" t="s">
        <v>1105</v>
      </c>
      <c r="D1627" s="110">
        <v>-35</v>
      </c>
      <c r="E1627" t="str">
        <f t="shared" si="65"/>
        <v>4</v>
      </c>
      <c r="F1627" t="str">
        <f t="shared" si="66"/>
        <v>1.6</v>
      </c>
    </row>
    <row r="1628" spans="1:6" x14ac:dyDescent="0.25">
      <c r="A1628" s="109">
        <v>5173</v>
      </c>
      <c r="B1628" t="s">
        <v>2280</v>
      </c>
      <c r="C1628" t="s">
        <v>1105</v>
      </c>
      <c r="D1628" s="110">
        <v>-35</v>
      </c>
      <c r="E1628" t="str">
        <f t="shared" si="65"/>
        <v>4</v>
      </c>
      <c r="F1628" t="str">
        <f t="shared" si="66"/>
        <v>1.6</v>
      </c>
    </row>
    <row r="1629" spans="1:6" x14ac:dyDescent="0.25">
      <c r="A1629" s="109">
        <v>5201</v>
      </c>
      <c r="B1629" t="s">
        <v>2281</v>
      </c>
      <c r="C1629" t="s">
        <v>1105</v>
      </c>
      <c r="D1629" s="110">
        <v>-35</v>
      </c>
      <c r="E1629" t="str">
        <f t="shared" si="65"/>
        <v>4</v>
      </c>
      <c r="F1629" t="str">
        <f t="shared" si="66"/>
        <v>1.6</v>
      </c>
    </row>
    <row r="1630" spans="1:6" x14ac:dyDescent="0.25">
      <c r="A1630" s="109">
        <v>5202</v>
      </c>
      <c r="B1630" t="s">
        <v>2282</v>
      </c>
      <c r="C1630" t="s">
        <v>1105</v>
      </c>
      <c r="D1630" s="110">
        <v>-35</v>
      </c>
      <c r="E1630" t="str">
        <f t="shared" si="65"/>
        <v>4</v>
      </c>
      <c r="F1630" t="str">
        <f t="shared" si="66"/>
        <v>1.6</v>
      </c>
    </row>
    <row r="1631" spans="1:6" x14ac:dyDescent="0.25">
      <c r="A1631" s="109">
        <v>5203</v>
      </c>
      <c r="B1631" t="s">
        <v>2283</v>
      </c>
      <c r="C1631" t="s">
        <v>1105</v>
      </c>
      <c r="D1631" s="110">
        <v>-35</v>
      </c>
      <c r="E1631" t="str">
        <f t="shared" si="65"/>
        <v>4</v>
      </c>
      <c r="F1631" t="str">
        <f t="shared" si="66"/>
        <v>1.6</v>
      </c>
    </row>
    <row r="1632" spans="1:6" x14ac:dyDescent="0.25">
      <c r="A1632" s="109">
        <v>5204</v>
      </c>
      <c r="B1632" t="s">
        <v>2284</v>
      </c>
      <c r="C1632" t="s">
        <v>1105</v>
      </c>
      <c r="D1632" s="110">
        <v>-35</v>
      </c>
      <c r="E1632" t="str">
        <f t="shared" si="65"/>
        <v>4</v>
      </c>
      <c r="F1632" t="str">
        <f t="shared" si="66"/>
        <v>1.6</v>
      </c>
    </row>
    <row r="1633" spans="1:6" x14ac:dyDescent="0.25">
      <c r="A1633" s="109">
        <v>5210</v>
      </c>
      <c r="B1633" t="s">
        <v>2285</v>
      </c>
      <c r="C1633" t="s">
        <v>1105</v>
      </c>
      <c r="D1633" s="110">
        <v>-35</v>
      </c>
      <c r="E1633" t="str">
        <f t="shared" si="65"/>
        <v>4</v>
      </c>
      <c r="F1633" t="str">
        <f t="shared" si="66"/>
        <v>1.6</v>
      </c>
    </row>
    <row r="1634" spans="1:6" x14ac:dyDescent="0.25">
      <c r="A1634" s="109">
        <v>5211</v>
      </c>
      <c r="B1634" t="s">
        <v>2286</v>
      </c>
      <c r="C1634" t="s">
        <v>1105</v>
      </c>
      <c r="D1634" s="110">
        <v>-35</v>
      </c>
      <c r="E1634" t="str">
        <f t="shared" si="65"/>
        <v>4</v>
      </c>
      <c r="F1634" t="str">
        <f t="shared" si="66"/>
        <v>1.6</v>
      </c>
    </row>
    <row r="1635" spans="1:6" x14ac:dyDescent="0.25">
      <c r="A1635" s="109">
        <v>5212</v>
      </c>
      <c r="B1635" t="s">
        <v>2287</v>
      </c>
      <c r="C1635" t="s">
        <v>1105</v>
      </c>
      <c r="D1635" s="110">
        <v>-35</v>
      </c>
      <c r="E1635" t="str">
        <f t="shared" si="65"/>
        <v>4</v>
      </c>
      <c r="F1635" t="str">
        <f t="shared" si="66"/>
        <v>1.6</v>
      </c>
    </row>
    <row r="1636" spans="1:6" x14ac:dyDescent="0.25">
      <c r="A1636" s="109">
        <v>5214</v>
      </c>
      <c r="B1636" t="s">
        <v>2288</v>
      </c>
      <c r="C1636" t="s">
        <v>1105</v>
      </c>
      <c r="D1636" s="110">
        <v>-35</v>
      </c>
      <c r="E1636" t="str">
        <f t="shared" si="65"/>
        <v>4</v>
      </c>
      <c r="F1636" t="str">
        <f t="shared" si="66"/>
        <v>1.6</v>
      </c>
    </row>
    <row r="1637" spans="1:6" x14ac:dyDescent="0.25">
      <c r="A1637" s="109">
        <v>5220</v>
      </c>
      <c r="B1637" t="s">
        <v>2289</v>
      </c>
      <c r="C1637" t="s">
        <v>1105</v>
      </c>
      <c r="D1637" s="110">
        <v>-35</v>
      </c>
      <c r="E1637" t="str">
        <f t="shared" si="65"/>
        <v>4</v>
      </c>
      <c r="F1637" t="str">
        <f t="shared" si="66"/>
        <v>1.6</v>
      </c>
    </row>
    <row r="1638" spans="1:6" x14ac:dyDescent="0.25">
      <c r="A1638" s="109">
        <v>5221</v>
      </c>
      <c r="B1638" t="s">
        <v>2290</v>
      </c>
      <c r="C1638" t="s">
        <v>1105</v>
      </c>
      <c r="D1638" s="110">
        <v>-35</v>
      </c>
      <c r="E1638" t="str">
        <f t="shared" si="65"/>
        <v>4</v>
      </c>
      <c r="F1638" t="str">
        <f t="shared" si="66"/>
        <v>1.6</v>
      </c>
    </row>
    <row r="1639" spans="1:6" x14ac:dyDescent="0.25">
      <c r="A1639" s="109">
        <v>5222</v>
      </c>
      <c r="B1639" t="s">
        <v>2291</v>
      </c>
      <c r="C1639" t="s">
        <v>1105</v>
      </c>
      <c r="D1639" s="110">
        <v>-35</v>
      </c>
      <c r="E1639" t="str">
        <f t="shared" si="65"/>
        <v>4</v>
      </c>
      <c r="F1639" t="str">
        <f t="shared" si="66"/>
        <v>1.6</v>
      </c>
    </row>
    <row r="1640" spans="1:6" x14ac:dyDescent="0.25">
      <c r="A1640" s="109">
        <v>5223</v>
      </c>
      <c r="B1640" t="s">
        <v>2292</v>
      </c>
      <c r="C1640" t="s">
        <v>1105</v>
      </c>
      <c r="D1640" s="110">
        <v>-35</v>
      </c>
      <c r="E1640" t="str">
        <f t="shared" si="65"/>
        <v>4</v>
      </c>
      <c r="F1640" t="str">
        <f t="shared" si="66"/>
        <v>1.6</v>
      </c>
    </row>
    <row r="1641" spans="1:6" x14ac:dyDescent="0.25">
      <c r="A1641" s="109">
        <v>5245</v>
      </c>
      <c r="B1641" t="s">
        <v>2293</v>
      </c>
      <c r="C1641" t="s">
        <v>1105</v>
      </c>
      <c r="D1641" s="110">
        <v>-35</v>
      </c>
      <c r="E1641" t="str">
        <f t="shared" si="65"/>
        <v>4</v>
      </c>
      <c r="F1641" t="str">
        <f t="shared" si="66"/>
        <v>1.6</v>
      </c>
    </row>
    <row r="1642" spans="1:6" x14ac:dyDescent="0.25">
      <c r="A1642" s="109">
        <v>5250</v>
      </c>
      <c r="B1642" t="s">
        <v>2294</v>
      </c>
      <c r="C1642" t="s">
        <v>1105</v>
      </c>
      <c r="D1642" s="110">
        <v>-35</v>
      </c>
      <c r="E1642" t="str">
        <f t="shared" ref="E1642:E1705" si="67">IF(D1642&lt;-34,"4",IF(D1642&lt;-26,"3",IF(D1642&lt;-18,"2",IF(D1642&lt;-8,"1","lits"))))</f>
        <v>4</v>
      </c>
      <c r="F1642" t="str">
        <f t="shared" si="66"/>
        <v>1.6</v>
      </c>
    </row>
    <row r="1643" spans="1:6" x14ac:dyDescent="0.25">
      <c r="A1643" s="109">
        <v>5251</v>
      </c>
      <c r="B1643" t="s">
        <v>2295</v>
      </c>
      <c r="C1643" t="s">
        <v>1105</v>
      </c>
      <c r="D1643" s="110">
        <v>-35</v>
      </c>
      <c r="E1643" t="str">
        <f t="shared" si="67"/>
        <v>4</v>
      </c>
      <c r="F1643" t="str">
        <f t="shared" si="66"/>
        <v>1.6</v>
      </c>
    </row>
    <row r="1644" spans="1:6" x14ac:dyDescent="0.25">
      <c r="A1644" s="109">
        <v>5252</v>
      </c>
      <c r="B1644" t="s">
        <v>2296</v>
      </c>
      <c r="C1644" t="s">
        <v>1105</v>
      </c>
      <c r="D1644" s="110">
        <v>-35</v>
      </c>
      <c r="E1644" t="str">
        <f t="shared" si="67"/>
        <v>4</v>
      </c>
      <c r="F1644" t="str">
        <f t="shared" si="66"/>
        <v>1.6</v>
      </c>
    </row>
    <row r="1645" spans="1:6" x14ac:dyDescent="0.25">
      <c r="A1645" s="109">
        <v>5253</v>
      </c>
      <c r="B1645" t="s">
        <v>2297</v>
      </c>
      <c r="C1645" t="s">
        <v>1105</v>
      </c>
      <c r="D1645" s="110">
        <v>-35</v>
      </c>
      <c r="E1645" t="str">
        <f t="shared" si="67"/>
        <v>4</v>
      </c>
      <c r="F1645" t="str">
        <f t="shared" si="66"/>
        <v>1.6</v>
      </c>
    </row>
    <row r="1646" spans="1:6" x14ac:dyDescent="0.25">
      <c r="A1646" s="109">
        <v>5254</v>
      </c>
      <c r="B1646" t="s">
        <v>2298</v>
      </c>
      <c r="C1646" t="s">
        <v>1105</v>
      </c>
      <c r="D1646" s="110">
        <v>-35</v>
      </c>
      <c r="E1646" t="str">
        <f t="shared" si="67"/>
        <v>4</v>
      </c>
      <c r="F1646" t="str">
        <f t="shared" si="66"/>
        <v>1.6</v>
      </c>
    </row>
    <row r="1647" spans="1:6" x14ac:dyDescent="0.25">
      <c r="A1647" s="109">
        <v>5260</v>
      </c>
      <c r="B1647" t="s">
        <v>2299</v>
      </c>
      <c r="C1647" t="s">
        <v>1105</v>
      </c>
      <c r="D1647" s="110">
        <v>-35</v>
      </c>
      <c r="E1647" t="str">
        <f t="shared" si="67"/>
        <v>4</v>
      </c>
      <c r="F1647" t="str">
        <f t="shared" si="66"/>
        <v>1.6</v>
      </c>
    </row>
    <row r="1648" spans="1:6" x14ac:dyDescent="0.25">
      <c r="A1648" s="109">
        <v>5261</v>
      </c>
      <c r="B1648" t="s">
        <v>2300</v>
      </c>
      <c r="C1648" t="s">
        <v>1105</v>
      </c>
      <c r="D1648" s="110">
        <v>-35</v>
      </c>
      <c r="E1648" t="str">
        <f t="shared" si="67"/>
        <v>4</v>
      </c>
      <c r="F1648" t="str">
        <f t="shared" si="66"/>
        <v>1.6</v>
      </c>
    </row>
    <row r="1649" spans="1:6" x14ac:dyDescent="0.25">
      <c r="A1649" s="109">
        <v>5264</v>
      </c>
      <c r="B1649" t="s">
        <v>2301</v>
      </c>
      <c r="C1649" t="s">
        <v>1105</v>
      </c>
      <c r="D1649" s="110">
        <v>-35</v>
      </c>
      <c r="E1649" t="str">
        <f t="shared" si="67"/>
        <v>4</v>
      </c>
      <c r="F1649" t="str">
        <f t="shared" si="66"/>
        <v>1.6</v>
      </c>
    </row>
    <row r="1650" spans="1:6" x14ac:dyDescent="0.25">
      <c r="A1650" s="109">
        <v>5265</v>
      </c>
      <c r="B1650" t="s">
        <v>2302</v>
      </c>
      <c r="C1650" t="s">
        <v>1105</v>
      </c>
      <c r="D1650" s="110">
        <v>-35</v>
      </c>
      <c r="E1650" t="str">
        <f t="shared" si="67"/>
        <v>4</v>
      </c>
      <c r="F1650" t="str">
        <f t="shared" si="66"/>
        <v>1.6</v>
      </c>
    </row>
    <row r="1651" spans="1:6" x14ac:dyDescent="0.25">
      <c r="A1651" s="109">
        <v>5266</v>
      </c>
      <c r="B1651" t="s">
        <v>2303</v>
      </c>
      <c r="C1651" t="s">
        <v>1105</v>
      </c>
      <c r="D1651" s="110">
        <v>-35</v>
      </c>
      <c r="E1651" t="str">
        <f t="shared" si="67"/>
        <v>4</v>
      </c>
      <c r="F1651" t="str">
        <f t="shared" si="66"/>
        <v>1.6</v>
      </c>
    </row>
    <row r="1652" spans="1:6" x14ac:dyDescent="0.25">
      <c r="A1652" s="109">
        <v>5301</v>
      </c>
      <c r="B1652" t="s">
        <v>2304</v>
      </c>
      <c r="C1652" t="s">
        <v>1105</v>
      </c>
      <c r="D1652" s="110">
        <v>-35</v>
      </c>
      <c r="E1652" t="str">
        <f t="shared" si="67"/>
        <v>4</v>
      </c>
      <c r="F1652" t="str">
        <f t="shared" si="66"/>
        <v>1.6</v>
      </c>
    </row>
    <row r="1653" spans="1:6" x14ac:dyDescent="0.25">
      <c r="A1653" s="109">
        <v>5302</v>
      </c>
      <c r="B1653" t="s">
        <v>2305</v>
      </c>
      <c r="C1653" t="s">
        <v>1105</v>
      </c>
      <c r="D1653" s="110">
        <v>-35</v>
      </c>
      <c r="E1653" t="str">
        <f t="shared" si="67"/>
        <v>4</v>
      </c>
      <c r="F1653" t="str">
        <f t="shared" si="66"/>
        <v>1.6</v>
      </c>
    </row>
    <row r="1654" spans="1:6" x14ac:dyDescent="0.25">
      <c r="A1654" s="109">
        <v>5303</v>
      </c>
      <c r="B1654" t="s">
        <v>2306</v>
      </c>
      <c r="C1654" t="s">
        <v>1105</v>
      </c>
      <c r="D1654" s="110">
        <v>-35</v>
      </c>
      <c r="E1654" t="str">
        <f t="shared" si="67"/>
        <v>4</v>
      </c>
      <c r="F1654" t="str">
        <f t="shared" si="66"/>
        <v>1.6</v>
      </c>
    </row>
    <row r="1655" spans="1:6" x14ac:dyDescent="0.25">
      <c r="A1655" s="109">
        <v>5304</v>
      </c>
      <c r="B1655" t="s">
        <v>2307</v>
      </c>
      <c r="C1655" t="s">
        <v>1105</v>
      </c>
      <c r="D1655" s="110">
        <v>-35</v>
      </c>
      <c r="E1655" t="str">
        <f t="shared" si="67"/>
        <v>4</v>
      </c>
      <c r="F1655" t="str">
        <f t="shared" si="66"/>
        <v>1.6</v>
      </c>
    </row>
    <row r="1656" spans="1:6" x14ac:dyDescent="0.25">
      <c r="A1656" s="109">
        <v>5306</v>
      </c>
      <c r="B1656" t="s">
        <v>2308</v>
      </c>
      <c r="C1656" t="s">
        <v>1105</v>
      </c>
      <c r="D1656" s="110">
        <v>-35</v>
      </c>
      <c r="E1656" t="str">
        <f t="shared" si="67"/>
        <v>4</v>
      </c>
      <c r="F1656" t="str">
        <f t="shared" si="66"/>
        <v>1.6</v>
      </c>
    </row>
    <row r="1657" spans="1:6" x14ac:dyDescent="0.25">
      <c r="A1657" s="109">
        <v>5307</v>
      </c>
      <c r="B1657" t="s">
        <v>2309</v>
      </c>
      <c r="C1657" t="s">
        <v>1105</v>
      </c>
      <c r="D1657" s="110">
        <v>-35</v>
      </c>
      <c r="E1657" t="str">
        <f t="shared" si="67"/>
        <v>4</v>
      </c>
      <c r="F1657" t="str">
        <f t="shared" si="66"/>
        <v>1.6</v>
      </c>
    </row>
    <row r="1658" spans="1:6" x14ac:dyDescent="0.25">
      <c r="A1658" s="109">
        <v>5309</v>
      </c>
      <c r="B1658" t="s">
        <v>2310</v>
      </c>
      <c r="C1658" t="s">
        <v>1105</v>
      </c>
      <c r="D1658" s="110">
        <v>-35</v>
      </c>
      <c r="E1658" t="str">
        <f t="shared" si="67"/>
        <v>4</v>
      </c>
      <c r="F1658" t="str">
        <f t="shared" si="66"/>
        <v>1.6</v>
      </c>
    </row>
    <row r="1659" spans="1:6" x14ac:dyDescent="0.25">
      <c r="A1659" s="109">
        <v>5576</v>
      </c>
      <c r="B1659" t="s">
        <v>2311</v>
      </c>
      <c r="C1659" t="s">
        <v>1105</v>
      </c>
      <c r="D1659" s="110">
        <v>-35</v>
      </c>
      <c r="E1659" t="str">
        <f t="shared" si="67"/>
        <v>4</v>
      </c>
      <c r="F1659" t="str">
        <f t="shared" si="66"/>
        <v>1.6</v>
      </c>
    </row>
    <row r="1660" spans="1:6" x14ac:dyDescent="0.25">
      <c r="A1660" s="109">
        <v>5577</v>
      </c>
      <c r="B1660" t="s">
        <v>2312</v>
      </c>
      <c r="C1660" t="s">
        <v>1105</v>
      </c>
      <c r="D1660" s="110">
        <v>-35</v>
      </c>
      <c r="E1660" t="str">
        <f t="shared" si="67"/>
        <v>4</v>
      </c>
      <c r="F1660" t="str">
        <f t="shared" si="66"/>
        <v>1.6</v>
      </c>
    </row>
    <row r="1661" spans="1:6" x14ac:dyDescent="0.25">
      <c r="A1661" s="109">
        <v>5582</v>
      </c>
      <c r="B1661" t="s">
        <v>2313</v>
      </c>
      <c r="C1661" t="s">
        <v>1105</v>
      </c>
      <c r="D1661" s="110">
        <v>-35</v>
      </c>
      <c r="E1661" t="str">
        <f t="shared" si="67"/>
        <v>4</v>
      </c>
      <c r="F1661" t="str">
        <f t="shared" si="66"/>
        <v>1.6</v>
      </c>
    </row>
    <row r="1662" spans="1:6" x14ac:dyDescent="0.25">
      <c r="A1662" s="109">
        <v>5583</v>
      </c>
      <c r="B1662" t="s">
        <v>2314</v>
      </c>
      <c r="C1662" t="s">
        <v>1105</v>
      </c>
      <c r="D1662" s="110">
        <v>-35</v>
      </c>
      <c r="E1662" t="str">
        <f t="shared" si="67"/>
        <v>4</v>
      </c>
      <c r="F1662" t="str">
        <f t="shared" si="66"/>
        <v>1.6</v>
      </c>
    </row>
    <row r="1663" spans="1:6" x14ac:dyDescent="0.25">
      <c r="A1663" s="109">
        <v>6330</v>
      </c>
      <c r="B1663" t="s">
        <v>2315</v>
      </c>
      <c r="C1663" t="s">
        <v>686</v>
      </c>
      <c r="D1663" s="110">
        <v>-35</v>
      </c>
      <c r="E1663" t="str">
        <f t="shared" si="67"/>
        <v>4</v>
      </c>
      <c r="F1663" t="str">
        <f t="shared" si="66"/>
        <v>1.6</v>
      </c>
    </row>
    <row r="1664" spans="1:6" x14ac:dyDescent="0.25">
      <c r="A1664" s="109">
        <v>2545</v>
      </c>
      <c r="B1664" t="s">
        <v>2316</v>
      </c>
      <c r="C1664" t="s">
        <v>1113</v>
      </c>
      <c r="D1664" s="110">
        <v>-36</v>
      </c>
      <c r="E1664" t="str">
        <f t="shared" si="67"/>
        <v>4</v>
      </c>
      <c r="F1664" t="str">
        <f t="shared" si="66"/>
        <v>1.6</v>
      </c>
    </row>
    <row r="1665" spans="1:6" x14ac:dyDescent="0.25">
      <c r="A1665" s="109">
        <v>2546</v>
      </c>
      <c r="B1665" t="s">
        <v>2317</v>
      </c>
      <c r="C1665" t="s">
        <v>1113</v>
      </c>
      <c r="D1665" s="110">
        <v>-36</v>
      </c>
      <c r="E1665" t="str">
        <f t="shared" si="67"/>
        <v>4</v>
      </c>
      <c r="F1665" t="str">
        <f t="shared" si="66"/>
        <v>1.6</v>
      </c>
    </row>
    <row r="1666" spans="1:6" x14ac:dyDescent="0.25">
      <c r="A1666" s="109">
        <v>2548</v>
      </c>
      <c r="B1666" t="s">
        <v>2318</v>
      </c>
      <c r="C1666" t="s">
        <v>1113</v>
      </c>
      <c r="D1666" s="110">
        <v>-36</v>
      </c>
      <c r="E1666" t="str">
        <f t="shared" si="67"/>
        <v>4</v>
      </c>
      <c r="F1666" t="str">
        <f t="shared" si="66"/>
        <v>1.6</v>
      </c>
    </row>
    <row r="1667" spans="1:6" x14ac:dyDescent="0.25">
      <c r="A1667" s="109">
        <v>2549</v>
      </c>
      <c r="B1667" t="s">
        <v>2319</v>
      </c>
      <c r="C1667" t="s">
        <v>1113</v>
      </c>
      <c r="D1667" s="110">
        <v>-36</v>
      </c>
      <c r="E1667" t="str">
        <f t="shared" si="67"/>
        <v>4</v>
      </c>
      <c r="F1667" t="str">
        <f t="shared" ref="F1667:F1730" si="68">IF(D1667&lt;-34,"1.6",IF(D1667&lt;-26,"1.4",IF(D1667&lt;-18,"1.2",IF(D1667&lt;-8,"1","lits"))))</f>
        <v>1.6</v>
      </c>
    </row>
    <row r="1668" spans="1:6" x14ac:dyDescent="0.25">
      <c r="A1668" s="109">
        <v>2627</v>
      </c>
      <c r="B1668" t="s">
        <v>2320</v>
      </c>
      <c r="C1668" t="s">
        <v>1113</v>
      </c>
      <c r="D1668" s="110">
        <v>-36</v>
      </c>
      <c r="E1668" t="str">
        <f t="shared" si="67"/>
        <v>4</v>
      </c>
      <c r="F1668" t="str">
        <f t="shared" si="68"/>
        <v>1.6</v>
      </c>
    </row>
    <row r="1669" spans="1:6" x14ac:dyDescent="0.25">
      <c r="A1669" s="109">
        <v>2628</v>
      </c>
      <c r="B1669" t="s">
        <v>2321</v>
      </c>
      <c r="C1669" t="s">
        <v>1113</v>
      </c>
      <c r="D1669" s="110">
        <v>-36</v>
      </c>
      <c r="E1669" t="str">
        <f t="shared" si="67"/>
        <v>4</v>
      </c>
      <c r="F1669" t="str">
        <f t="shared" si="68"/>
        <v>1.6</v>
      </c>
    </row>
    <row r="1670" spans="1:6" x14ac:dyDescent="0.25">
      <c r="A1670" s="109">
        <v>2631</v>
      </c>
      <c r="B1670" t="s">
        <v>2322</v>
      </c>
      <c r="C1670" t="s">
        <v>1113</v>
      </c>
      <c r="D1670" s="110">
        <v>-36</v>
      </c>
      <c r="E1670" t="str">
        <f t="shared" si="67"/>
        <v>4</v>
      </c>
      <c r="F1670" t="str">
        <f t="shared" si="68"/>
        <v>1.6</v>
      </c>
    </row>
    <row r="1671" spans="1:6" x14ac:dyDescent="0.25">
      <c r="A1671" s="109">
        <v>2632</v>
      </c>
      <c r="B1671" t="s">
        <v>2323</v>
      </c>
      <c r="C1671" t="s">
        <v>1113</v>
      </c>
      <c r="D1671" s="110">
        <v>-36</v>
      </c>
      <c r="E1671" t="str">
        <f t="shared" si="67"/>
        <v>4</v>
      </c>
      <c r="F1671" t="str">
        <f t="shared" si="68"/>
        <v>1.6</v>
      </c>
    </row>
    <row r="1672" spans="1:6" x14ac:dyDescent="0.25">
      <c r="A1672" s="109">
        <v>2633</v>
      </c>
      <c r="B1672" t="s">
        <v>2324</v>
      </c>
      <c r="C1672" t="s">
        <v>1113</v>
      </c>
      <c r="D1672" s="110">
        <v>-36</v>
      </c>
      <c r="E1672" t="str">
        <f t="shared" si="67"/>
        <v>4</v>
      </c>
      <c r="F1672" t="str">
        <f t="shared" si="68"/>
        <v>1.6</v>
      </c>
    </row>
    <row r="1673" spans="1:6" x14ac:dyDescent="0.25">
      <c r="A1673" s="109">
        <v>2640</v>
      </c>
      <c r="B1673" t="s">
        <v>2325</v>
      </c>
      <c r="C1673" t="s">
        <v>1113</v>
      </c>
      <c r="D1673" s="110">
        <v>-36</v>
      </c>
      <c r="E1673" t="str">
        <f t="shared" si="67"/>
        <v>4</v>
      </c>
      <c r="F1673" t="str">
        <f t="shared" si="68"/>
        <v>1.6</v>
      </c>
    </row>
    <row r="1674" spans="1:6" x14ac:dyDescent="0.25">
      <c r="A1674" s="109">
        <v>2641</v>
      </c>
      <c r="B1674" t="s">
        <v>2326</v>
      </c>
      <c r="C1674" t="s">
        <v>1113</v>
      </c>
      <c r="D1674" s="110">
        <v>-36</v>
      </c>
      <c r="E1674" t="str">
        <f t="shared" si="67"/>
        <v>4</v>
      </c>
      <c r="F1674" t="str">
        <f t="shared" si="68"/>
        <v>1.6</v>
      </c>
    </row>
    <row r="1675" spans="1:6" x14ac:dyDescent="0.25">
      <c r="A1675" s="109">
        <v>2642</v>
      </c>
      <c r="B1675" t="s">
        <v>2327</v>
      </c>
      <c r="C1675" t="s">
        <v>1113</v>
      </c>
      <c r="D1675" s="110">
        <v>-36</v>
      </c>
      <c r="E1675" t="str">
        <f t="shared" si="67"/>
        <v>4</v>
      </c>
      <c r="F1675" t="str">
        <f t="shared" si="68"/>
        <v>1.6</v>
      </c>
    </row>
    <row r="1676" spans="1:6" x14ac:dyDescent="0.25">
      <c r="A1676" s="109">
        <v>3319</v>
      </c>
      <c r="B1676" t="s">
        <v>2328</v>
      </c>
      <c r="C1676" t="s">
        <v>1991</v>
      </c>
      <c r="D1676" s="110">
        <v>-36</v>
      </c>
      <c r="E1676" t="str">
        <f t="shared" si="67"/>
        <v>4</v>
      </c>
      <c r="F1676" t="str">
        <f t="shared" si="68"/>
        <v>1.6</v>
      </c>
    </row>
    <row r="1677" spans="1:6" x14ac:dyDescent="0.25">
      <c r="A1677" s="109">
        <v>3387</v>
      </c>
      <c r="B1677" t="s">
        <v>2329</v>
      </c>
      <c r="C1677" t="s">
        <v>1991</v>
      </c>
      <c r="D1677" s="110">
        <v>-36</v>
      </c>
      <c r="E1677" t="str">
        <f t="shared" si="67"/>
        <v>4</v>
      </c>
      <c r="F1677" t="str">
        <f t="shared" si="68"/>
        <v>1.6</v>
      </c>
    </row>
    <row r="1678" spans="1:6" x14ac:dyDescent="0.25">
      <c r="A1678" s="109">
        <v>3388</v>
      </c>
      <c r="B1678" t="s">
        <v>2330</v>
      </c>
      <c r="C1678" t="s">
        <v>1991</v>
      </c>
      <c r="D1678" s="110">
        <v>-36</v>
      </c>
      <c r="E1678" t="str">
        <f t="shared" si="67"/>
        <v>4</v>
      </c>
      <c r="F1678" t="str">
        <f t="shared" si="68"/>
        <v>1.6</v>
      </c>
    </row>
    <row r="1679" spans="1:6" x14ac:dyDescent="0.25">
      <c r="A1679" s="109">
        <v>3390</v>
      </c>
      <c r="B1679" t="s">
        <v>2331</v>
      </c>
      <c r="C1679" t="s">
        <v>1991</v>
      </c>
      <c r="D1679" s="110">
        <v>-36</v>
      </c>
      <c r="E1679" t="str">
        <f t="shared" si="67"/>
        <v>4</v>
      </c>
      <c r="F1679" t="str">
        <f t="shared" si="68"/>
        <v>1.6</v>
      </c>
    </row>
    <row r="1680" spans="1:6" x14ac:dyDescent="0.25">
      <c r="A1680" s="109">
        <v>3391</v>
      </c>
      <c r="B1680" t="s">
        <v>2332</v>
      </c>
      <c r="C1680" t="s">
        <v>1991</v>
      </c>
      <c r="D1680" s="110">
        <v>-36</v>
      </c>
      <c r="E1680" t="str">
        <f t="shared" si="67"/>
        <v>4</v>
      </c>
      <c r="F1680" t="str">
        <f t="shared" si="68"/>
        <v>1.6</v>
      </c>
    </row>
    <row r="1681" spans="1:6" x14ac:dyDescent="0.25">
      <c r="A1681" s="109">
        <v>3392</v>
      </c>
      <c r="B1681" t="s">
        <v>2333</v>
      </c>
      <c r="C1681" t="s">
        <v>1991</v>
      </c>
      <c r="D1681" s="110">
        <v>-36</v>
      </c>
      <c r="E1681" t="str">
        <f t="shared" si="67"/>
        <v>4</v>
      </c>
      <c r="F1681" t="str">
        <f t="shared" si="68"/>
        <v>1.6</v>
      </c>
    </row>
    <row r="1682" spans="1:6" x14ac:dyDescent="0.25">
      <c r="A1682" s="109">
        <v>3393</v>
      </c>
      <c r="B1682" t="s">
        <v>2334</v>
      </c>
      <c r="C1682" t="s">
        <v>1991</v>
      </c>
      <c r="D1682" s="110">
        <v>-36</v>
      </c>
      <c r="E1682" t="str">
        <f t="shared" si="67"/>
        <v>4</v>
      </c>
      <c r="F1682" t="str">
        <f t="shared" si="68"/>
        <v>1.6</v>
      </c>
    </row>
    <row r="1683" spans="1:6" x14ac:dyDescent="0.25">
      <c r="A1683" s="109">
        <v>3400</v>
      </c>
      <c r="B1683" t="s">
        <v>2335</v>
      </c>
      <c r="C1683" t="s">
        <v>1991</v>
      </c>
      <c r="D1683" s="110">
        <v>-36</v>
      </c>
      <c r="E1683" t="str">
        <f t="shared" si="67"/>
        <v>4</v>
      </c>
      <c r="F1683" t="str">
        <f t="shared" si="68"/>
        <v>1.6</v>
      </c>
    </row>
    <row r="1684" spans="1:6" x14ac:dyDescent="0.25">
      <c r="A1684" s="109">
        <v>3401</v>
      </c>
      <c r="B1684" t="s">
        <v>2336</v>
      </c>
      <c r="C1684" t="s">
        <v>1991</v>
      </c>
      <c r="D1684" s="110">
        <v>-36</v>
      </c>
      <c r="E1684" t="str">
        <f t="shared" si="67"/>
        <v>4</v>
      </c>
      <c r="F1684" t="str">
        <f t="shared" si="68"/>
        <v>1.6</v>
      </c>
    </row>
    <row r="1685" spans="1:6" x14ac:dyDescent="0.25">
      <c r="A1685" s="109">
        <v>3409</v>
      </c>
      <c r="B1685" t="s">
        <v>2337</v>
      </c>
      <c r="C1685" t="s">
        <v>1991</v>
      </c>
      <c r="D1685" s="110">
        <v>-36</v>
      </c>
      <c r="E1685" t="str">
        <f t="shared" si="67"/>
        <v>4</v>
      </c>
      <c r="F1685" t="str">
        <f t="shared" si="68"/>
        <v>1.6</v>
      </c>
    </row>
    <row r="1686" spans="1:6" x14ac:dyDescent="0.25">
      <c r="A1686" s="109">
        <v>3412</v>
      </c>
      <c r="B1686" t="s">
        <v>2338</v>
      </c>
      <c r="C1686" t="s">
        <v>1991</v>
      </c>
      <c r="D1686" s="110">
        <v>-36</v>
      </c>
      <c r="E1686" t="str">
        <f t="shared" si="67"/>
        <v>4</v>
      </c>
      <c r="F1686" t="str">
        <f t="shared" si="68"/>
        <v>1.6</v>
      </c>
    </row>
    <row r="1687" spans="1:6" x14ac:dyDescent="0.25">
      <c r="A1687" s="109">
        <v>3413</v>
      </c>
      <c r="B1687" t="s">
        <v>2339</v>
      </c>
      <c r="C1687" t="s">
        <v>1991</v>
      </c>
      <c r="D1687" s="110">
        <v>-36</v>
      </c>
      <c r="E1687" t="str">
        <f t="shared" si="67"/>
        <v>4</v>
      </c>
      <c r="F1687" t="str">
        <f t="shared" si="68"/>
        <v>1.6</v>
      </c>
    </row>
    <row r="1688" spans="1:6" x14ac:dyDescent="0.25">
      <c r="A1688" s="109">
        <v>3414</v>
      </c>
      <c r="B1688" t="s">
        <v>2340</v>
      </c>
      <c r="C1688" t="s">
        <v>1991</v>
      </c>
      <c r="D1688" s="110">
        <v>-36</v>
      </c>
      <c r="E1688" t="str">
        <f t="shared" si="67"/>
        <v>4</v>
      </c>
      <c r="F1688" t="str">
        <f t="shared" si="68"/>
        <v>1.6</v>
      </c>
    </row>
    <row r="1689" spans="1:6" x14ac:dyDescent="0.25">
      <c r="A1689" s="109">
        <v>3418</v>
      </c>
      <c r="B1689" t="s">
        <v>2341</v>
      </c>
      <c r="C1689" t="s">
        <v>1991</v>
      </c>
      <c r="D1689" s="110">
        <v>-36</v>
      </c>
      <c r="E1689" t="str">
        <f t="shared" si="67"/>
        <v>4</v>
      </c>
      <c r="F1689" t="str">
        <f t="shared" si="68"/>
        <v>1.6</v>
      </c>
    </row>
    <row r="1690" spans="1:6" x14ac:dyDescent="0.25">
      <c r="A1690" s="109">
        <v>3419</v>
      </c>
      <c r="B1690" t="s">
        <v>2342</v>
      </c>
      <c r="C1690" t="s">
        <v>1991</v>
      </c>
      <c r="D1690" s="110">
        <v>-36</v>
      </c>
      <c r="E1690" t="str">
        <f t="shared" si="67"/>
        <v>4</v>
      </c>
      <c r="F1690" t="str">
        <f t="shared" si="68"/>
        <v>1.6</v>
      </c>
    </row>
    <row r="1691" spans="1:6" x14ac:dyDescent="0.25">
      <c r="A1691" s="109">
        <v>3420</v>
      </c>
      <c r="B1691" t="s">
        <v>2343</v>
      </c>
      <c r="C1691" t="s">
        <v>1991</v>
      </c>
      <c r="D1691" s="110">
        <v>-36</v>
      </c>
      <c r="E1691" t="str">
        <f t="shared" si="67"/>
        <v>4</v>
      </c>
      <c r="F1691" t="str">
        <f t="shared" si="68"/>
        <v>1.6</v>
      </c>
    </row>
    <row r="1692" spans="1:6" x14ac:dyDescent="0.25">
      <c r="A1692" s="109">
        <v>3423</v>
      </c>
      <c r="B1692" t="s">
        <v>2344</v>
      </c>
      <c r="C1692" t="s">
        <v>1991</v>
      </c>
      <c r="D1692" s="110">
        <v>-36</v>
      </c>
      <c r="E1692" t="str">
        <f t="shared" si="67"/>
        <v>4</v>
      </c>
      <c r="F1692" t="str">
        <f t="shared" si="68"/>
        <v>1.6</v>
      </c>
    </row>
    <row r="1693" spans="1:6" x14ac:dyDescent="0.25">
      <c r="A1693" s="109">
        <v>3453</v>
      </c>
      <c r="B1693" t="s">
        <v>2345</v>
      </c>
      <c r="C1693" t="s">
        <v>1991</v>
      </c>
      <c r="D1693" s="110">
        <v>-36</v>
      </c>
      <c r="E1693" t="str">
        <f t="shared" si="67"/>
        <v>4</v>
      </c>
      <c r="F1693" t="str">
        <f t="shared" si="68"/>
        <v>1.6</v>
      </c>
    </row>
    <row r="1694" spans="1:6" x14ac:dyDescent="0.25">
      <c r="A1694" s="109">
        <v>3463</v>
      </c>
      <c r="B1694" t="s">
        <v>2346</v>
      </c>
      <c r="C1694" t="s">
        <v>1991</v>
      </c>
      <c r="D1694" s="110">
        <v>-36</v>
      </c>
      <c r="E1694" t="str">
        <f t="shared" si="67"/>
        <v>4</v>
      </c>
      <c r="F1694" t="str">
        <f t="shared" si="68"/>
        <v>1.6</v>
      </c>
    </row>
    <row r="1695" spans="1:6" x14ac:dyDescent="0.25">
      <c r="A1695" s="109">
        <v>3472</v>
      </c>
      <c r="B1695" t="s">
        <v>2347</v>
      </c>
      <c r="C1695" t="s">
        <v>1991</v>
      </c>
      <c r="D1695" s="110">
        <v>-36</v>
      </c>
      <c r="E1695" t="str">
        <f t="shared" si="67"/>
        <v>4</v>
      </c>
      <c r="F1695" t="str">
        <f t="shared" si="68"/>
        <v>1.6</v>
      </c>
    </row>
    <row r="1696" spans="1:6" x14ac:dyDescent="0.25">
      <c r="A1696" s="109">
        <v>3475</v>
      </c>
      <c r="B1696" t="s">
        <v>2348</v>
      </c>
      <c r="C1696" t="s">
        <v>1991</v>
      </c>
      <c r="D1696" s="110">
        <v>-36</v>
      </c>
      <c r="E1696" t="str">
        <f t="shared" si="67"/>
        <v>4</v>
      </c>
      <c r="F1696" t="str">
        <f t="shared" si="68"/>
        <v>1.6</v>
      </c>
    </row>
    <row r="1697" spans="1:6" x14ac:dyDescent="0.25">
      <c r="A1697" s="109">
        <v>3478</v>
      </c>
      <c r="B1697" t="s">
        <v>2349</v>
      </c>
      <c r="C1697" t="s">
        <v>1991</v>
      </c>
      <c r="D1697" s="110">
        <v>-36</v>
      </c>
      <c r="E1697" t="str">
        <f t="shared" si="67"/>
        <v>4</v>
      </c>
      <c r="F1697" t="str">
        <f t="shared" si="68"/>
        <v>1.6</v>
      </c>
    </row>
    <row r="1698" spans="1:6" x14ac:dyDescent="0.25">
      <c r="A1698" s="109">
        <v>3480</v>
      </c>
      <c r="B1698" t="s">
        <v>2350</v>
      </c>
      <c r="C1698" t="s">
        <v>1991</v>
      </c>
      <c r="D1698" s="110">
        <v>-36</v>
      </c>
      <c r="E1698" t="str">
        <f t="shared" si="67"/>
        <v>4</v>
      </c>
      <c r="F1698" t="str">
        <f t="shared" si="68"/>
        <v>1.6</v>
      </c>
    </row>
    <row r="1699" spans="1:6" x14ac:dyDescent="0.25">
      <c r="A1699" s="109">
        <v>3482</v>
      </c>
      <c r="B1699" t="s">
        <v>2351</v>
      </c>
      <c r="C1699" t="s">
        <v>1991</v>
      </c>
      <c r="D1699" s="110">
        <v>-36</v>
      </c>
      <c r="E1699" t="str">
        <f t="shared" si="67"/>
        <v>4</v>
      </c>
      <c r="F1699" t="str">
        <f t="shared" si="68"/>
        <v>1.6</v>
      </c>
    </row>
    <row r="1700" spans="1:6" x14ac:dyDescent="0.25">
      <c r="A1700" s="109">
        <v>3515</v>
      </c>
      <c r="B1700" t="s">
        <v>2352</v>
      </c>
      <c r="C1700" t="s">
        <v>1991</v>
      </c>
      <c r="D1700" s="110">
        <v>-36</v>
      </c>
      <c r="E1700" t="str">
        <f t="shared" si="67"/>
        <v>4</v>
      </c>
      <c r="F1700" t="str">
        <f t="shared" si="68"/>
        <v>1.6</v>
      </c>
    </row>
    <row r="1701" spans="1:6" x14ac:dyDescent="0.25">
      <c r="A1701" s="109">
        <v>3516</v>
      </c>
      <c r="B1701" t="s">
        <v>2353</v>
      </c>
      <c r="C1701" t="s">
        <v>1991</v>
      </c>
      <c r="D1701" s="110">
        <v>-36</v>
      </c>
      <c r="E1701" t="str">
        <f t="shared" si="67"/>
        <v>4</v>
      </c>
      <c r="F1701" t="str">
        <f t="shared" si="68"/>
        <v>1.6</v>
      </c>
    </row>
    <row r="1702" spans="1:6" x14ac:dyDescent="0.25">
      <c r="A1702" s="109">
        <v>3517</v>
      </c>
      <c r="B1702" t="s">
        <v>2354</v>
      </c>
      <c r="C1702" t="s">
        <v>1991</v>
      </c>
      <c r="D1702" s="110">
        <v>-36</v>
      </c>
      <c r="E1702" t="str">
        <f t="shared" si="67"/>
        <v>4</v>
      </c>
      <c r="F1702" t="str">
        <f t="shared" si="68"/>
        <v>1.6</v>
      </c>
    </row>
    <row r="1703" spans="1:6" x14ac:dyDescent="0.25">
      <c r="A1703" s="109">
        <v>3518</v>
      </c>
      <c r="B1703" t="s">
        <v>2355</v>
      </c>
      <c r="C1703" t="s">
        <v>1991</v>
      </c>
      <c r="D1703" s="110">
        <v>-36</v>
      </c>
      <c r="E1703" t="str">
        <f t="shared" si="67"/>
        <v>4</v>
      </c>
      <c r="F1703" t="str">
        <f t="shared" si="68"/>
        <v>1.6</v>
      </c>
    </row>
    <row r="1704" spans="1:6" x14ac:dyDescent="0.25">
      <c r="A1704" s="109">
        <v>3520</v>
      </c>
      <c r="B1704" t="s">
        <v>2356</v>
      </c>
      <c r="C1704" t="s">
        <v>1991</v>
      </c>
      <c r="D1704" s="110">
        <v>-36</v>
      </c>
      <c r="E1704" t="str">
        <f t="shared" si="67"/>
        <v>4</v>
      </c>
      <c r="F1704" t="str">
        <f t="shared" si="68"/>
        <v>1.6</v>
      </c>
    </row>
    <row r="1705" spans="1:6" x14ac:dyDescent="0.25">
      <c r="A1705" s="109">
        <v>3523</v>
      </c>
      <c r="B1705" t="s">
        <v>2357</v>
      </c>
      <c r="C1705" t="s">
        <v>1991</v>
      </c>
      <c r="D1705" s="110">
        <v>-36</v>
      </c>
      <c r="E1705" t="str">
        <f t="shared" si="67"/>
        <v>4</v>
      </c>
      <c r="F1705" t="str">
        <f t="shared" si="68"/>
        <v>1.6</v>
      </c>
    </row>
    <row r="1706" spans="1:6" x14ac:dyDescent="0.25">
      <c r="A1706" s="109">
        <v>3525</v>
      </c>
      <c r="B1706" t="s">
        <v>2358</v>
      </c>
      <c r="C1706" t="s">
        <v>1991</v>
      </c>
      <c r="D1706" s="110">
        <v>-36</v>
      </c>
      <c r="E1706" t="str">
        <f t="shared" ref="E1706:E1707" si="69">IF(D1706&lt;-34,"4",IF(D1706&lt;-26,"3",IF(D1706&lt;-18,"2",IF(D1706&lt;-8,"1","lits"))))</f>
        <v>4</v>
      </c>
      <c r="F1706" t="str">
        <f t="shared" si="68"/>
        <v>1.6</v>
      </c>
    </row>
    <row r="1707" spans="1:6" x14ac:dyDescent="0.25">
      <c r="A1707" s="109">
        <v>3527</v>
      </c>
      <c r="B1707" t="s">
        <v>2359</v>
      </c>
      <c r="C1707" t="s">
        <v>1991</v>
      </c>
      <c r="D1707" s="110">
        <v>-36</v>
      </c>
      <c r="E1707" t="str">
        <f t="shared" si="69"/>
        <v>4</v>
      </c>
      <c r="F1707" t="str">
        <f t="shared" si="68"/>
        <v>1.6</v>
      </c>
    </row>
    <row r="1708" spans="1:6" x14ac:dyDescent="0.25">
      <c r="A1708" s="109">
        <v>3550</v>
      </c>
      <c r="B1708" t="s">
        <v>2360</v>
      </c>
      <c r="C1708" t="s">
        <v>1991</v>
      </c>
      <c r="D1708" s="110">
        <v>-36</v>
      </c>
      <c r="E1708" t="str">
        <f t="shared" ref="E1708" si="70">IF(D1708&lt;-8,"1",IF(D1708&lt;-18,"2",IF(D1708&lt;-26,"3",IF(D1708&lt;-34,"4","lits"))))</f>
        <v>1</v>
      </c>
      <c r="F1708" t="str">
        <f t="shared" si="68"/>
        <v>1.6</v>
      </c>
    </row>
    <row r="1709" spans="1:6" x14ac:dyDescent="0.25">
      <c r="A1709" s="109">
        <v>3551</v>
      </c>
      <c r="B1709" t="s">
        <v>2361</v>
      </c>
      <c r="C1709" t="s">
        <v>1991</v>
      </c>
      <c r="D1709" s="110">
        <v>-36</v>
      </c>
      <c r="E1709" t="str">
        <f t="shared" ref="E1709:E1772" si="71">IF(D1709&lt;-34,"4",IF(D1709&lt;-26,"3",IF(D1709&lt;-18,"2",IF(D1709&lt;-8,"1","lits"))))</f>
        <v>4</v>
      </c>
      <c r="F1709" t="str">
        <f t="shared" si="68"/>
        <v>1.6</v>
      </c>
    </row>
    <row r="1710" spans="1:6" x14ac:dyDescent="0.25">
      <c r="A1710" s="109">
        <v>3555</v>
      </c>
      <c r="B1710" t="s">
        <v>2362</v>
      </c>
      <c r="C1710" t="s">
        <v>1991</v>
      </c>
      <c r="D1710" s="110">
        <v>-36</v>
      </c>
      <c r="E1710" t="str">
        <f t="shared" si="71"/>
        <v>4</v>
      </c>
      <c r="F1710" t="str">
        <f t="shared" si="68"/>
        <v>1.6</v>
      </c>
    </row>
    <row r="1711" spans="1:6" x14ac:dyDescent="0.25">
      <c r="A1711" s="109">
        <v>3556</v>
      </c>
      <c r="B1711" t="s">
        <v>2363</v>
      </c>
      <c r="C1711" t="s">
        <v>1991</v>
      </c>
      <c r="D1711" s="110">
        <v>-36</v>
      </c>
      <c r="E1711" t="str">
        <f t="shared" si="71"/>
        <v>4</v>
      </c>
      <c r="F1711" t="str">
        <f t="shared" si="68"/>
        <v>1.6</v>
      </c>
    </row>
    <row r="1712" spans="1:6" x14ac:dyDescent="0.25">
      <c r="A1712" s="109">
        <v>3557</v>
      </c>
      <c r="B1712" t="s">
        <v>2364</v>
      </c>
      <c r="C1712" t="s">
        <v>1991</v>
      </c>
      <c r="D1712" s="110">
        <v>-36</v>
      </c>
      <c r="E1712" t="str">
        <f t="shared" si="71"/>
        <v>4</v>
      </c>
      <c r="F1712" t="str">
        <f t="shared" si="68"/>
        <v>1.6</v>
      </c>
    </row>
    <row r="1713" spans="1:6" x14ac:dyDescent="0.25">
      <c r="A1713" s="109">
        <v>3558</v>
      </c>
      <c r="B1713" t="s">
        <v>2365</v>
      </c>
      <c r="C1713" t="s">
        <v>1991</v>
      </c>
      <c r="D1713" s="110">
        <v>-36</v>
      </c>
      <c r="E1713" t="str">
        <f t="shared" si="71"/>
        <v>4</v>
      </c>
      <c r="F1713" t="str">
        <f t="shared" si="68"/>
        <v>1.6</v>
      </c>
    </row>
    <row r="1714" spans="1:6" x14ac:dyDescent="0.25">
      <c r="A1714" s="109">
        <v>3559</v>
      </c>
      <c r="B1714" t="s">
        <v>2366</v>
      </c>
      <c r="C1714" t="s">
        <v>1991</v>
      </c>
      <c r="D1714" s="110">
        <v>-36</v>
      </c>
      <c r="E1714" t="str">
        <f t="shared" si="71"/>
        <v>4</v>
      </c>
      <c r="F1714" t="str">
        <f t="shared" si="68"/>
        <v>1.6</v>
      </c>
    </row>
    <row r="1715" spans="1:6" x14ac:dyDescent="0.25">
      <c r="A1715" s="109">
        <v>3561</v>
      </c>
      <c r="B1715" t="s">
        <v>2367</v>
      </c>
      <c r="C1715" t="s">
        <v>1991</v>
      </c>
      <c r="D1715" s="110">
        <v>-36</v>
      </c>
      <c r="E1715" t="str">
        <f t="shared" si="71"/>
        <v>4</v>
      </c>
      <c r="F1715" t="str">
        <f t="shared" si="68"/>
        <v>1.6</v>
      </c>
    </row>
    <row r="1716" spans="1:6" x14ac:dyDescent="0.25">
      <c r="A1716" s="109">
        <v>3562</v>
      </c>
      <c r="B1716" t="s">
        <v>2368</v>
      </c>
      <c r="C1716" t="s">
        <v>1991</v>
      </c>
      <c r="D1716" s="110">
        <v>-36</v>
      </c>
      <c r="E1716" t="str">
        <f t="shared" si="71"/>
        <v>4</v>
      </c>
      <c r="F1716" t="str">
        <f t="shared" si="68"/>
        <v>1.6</v>
      </c>
    </row>
    <row r="1717" spans="1:6" x14ac:dyDescent="0.25">
      <c r="A1717" s="109">
        <v>3563</v>
      </c>
      <c r="B1717" t="s">
        <v>2369</v>
      </c>
      <c r="C1717" t="s">
        <v>1991</v>
      </c>
      <c r="D1717" s="110">
        <v>-36</v>
      </c>
      <c r="E1717" t="str">
        <f t="shared" si="71"/>
        <v>4</v>
      </c>
      <c r="F1717" t="str">
        <f t="shared" si="68"/>
        <v>1.6</v>
      </c>
    </row>
    <row r="1718" spans="1:6" x14ac:dyDescent="0.25">
      <c r="A1718" s="109">
        <v>3564</v>
      </c>
      <c r="B1718" t="s">
        <v>2370</v>
      </c>
      <c r="C1718" t="s">
        <v>1991</v>
      </c>
      <c r="D1718" s="110">
        <v>-36</v>
      </c>
      <c r="E1718" t="str">
        <f t="shared" si="71"/>
        <v>4</v>
      </c>
      <c r="F1718" t="str">
        <f t="shared" si="68"/>
        <v>1.6</v>
      </c>
    </row>
    <row r="1719" spans="1:6" x14ac:dyDescent="0.25">
      <c r="A1719" s="109">
        <v>3570</v>
      </c>
      <c r="B1719" t="s">
        <v>2371</v>
      </c>
      <c r="C1719" t="s">
        <v>1991</v>
      </c>
      <c r="D1719" s="110">
        <v>-36</v>
      </c>
      <c r="E1719" t="str">
        <f t="shared" si="71"/>
        <v>4</v>
      </c>
      <c r="F1719" t="str">
        <f t="shared" si="68"/>
        <v>1.6</v>
      </c>
    </row>
    <row r="1720" spans="1:6" x14ac:dyDescent="0.25">
      <c r="A1720" s="109">
        <v>3571</v>
      </c>
      <c r="B1720" t="s">
        <v>2372</v>
      </c>
      <c r="C1720" t="s">
        <v>1991</v>
      </c>
      <c r="D1720" s="110">
        <v>-36</v>
      </c>
      <c r="E1720" t="str">
        <f t="shared" si="71"/>
        <v>4</v>
      </c>
      <c r="F1720" t="str">
        <f t="shared" si="68"/>
        <v>1.6</v>
      </c>
    </row>
    <row r="1721" spans="1:6" x14ac:dyDescent="0.25">
      <c r="A1721" s="109">
        <v>3573</v>
      </c>
      <c r="B1721" t="s">
        <v>2373</v>
      </c>
      <c r="C1721" t="s">
        <v>1991</v>
      </c>
      <c r="D1721" s="110">
        <v>-36</v>
      </c>
      <c r="E1721" t="str">
        <f t="shared" si="71"/>
        <v>4</v>
      </c>
      <c r="F1721" t="str">
        <f t="shared" si="68"/>
        <v>1.6</v>
      </c>
    </row>
    <row r="1722" spans="1:6" x14ac:dyDescent="0.25">
      <c r="A1722" s="109">
        <v>3576</v>
      </c>
      <c r="B1722" t="s">
        <v>2374</v>
      </c>
      <c r="C1722" t="s">
        <v>1991</v>
      </c>
      <c r="D1722" s="110">
        <v>-36</v>
      </c>
      <c r="E1722" t="str">
        <f t="shared" si="71"/>
        <v>4</v>
      </c>
      <c r="F1722" t="str">
        <f t="shared" si="68"/>
        <v>1.6</v>
      </c>
    </row>
    <row r="1723" spans="1:6" x14ac:dyDescent="0.25">
      <c r="A1723" s="109">
        <v>3608</v>
      </c>
      <c r="B1723" t="s">
        <v>2375</v>
      </c>
      <c r="C1723" t="s">
        <v>1991</v>
      </c>
      <c r="D1723" s="110">
        <v>-36</v>
      </c>
      <c r="E1723" t="str">
        <f t="shared" si="71"/>
        <v>4</v>
      </c>
      <c r="F1723" t="str">
        <f t="shared" si="68"/>
        <v>1.6</v>
      </c>
    </row>
    <row r="1724" spans="1:6" x14ac:dyDescent="0.25">
      <c r="A1724" s="109">
        <v>3610</v>
      </c>
      <c r="B1724" t="s">
        <v>2376</v>
      </c>
      <c r="C1724" t="s">
        <v>1991</v>
      </c>
      <c r="D1724" s="110">
        <v>-36</v>
      </c>
      <c r="E1724" t="str">
        <f t="shared" si="71"/>
        <v>4</v>
      </c>
      <c r="F1724" t="str">
        <f t="shared" si="68"/>
        <v>1.6</v>
      </c>
    </row>
    <row r="1725" spans="1:6" x14ac:dyDescent="0.25">
      <c r="A1725" s="109">
        <v>3612</v>
      </c>
      <c r="B1725" t="s">
        <v>2377</v>
      </c>
      <c r="C1725" t="s">
        <v>1991</v>
      </c>
      <c r="D1725" s="110">
        <v>-36</v>
      </c>
      <c r="E1725" t="str">
        <f t="shared" si="71"/>
        <v>4</v>
      </c>
      <c r="F1725" t="str">
        <f t="shared" si="68"/>
        <v>1.6</v>
      </c>
    </row>
    <row r="1726" spans="1:6" x14ac:dyDescent="0.25">
      <c r="A1726" s="109">
        <v>3614</v>
      </c>
      <c r="B1726" t="s">
        <v>2378</v>
      </c>
      <c r="C1726" t="s">
        <v>1991</v>
      </c>
      <c r="D1726" s="110">
        <v>-36</v>
      </c>
      <c r="E1726" t="str">
        <f t="shared" si="71"/>
        <v>4</v>
      </c>
      <c r="F1726" t="str">
        <f t="shared" si="68"/>
        <v>1.6</v>
      </c>
    </row>
    <row r="1727" spans="1:6" x14ac:dyDescent="0.25">
      <c r="A1727" s="109">
        <v>3616</v>
      </c>
      <c r="B1727" t="s">
        <v>2379</v>
      </c>
      <c r="C1727" t="s">
        <v>1991</v>
      </c>
      <c r="D1727" s="110">
        <v>-36</v>
      </c>
      <c r="E1727" t="str">
        <f t="shared" si="71"/>
        <v>4</v>
      </c>
      <c r="F1727" t="str">
        <f t="shared" si="68"/>
        <v>1.6</v>
      </c>
    </row>
    <row r="1728" spans="1:6" x14ac:dyDescent="0.25">
      <c r="A1728" s="109">
        <v>3620</v>
      </c>
      <c r="B1728" t="s">
        <v>2380</v>
      </c>
      <c r="C1728" t="s">
        <v>1991</v>
      </c>
      <c r="D1728" s="110">
        <v>-36</v>
      </c>
      <c r="E1728" t="str">
        <f t="shared" si="71"/>
        <v>4</v>
      </c>
      <c r="F1728" t="str">
        <f t="shared" si="68"/>
        <v>1.6</v>
      </c>
    </row>
    <row r="1729" spans="1:6" x14ac:dyDescent="0.25">
      <c r="A1729" s="109">
        <v>3621</v>
      </c>
      <c r="B1729" t="s">
        <v>2381</v>
      </c>
      <c r="C1729" t="s">
        <v>1991</v>
      </c>
      <c r="D1729" s="110">
        <v>-36</v>
      </c>
      <c r="E1729" t="str">
        <f t="shared" si="71"/>
        <v>4</v>
      </c>
      <c r="F1729" t="str">
        <f t="shared" si="68"/>
        <v>1.6</v>
      </c>
    </row>
    <row r="1730" spans="1:6" x14ac:dyDescent="0.25">
      <c r="A1730" s="109">
        <v>3622</v>
      </c>
      <c r="B1730" t="s">
        <v>2382</v>
      </c>
      <c r="C1730" t="s">
        <v>1991</v>
      </c>
      <c r="D1730" s="110">
        <v>-36</v>
      </c>
      <c r="E1730" t="str">
        <f t="shared" si="71"/>
        <v>4</v>
      </c>
      <c r="F1730" t="str">
        <f t="shared" si="68"/>
        <v>1.6</v>
      </c>
    </row>
    <row r="1731" spans="1:6" x14ac:dyDescent="0.25">
      <c r="A1731" s="109">
        <v>3623</v>
      </c>
      <c r="B1731" t="s">
        <v>1467</v>
      </c>
      <c r="C1731" t="s">
        <v>1991</v>
      </c>
      <c r="D1731" s="110">
        <v>-36</v>
      </c>
      <c r="E1731" t="str">
        <f t="shared" si="71"/>
        <v>4</v>
      </c>
      <c r="F1731" t="str">
        <f t="shared" ref="F1731:F1794" si="72">IF(D1731&lt;-34,"1.6",IF(D1731&lt;-26,"1.4",IF(D1731&lt;-18,"1.2",IF(D1731&lt;-8,"1","lits"))))</f>
        <v>1.6</v>
      </c>
    </row>
    <row r="1732" spans="1:6" x14ac:dyDescent="0.25">
      <c r="A1732" s="109">
        <v>3629</v>
      </c>
      <c r="B1732" t="s">
        <v>2383</v>
      </c>
      <c r="C1732" t="s">
        <v>1991</v>
      </c>
      <c r="D1732" s="110">
        <v>-36</v>
      </c>
      <c r="E1732" t="str">
        <f t="shared" si="71"/>
        <v>4</v>
      </c>
      <c r="F1732" t="str">
        <f t="shared" si="72"/>
        <v>1.6</v>
      </c>
    </row>
    <row r="1733" spans="1:6" x14ac:dyDescent="0.25">
      <c r="A1733" s="109">
        <v>3630</v>
      </c>
      <c r="B1733" t="s">
        <v>2384</v>
      </c>
      <c r="C1733" t="s">
        <v>1991</v>
      </c>
      <c r="D1733" s="111">
        <v>-36</v>
      </c>
      <c r="E1733" t="str">
        <f t="shared" si="71"/>
        <v>4</v>
      </c>
      <c r="F1733" t="str">
        <f t="shared" si="72"/>
        <v>1.6</v>
      </c>
    </row>
    <row r="1734" spans="1:6" x14ac:dyDescent="0.25">
      <c r="A1734" s="109">
        <v>3631</v>
      </c>
      <c r="B1734" t="s">
        <v>2385</v>
      </c>
      <c r="C1734" t="s">
        <v>1991</v>
      </c>
      <c r="D1734" s="110">
        <v>-36</v>
      </c>
      <c r="E1734" t="str">
        <f t="shared" si="71"/>
        <v>4</v>
      </c>
      <c r="F1734" t="str">
        <f t="shared" si="72"/>
        <v>1.6</v>
      </c>
    </row>
    <row r="1735" spans="1:6" x14ac:dyDescent="0.25">
      <c r="A1735" s="109">
        <v>3633</v>
      </c>
      <c r="B1735" t="s">
        <v>2386</v>
      </c>
      <c r="C1735" t="s">
        <v>1991</v>
      </c>
      <c r="D1735" s="110">
        <v>-36</v>
      </c>
      <c r="E1735" t="str">
        <f t="shared" si="71"/>
        <v>4</v>
      </c>
      <c r="F1735" t="str">
        <f t="shared" si="72"/>
        <v>1.6</v>
      </c>
    </row>
    <row r="1736" spans="1:6" x14ac:dyDescent="0.25">
      <c r="A1736" s="109">
        <v>3634</v>
      </c>
      <c r="B1736" t="s">
        <v>2387</v>
      </c>
      <c r="C1736" t="s">
        <v>1991</v>
      </c>
      <c r="D1736" s="110">
        <v>-36</v>
      </c>
      <c r="E1736" t="str">
        <f t="shared" si="71"/>
        <v>4</v>
      </c>
      <c r="F1736" t="str">
        <f t="shared" si="72"/>
        <v>1.6</v>
      </c>
    </row>
    <row r="1737" spans="1:6" x14ac:dyDescent="0.25">
      <c r="A1737" s="109">
        <v>3635</v>
      </c>
      <c r="B1737" t="s">
        <v>2388</v>
      </c>
      <c r="C1737" t="s">
        <v>1991</v>
      </c>
      <c r="D1737" s="110">
        <v>-36</v>
      </c>
      <c r="E1737" t="str">
        <f t="shared" si="71"/>
        <v>4</v>
      </c>
      <c r="F1737" t="str">
        <f t="shared" si="72"/>
        <v>1.6</v>
      </c>
    </row>
    <row r="1738" spans="1:6" x14ac:dyDescent="0.25">
      <c r="A1738" s="109">
        <v>3636</v>
      </c>
      <c r="B1738" t="s">
        <v>2389</v>
      </c>
      <c r="C1738" t="s">
        <v>1991</v>
      </c>
      <c r="D1738" s="110">
        <v>-36</v>
      </c>
      <c r="E1738" t="str">
        <f t="shared" si="71"/>
        <v>4</v>
      </c>
      <c r="F1738" t="str">
        <f t="shared" si="72"/>
        <v>1.6</v>
      </c>
    </row>
    <row r="1739" spans="1:6" x14ac:dyDescent="0.25">
      <c r="A1739" s="109">
        <v>3647</v>
      </c>
      <c r="B1739" t="s">
        <v>2390</v>
      </c>
      <c r="C1739" t="s">
        <v>1991</v>
      </c>
      <c r="D1739" s="110">
        <v>-36</v>
      </c>
      <c r="E1739" t="str">
        <f t="shared" si="71"/>
        <v>4</v>
      </c>
      <c r="F1739" t="str">
        <f t="shared" si="72"/>
        <v>1.6</v>
      </c>
    </row>
    <row r="1740" spans="1:6" x14ac:dyDescent="0.25">
      <c r="A1740" s="109">
        <v>3662</v>
      </c>
      <c r="B1740" t="s">
        <v>2391</v>
      </c>
      <c r="C1740" t="s">
        <v>1991</v>
      </c>
      <c r="D1740" s="110">
        <v>-36</v>
      </c>
      <c r="E1740" t="str">
        <f t="shared" si="71"/>
        <v>4</v>
      </c>
      <c r="F1740" t="str">
        <f t="shared" si="72"/>
        <v>1.6</v>
      </c>
    </row>
    <row r="1741" spans="1:6" x14ac:dyDescent="0.25">
      <c r="A1741" s="109">
        <v>3663</v>
      </c>
      <c r="B1741" t="s">
        <v>2392</v>
      </c>
      <c r="C1741" t="s">
        <v>1991</v>
      </c>
      <c r="D1741" s="110">
        <v>-36</v>
      </c>
      <c r="E1741" t="str">
        <f t="shared" si="71"/>
        <v>4</v>
      </c>
      <c r="F1741" t="str">
        <f t="shared" si="72"/>
        <v>1.6</v>
      </c>
    </row>
    <row r="1742" spans="1:6" x14ac:dyDescent="0.25">
      <c r="A1742" s="109">
        <v>3664</v>
      </c>
      <c r="B1742" t="s">
        <v>2393</v>
      </c>
      <c r="C1742" t="s">
        <v>1991</v>
      </c>
      <c r="D1742" s="110">
        <v>-36</v>
      </c>
      <c r="E1742" t="str">
        <f t="shared" si="71"/>
        <v>4</v>
      </c>
      <c r="F1742" t="str">
        <f t="shared" si="72"/>
        <v>1.6</v>
      </c>
    </row>
    <row r="1743" spans="1:6" x14ac:dyDescent="0.25">
      <c r="A1743" s="109">
        <v>3665</v>
      </c>
      <c r="B1743" t="s">
        <v>2394</v>
      </c>
      <c r="C1743" t="s">
        <v>1991</v>
      </c>
      <c r="D1743" s="110">
        <v>-36</v>
      </c>
      <c r="E1743" t="str">
        <f t="shared" si="71"/>
        <v>4</v>
      </c>
      <c r="F1743" t="str">
        <f t="shared" si="72"/>
        <v>1.6</v>
      </c>
    </row>
    <row r="1744" spans="1:6" x14ac:dyDescent="0.25">
      <c r="A1744" s="109">
        <v>3666</v>
      </c>
      <c r="B1744" t="s">
        <v>2395</v>
      </c>
      <c r="C1744" t="s">
        <v>1991</v>
      </c>
      <c r="D1744" s="110">
        <v>-36</v>
      </c>
      <c r="E1744" t="str">
        <f t="shared" si="71"/>
        <v>4</v>
      </c>
      <c r="F1744" t="str">
        <f t="shared" si="72"/>
        <v>1.6</v>
      </c>
    </row>
    <row r="1745" spans="1:6" x14ac:dyDescent="0.25">
      <c r="A1745" s="109">
        <v>3669</v>
      </c>
      <c r="B1745" t="s">
        <v>2396</v>
      </c>
      <c r="C1745" t="s">
        <v>1991</v>
      </c>
      <c r="D1745" s="110">
        <v>-36</v>
      </c>
      <c r="E1745" t="str">
        <f t="shared" si="71"/>
        <v>4</v>
      </c>
      <c r="F1745" t="str">
        <f t="shared" si="72"/>
        <v>1.6</v>
      </c>
    </row>
    <row r="1746" spans="1:6" x14ac:dyDescent="0.25">
      <c r="A1746" s="109">
        <v>3670</v>
      </c>
      <c r="B1746" t="s">
        <v>2397</v>
      </c>
      <c r="C1746" t="s">
        <v>1991</v>
      </c>
      <c r="D1746" s="110">
        <v>-36</v>
      </c>
      <c r="E1746" t="str">
        <f t="shared" si="71"/>
        <v>4</v>
      </c>
      <c r="F1746" t="str">
        <f t="shared" si="72"/>
        <v>1.6</v>
      </c>
    </row>
    <row r="1747" spans="1:6" x14ac:dyDescent="0.25">
      <c r="A1747" s="109">
        <v>3672</v>
      </c>
      <c r="B1747" t="s">
        <v>2398</v>
      </c>
      <c r="C1747" t="s">
        <v>1991</v>
      </c>
      <c r="D1747" s="110">
        <v>-36</v>
      </c>
      <c r="E1747" t="str">
        <f t="shared" si="71"/>
        <v>4</v>
      </c>
      <c r="F1747" t="str">
        <f t="shared" si="72"/>
        <v>1.6</v>
      </c>
    </row>
    <row r="1748" spans="1:6" x14ac:dyDescent="0.25">
      <c r="A1748" s="109">
        <v>3673</v>
      </c>
      <c r="B1748" t="s">
        <v>809</v>
      </c>
      <c r="C1748" t="s">
        <v>1991</v>
      </c>
      <c r="D1748" s="110">
        <v>-36</v>
      </c>
      <c r="E1748" t="str">
        <f t="shared" si="71"/>
        <v>4</v>
      </c>
      <c r="F1748" t="str">
        <f t="shared" si="72"/>
        <v>1.6</v>
      </c>
    </row>
    <row r="1749" spans="1:6" x14ac:dyDescent="0.25">
      <c r="A1749" s="109">
        <v>3675</v>
      </c>
      <c r="B1749" t="s">
        <v>2399</v>
      </c>
      <c r="C1749" t="s">
        <v>1991</v>
      </c>
      <c r="D1749" s="110">
        <v>-36</v>
      </c>
      <c r="E1749" t="str">
        <f t="shared" si="71"/>
        <v>4</v>
      </c>
      <c r="F1749" t="str">
        <f t="shared" si="72"/>
        <v>1.6</v>
      </c>
    </row>
    <row r="1750" spans="1:6" x14ac:dyDescent="0.25">
      <c r="A1750" s="109">
        <v>3677</v>
      </c>
      <c r="B1750" t="s">
        <v>2400</v>
      </c>
      <c r="C1750" t="s">
        <v>1991</v>
      </c>
      <c r="D1750" s="110">
        <v>-36</v>
      </c>
      <c r="E1750" t="str">
        <f t="shared" si="71"/>
        <v>4</v>
      </c>
      <c r="F1750" t="str">
        <f t="shared" si="72"/>
        <v>1.6</v>
      </c>
    </row>
    <row r="1751" spans="1:6" x14ac:dyDescent="0.25">
      <c r="A1751" s="109">
        <v>3678</v>
      </c>
      <c r="B1751" t="s">
        <v>1976</v>
      </c>
      <c r="C1751" t="s">
        <v>1991</v>
      </c>
      <c r="D1751" s="110">
        <v>-36</v>
      </c>
      <c r="E1751" t="str">
        <f t="shared" si="71"/>
        <v>4</v>
      </c>
      <c r="F1751" t="str">
        <f t="shared" si="72"/>
        <v>1.6</v>
      </c>
    </row>
    <row r="1752" spans="1:6" x14ac:dyDescent="0.25">
      <c r="A1752" s="109">
        <v>3682</v>
      </c>
      <c r="B1752" t="s">
        <v>2401</v>
      </c>
      <c r="C1752" t="s">
        <v>1991</v>
      </c>
      <c r="D1752" s="110">
        <v>-36</v>
      </c>
      <c r="E1752" t="str">
        <f t="shared" si="71"/>
        <v>4</v>
      </c>
      <c r="F1752" t="str">
        <f t="shared" si="72"/>
        <v>1.6</v>
      </c>
    </row>
    <row r="1753" spans="1:6" x14ac:dyDescent="0.25">
      <c r="A1753" s="109">
        <v>3683</v>
      </c>
      <c r="B1753" t="s">
        <v>2402</v>
      </c>
      <c r="C1753" t="s">
        <v>1991</v>
      </c>
      <c r="D1753" s="110">
        <v>-36</v>
      </c>
      <c r="E1753" t="str">
        <f t="shared" si="71"/>
        <v>4</v>
      </c>
      <c r="F1753" t="str">
        <f t="shared" si="72"/>
        <v>1.6</v>
      </c>
    </row>
    <row r="1754" spans="1:6" x14ac:dyDescent="0.25">
      <c r="A1754" s="109">
        <v>3685</v>
      </c>
      <c r="B1754" t="s">
        <v>2403</v>
      </c>
      <c r="C1754" t="s">
        <v>1991</v>
      </c>
      <c r="D1754" s="110">
        <v>-36</v>
      </c>
      <c r="E1754" t="str">
        <f t="shared" si="71"/>
        <v>4</v>
      </c>
      <c r="F1754" t="str">
        <f t="shared" si="72"/>
        <v>1.6</v>
      </c>
    </row>
    <row r="1755" spans="1:6" x14ac:dyDescent="0.25">
      <c r="A1755" s="109">
        <v>3687</v>
      </c>
      <c r="B1755" t="s">
        <v>2404</v>
      </c>
      <c r="C1755" t="s">
        <v>1991</v>
      </c>
      <c r="D1755" s="110">
        <v>-36</v>
      </c>
      <c r="E1755" t="str">
        <f t="shared" si="71"/>
        <v>4</v>
      </c>
      <c r="F1755" t="str">
        <f t="shared" si="72"/>
        <v>1.6</v>
      </c>
    </row>
    <row r="1756" spans="1:6" x14ac:dyDescent="0.25">
      <c r="A1756" s="109">
        <v>3688</v>
      </c>
      <c r="B1756" t="s">
        <v>2405</v>
      </c>
      <c r="C1756" t="s">
        <v>1991</v>
      </c>
      <c r="D1756" s="110">
        <v>-36</v>
      </c>
      <c r="E1756" t="str">
        <f t="shared" si="71"/>
        <v>4</v>
      </c>
      <c r="F1756" t="str">
        <f t="shared" si="72"/>
        <v>1.6</v>
      </c>
    </row>
    <row r="1757" spans="1:6" x14ac:dyDescent="0.25">
      <c r="A1757" s="109">
        <v>3690</v>
      </c>
      <c r="B1757" t="s">
        <v>2406</v>
      </c>
      <c r="C1757" t="s">
        <v>1991</v>
      </c>
      <c r="D1757" s="110">
        <v>-36</v>
      </c>
      <c r="E1757" t="str">
        <f t="shared" si="71"/>
        <v>4</v>
      </c>
      <c r="F1757" t="str">
        <f t="shared" si="72"/>
        <v>1.6</v>
      </c>
    </row>
    <row r="1758" spans="1:6" x14ac:dyDescent="0.25">
      <c r="A1758" s="109">
        <v>3691</v>
      </c>
      <c r="B1758" t="s">
        <v>2407</v>
      </c>
      <c r="C1758" t="s">
        <v>1991</v>
      </c>
      <c r="D1758" s="110">
        <v>-36</v>
      </c>
      <c r="E1758" t="str">
        <f t="shared" si="71"/>
        <v>4</v>
      </c>
      <c r="F1758" t="str">
        <f t="shared" si="72"/>
        <v>1.6</v>
      </c>
    </row>
    <row r="1759" spans="1:6" x14ac:dyDescent="0.25">
      <c r="A1759" s="109">
        <v>3697</v>
      </c>
      <c r="B1759" t="s">
        <v>2408</v>
      </c>
      <c r="C1759" t="s">
        <v>1991</v>
      </c>
      <c r="D1759" s="110">
        <v>-36</v>
      </c>
      <c r="E1759" t="str">
        <f t="shared" si="71"/>
        <v>4</v>
      </c>
      <c r="F1759" t="str">
        <f t="shared" si="72"/>
        <v>1.6</v>
      </c>
    </row>
    <row r="1760" spans="1:6" x14ac:dyDescent="0.25">
      <c r="A1760" s="109">
        <v>3699</v>
      </c>
      <c r="B1760" t="s">
        <v>2409</v>
      </c>
      <c r="C1760" t="s">
        <v>1991</v>
      </c>
      <c r="D1760" s="110">
        <v>-36</v>
      </c>
      <c r="E1760" t="str">
        <f t="shared" si="71"/>
        <v>4</v>
      </c>
      <c r="F1760" t="str">
        <f t="shared" si="72"/>
        <v>1.6</v>
      </c>
    </row>
    <row r="1761" spans="1:6" x14ac:dyDescent="0.25">
      <c r="A1761" s="109">
        <v>3700</v>
      </c>
      <c r="B1761" t="s">
        <v>2410</v>
      </c>
      <c r="C1761" t="s">
        <v>1991</v>
      </c>
      <c r="D1761" s="110">
        <v>-36</v>
      </c>
      <c r="E1761" t="str">
        <f t="shared" si="71"/>
        <v>4</v>
      </c>
      <c r="F1761" t="str">
        <f t="shared" si="72"/>
        <v>1.6</v>
      </c>
    </row>
    <row r="1762" spans="1:6" x14ac:dyDescent="0.25">
      <c r="A1762" s="109">
        <v>3701</v>
      </c>
      <c r="B1762" t="s">
        <v>2411</v>
      </c>
      <c r="C1762" t="s">
        <v>1991</v>
      </c>
      <c r="D1762" s="110">
        <v>-36</v>
      </c>
      <c r="E1762" t="str">
        <f t="shared" si="71"/>
        <v>4</v>
      </c>
      <c r="F1762" t="str">
        <f t="shared" si="72"/>
        <v>1.6</v>
      </c>
    </row>
    <row r="1763" spans="1:6" x14ac:dyDescent="0.25">
      <c r="A1763" s="109">
        <v>3704</v>
      </c>
      <c r="B1763" t="s">
        <v>2412</v>
      </c>
      <c r="C1763" t="s">
        <v>1991</v>
      </c>
      <c r="D1763" s="110">
        <v>-36</v>
      </c>
      <c r="E1763" t="str">
        <f t="shared" si="71"/>
        <v>4</v>
      </c>
      <c r="F1763" t="str">
        <f t="shared" si="72"/>
        <v>1.6</v>
      </c>
    </row>
    <row r="1764" spans="1:6" x14ac:dyDescent="0.25">
      <c r="A1764" s="109">
        <v>3705</v>
      </c>
      <c r="B1764" t="s">
        <v>2413</v>
      </c>
      <c r="C1764" t="s">
        <v>1991</v>
      </c>
      <c r="D1764" s="110">
        <v>-36</v>
      </c>
      <c r="E1764" t="str">
        <f t="shared" si="71"/>
        <v>4</v>
      </c>
      <c r="F1764" t="str">
        <f t="shared" si="72"/>
        <v>1.6</v>
      </c>
    </row>
    <row r="1765" spans="1:6" x14ac:dyDescent="0.25">
      <c r="A1765" s="109">
        <v>3707</v>
      </c>
      <c r="B1765" t="s">
        <v>2414</v>
      </c>
      <c r="C1765" t="s">
        <v>1991</v>
      </c>
      <c r="D1765" s="110">
        <v>-36</v>
      </c>
      <c r="E1765" t="str">
        <f t="shared" si="71"/>
        <v>4</v>
      </c>
      <c r="F1765" t="str">
        <f t="shared" si="72"/>
        <v>1.6</v>
      </c>
    </row>
    <row r="1766" spans="1:6" x14ac:dyDescent="0.25">
      <c r="A1766" s="109">
        <v>3715</v>
      </c>
      <c r="B1766" t="s">
        <v>2415</v>
      </c>
      <c r="C1766" t="s">
        <v>1991</v>
      </c>
      <c r="D1766" s="110">
        <v>-36</v>
      </c>
      <c r="E1766" t="str">
        <f t="shared" si="71"/>
        <v>4</v>
      </c>
      <c r="F1766" t="str">
        <f t="shared" si="72"/>
        <v>1.6</v>
      </c>
    </row>
    <row r="1767" spans="1:6" x14ac:dyDescent="0.25">
      <c r="A1767" s="109">
        <v>3725</v>
      </c>
      <c r="B1767" t="s">
        <v>2416</v>
      </c>
      <c r="C1767" t="s">
        <v>1991</v>
      </c>
      <c r="D1767" s="110">
        <v>-36</v>
      </c>
      <c r="E1767" t="str">
        <f t="shared" si="71"/>
        <v>4</v>
      </c>
      <c r="F1767" t="str">
        <f t="shared" si="72"/>
        <v>1.6</v>
      </c>
    </row>
    <row r="1768" spans="1:6" x14ac:dyDescent="0.25">
      <c r="A1768" s="109">
        <v>3726</v>
      </c>
      <c r="B1768" t="s">
        <v>2417</v>
      </c>
      <c r="C1768" t="s">
        <v>1991</v>
      </c>
      <c r="D1768" s="110">
        <v>-36</v>
      </c>
      <c r="E1768" t="str">
        <f t="shared" si="71"/>
        <v>4</v>
      </c>
      <c r="F1768" t="str">
        <f t="shared" si="72"/>
        <v>1.6</v>
      </c>
    </row>
    <row r="1769" spans="1:6" x14ac:dyDescent="0.25">
      <c r="A1769" s="109">
        <v>3727</v>
      </c>
      <c r="B1769" t="s">
        <v>2418</v>
      </c>
      <c r="C1769" t="s">
        <v>1991</v>
      </c>
      <c r="D1769" s="110">
        <v>-36</v>
      </c>
      <c r="E1769" t="str">
        <f t="shared" si="71"/>
        <v>4</v>
      </c>
      <c r="F1769" t="str">
        <f t="shared" si="72"/>
        <v>1.6</v>
      </c>
    </row>
    <row r="1770" spans="1:6" x14ac:dyDescent="0.25">
      <c r="A1770" s="109">
        <v>3728</v>
      </c>
      <c r="B1770" t="s">
        <v>2419</v>
      </c>
      <c r="C1770" t="s">
        <v>1991</v>
      </c>
      <c r="D1770" s="110">
        <v>-36</v>
      </c>
      <c r="E1770" t="str">
        <f t="shared" si="71"/>
        <v>4</v>
      </c>
      <c r="F1770" t="str">
        <f t="shared" si="72"/>
        <v>1.6</v>
      </c>
    </row>
    <row r="1771" spans="1:6" x14ac:dyDescent="0.25">
      <c r="A1771" s="109">
        <v>3730</v>
      </c>
      <c r="B1771" t="s">
        <v>694</v>
      </c>
      <c r="C1771" t="s">
        <v>1991</v>
      </c>
      <c r="D1771" s="110">
        <v>-36</v>
      </c>
      <c r="E1771" t="str">
        <f t="shared" si="71"/>
        <v>4</v>
      </c>
      <c r="F1771" t="str">
        <f t="shared" si="72"/>
        <v>1.6</v>
      </c>
    </row>
    <row r="1772" spans="1:6" x14ac:dyDescent="0.25">
      <c r="A1772" s="109">
        <v>3732</v>
      </c>
      <c r="B1772" t="s">
        <v>2420</v>
      </c>
      <c r="C1772" t="s">
        <v>1991</v>
      </c>
      <c r="D1772" s="110">
        <v>-36</v>
      </c>
      <c r="E1772" t="str">
        <f t="shared" si="71"/>
        <v>4</v>
      </c>
      <c r="F1772" t="str">
        <f t="shared" si="72"/>
        <v>1.6</v>
      </c>
    </row>
    <row r="1773" spans="1:6" x14ac:dyDescent="0.25">
      <c r="A1773" s="109">
        <v>3733</v>
      </c>
      <c r="B1773" t="s">
        <v>2421</v>
      </c>
      <c r="C1773" t="s">
        <v>1991</v>
      </c>
      <c r="D1773" s="110">
        <v>-36</v>
      </c>
      <c r="E1773" t="str">
        <f t="shared" ref="E1773:E1825" si="73">IF(D1773&lt;-34,"4",IF(D1773&lt;-26,"3",IF(D1773&lt;-18,"2",IF(D1773&lt;-8,"1","lits"))))</f>
        <v>4</v>
      </c>
      <c r="F1773" t="str">
        <f t="shared" si="72"/>
        <v>1.6</v>
      </c>
    </row>
    <row r="1774" spans="1:6" x14ac:dyDescent="0.25">
      <c r="A1774" s="109">
        <v>3735</v>
      </c>
      <c r="B1774" t="s">
        <v>2422</v>
      </c>
      <c r="C1774" t="s">
        <v>1991</v>
      </c>
      <c r="D1774" s="110">
        <v>-36</v>
      </c>
      <c r="E1774" t="str">
        <f t="shared" si="73"/>
        <v>4</v>
      </c>
      <c r="F1774" t="str">
        <f t="shared" si="72"/>
        <v>1.6</v>
      </c>
    </row>
    <row r="1775" spans="1:6" x14ac:dyDescent="0.25">
      <c r="A1775" s="109">
        <v>3737</v>
      </c>
      <c r="B1775" t="s">
        <v>2423</v>
      </c>
      <c r="C1775" t="s">
        <v>1991</v>
      </c>
      <c r="D1775" s="110">
        <v>-36</v>
      </c>
      <c r="E1775" t="str">
        <f t="shared" si="73"/>
        <v>4</v>
      </c>
      <c r="F1775" t="str">
        <f t="shared" si="72"/>
        <v>1.6</v>
      </c>
    </row>
    <row r="1776" spans="1:6" x14ac:dyDescent="0.25">
      <c r="A1776" s="109">
        <v>3739</v>
      </c>
      <c r="B1776" t="s">
        <v>2424</v>
      </c>
      <c r="C1776" t="s">
        <v>1991</v>
      </c>
      <c r="D1776" s="110">
        <v>-36</v>
      </c>
      <c r="E1776" t="str">
        <f t="shared" si="73"/>
        <v>4</v>
      </c>
      <c r="F1776" t="str">
        <f t="shared" si="72"/>
        <v>1.6</v>
      </c>
    </row>
    <row r="1777" spans="1:6" x14ac:dyDescent="0.25">
      <c r="A1777" s="109">
        <v>3740</v>
      </c>
      <c r="B1777" t="s">
        <v>2425</v>
      </c>
      <c r="C1777" t="s">
        <v>1991</v>
      </c>
      <c r="D1777" s="110">
        <v>-36</v>
      </c>
      <c r="E1777" t="str">
        <f t="shared" si="73"/>
        <v>4</v>
      </c>
      <c r="F1777" t="str">
        <f t="shared" si="72"/>
        <v>1.6</v>
      </c>
    </row>
    <row r="1778" spans="1:6" x14ac:dyDescent="0.25">
      <c r="A1778" s="109">
        <v>3741</v>
      </c>
      <c r="B1778" t="s">
        <v>2426</v>
      </c>
      <c r="C1778" t="s">
        <v>1991</v>
      </c>
      <c r="D1778" s="110">
        <v>-36</v>
      </c>
      <c r="E1778" t="str">
        <f t="shared" si="73"/>
        <v>4</v>
      </c>
      <c r="F1778" t="str">
        <f t="shared" si="72"/>
        <v>1.6</v>
      </c>
    </row>
    <row r="1779" spans="1:6" x14ac:dyDescent="0.25">
      <c r="A1779" s="109">
        <v>3744</v>
      </c>
      <c r="B1779" t="s">
        <v>2427</v>
      </c>
      <c r="C1779" t="s">
        <v>1991</v>
      </c>
      <c r="D1779" s="110">
        <v>-36</v>
      </c>
      <c r="E1779" t="str">
        <f t="shared" si="73"/>
        <v>4</v>
      </c>
      <c r="F1779" t="str">
        <f t="shared" si="72"/>
        <v>1.6</v>
      </c>
    </row>
    <row r="1780" spans="1:6" x14ac:dyDescent="0.25">
      <c r="A1780" s="109">
        <v>3747</v>
      </c>
      <c r="B1780" t="s">
        <v>2428</v>
      </c>
      <c r="C1780" t="s">
        <v>1991</v>
      </c>
      <c r="D1780" s="110">
        <v>-36</v>
      </c>
      <c r="E1780" t="str">
        <f t="shared" si="73"/>
        <v>4</v>
      </c>
      <c r="F1780" t="str">
        <f t="shared" si="72"/>
        <v>1.6</v>
      </c>
    </row>
    <row r="1781" spans="1:6" x14ac:dyDescent="0.25">
      <c r="A1781" s="109">
        <v>3749</v>
      </c>
      <c r="B1781" t="s">
        <v>2429</v>
      </c>
      <c r="C1781" t="s">
        <v>1991</v>
      </c>
      <c r="D1781" s="110">
        <v>-36</v>
      </c>
      <c r="E1781" t="str">
        <f t="shared" si="73"/>
        <v>4</v>
      </c>
      <c r="F1781" t="str">
        <f t="shared" si="72"/>
        <v>1.6</v>
      </c>
    </row>
    <row r="1782" spans="1:6" x14ac:dyDescent="0.25">
      <c r="A1782" s="109">
        <v>3900</v>
      </c>
      <c r="B1782" t="s">
        <v>2430</v>
      </c>
      <c r="C1782" t="s">
        <v>1991</v>
      </c>
      <c r="D1782" s="110">
        <v>-36</v>
      </c>
      <c r="E1782" t="str">
        <f t="shared" si="73"/>
        <v>4</v>
      </c>
      <c r="F1782" t="str">
        <f t="shared" si="72"/>
        <v>1.6</v>
      </c>
    </row>
    <row r="1783" spans="1:6" x14ac:dyDescent="0.25">
      <c r="A1783" s="109">
        <v>5262</v>
      </c>
      <c r="B1783" t="s">
        <v>2431</v>
      </c>
      <c r="C1783" t="s">
        <v>1105</v>
      </c>
      <c r="D1783" s="110">
        <v>-36</v>
      </c>
      <c r="E1783" t="str">
        <f t="shared" si="73"/>
        <v>4</v>
      </c>
      <c r="F1783" t="str">
        <f t="shared" si="72"/>
        <v>1.6</v>
      </c>
    </row>
    <row r="1784" spans="1:6" x14ac:dyDescent="0.25">
      <c r="A1784" s="109">
        <v>5267</v>
      </c>
      <c r="B1784" t="s">
        <v>2432</v>
      </c>
      <c r="C1784" t="s">
        <v>1105</v>
      </c>
      <c r="D1784" s="110">
        <v>-36</v>
      </c>
      <c r="E1784" t="str">
        <f t="shared" si="73"/>
        <v>4</v>
      </c>
      <c r="F1784" t="str">
        <f t="shared" si="72"/>
        <v>1.6</v>
      </c>
    </row>
    <row r="1785" spans="1:6" x14ac:dyDescent="0.25">
      <c r="A1785" s="109">
        <v>5268</v>
      </c>
      <c r="B1785" t="s">
        <v>2433</v>
      </c>
      <c r="C1785" t="s">
        <v>1105</v>
      </c>
      <c r="D1785" s="110">
        <v>-36</v>
      </c>
      <c r="E1785" t="str">
        <f t="shared" si="73"/>
        <v>4</v>
      </c>
      <c r="F1785" t="str">
        <f t="shared" si="72"/>
        <v>1.6</v>
      </c>
    </row>
    <row r="1786" spans="1:6" x14ac:dyDescent="0.25">
      <c r="A1786" s="109">
        <v>5269</v>
      </c>
      <c r="B1786" t="s">
        <v>2434</v>
      </c>
      <c r="C1786" t="s">
        <v>1105</v>
      </c>
      <c r="D1786" s="110">
        <v>-36</v>
      </c>
      <c r="E1786" t="str">
        <f t="shared" si="73"/>
        <v>4</v>
      </c>
      <c r="F1786" t="str">
        <f t="shared" si="72"/>
        <v>1.6</v>
      </c>
    </row>
    <row r="1787" spans="1:6" x14ac:dyDescent="0.25">
      <c r="A1787" s="109">
        <v>5270</v>
      </c>
      <c r="B1787" t="s">
        <v>2435</v>
      </c>
      <c r="C1787" t="s">
        <v>1105</v>
      </c>
      <c r="D1787" s="110">
        <v>-36</v>
      </c>
      <c r="E1787" t="str">
        <f t="shared" si="73"/>
        <v>4</v>
      </c>
      <c r="F1787" t="str">
        <f t="shared" si="72"/>
        <v>1.6</v>
      </c>
    </row>
    <row r="1788" spans="1:6" x14ac:dyDescent="0.25">
      <c r="A1788" s="109">
        <v>5271</v>
      </c>
      <c r="B1788" t="s">
        <v>2436</v>
      </c>
      <c r="C1788" t="s">
        <v>1105</v>
      </c>
      <c r="D1788" s="110">
        <v>-36</v>
      </c>
      <c r="E1788" t="str">
        <f t="shared" si="73"/>
        <v>4</v>
      </c>
      <c r="F1788" t="str">
        <f t="shared" si="72"/>
        <v>1.6</v>
      </c>
    </row>
    <row r="1789" spans="1:6" x14ac:dyDescent="0.25">
      <c r="A1789" s="109">
        <v>5272</v>
      </c>
      <c r="B1789" t="s">
        <v>2437</v>
      </c>
      <c r="C1789" t="s">
        <v>1105</v>
      </c>
      <c r="D1789" s="110">
        <v>-36</v>
      </c>
      <c r="E1789" t="str">
        <f t="shared" si="73"/>
        <v>4</v>
      </c>
      <c r="F1789" t="str">
        <f t="shared" si="72"/>
        <v>1.6</v>
      </c>
    </row>
    <row r="1790" spans="1:6" x14ac:dyDescent="0.25">
      <c r="A1790" s="109">
        <v>5275</v>
      </c>
      <c r="B1790" t="s">
        <v>2438</v>
      </c>
      <c r="C1790" t="s">
        <v>1105</v>
      </c>
      <c r="D1790" s="110">
        <v>-36</v>
      </c>
      <c r="E1790" t="str">
        <f t="shared" si="73"/>
        <v>4</v>
      </c>
      <c r="F1790" t="str">
        <f t="shared" si="72"/>
        <v>1.6</v>
      </c>
    </row>
    <row r="1791" spans="1:6" x14ac:dyDescent="0.25">
      <c r="A1791" s="109">
        <v>2550</v>
      </c>
      <c r="B1791" t="s">
        <v>2439</v>
      </c>
      <c r="C1791" t="s">
        <v>1113</v>
      </c>
      <c r="D1791" s="110">
        <v>-37</v>
      </c>
      <c r="E1791" t="str">
        <f t="shared" si="73"/>
        <v>4</v>
      </c>
      <c r="F1791" t="str">
        <f t="shared" si="72"/>
        <v>1.6</v>
      </c>
    </row>
    <row r="1792" spans="1:6" x14ac:dyDescent="0.25">
      <c r="A1792" s="109">
        <v>2551</v>
      </c>
      <c r="B1792" t="s">
        <v>2440</v>
      </c>
      <c r="C1792" t="s">
        <v>1113</v>
      </c>
      <c r="D1792" s="110">
        <v>-37</v>
      </c>
      <c r="E1792" t="str">
        <f t="shared" si="73"/>
        <v>4</v>
      </c>
      <c r="F1792" t="str">
        <f t="shared" si="72"/>
        <v>1.6</v>
      </c>
    </row>
    <row r="1793" spans="1:6" x14ac:dyDescent="0.25">
      <c r="A1793" s="109">
        <v>3000</v>
      </c>
      <c r="B1793" t="s">
        <v>2441</v>
      </c>
      <c r="C1793" t="s">
        <v>1991</v>
      </c>
      <c r="D1793" s="110">
        <v>-37</v>
      </c>
      <c r="E1793" t="str">
        <f t="shared" si="73"/>
        <v>4</v>
      </c>
      <c r="F1793" t="str">
        <f t="shared" si="72"/>
        <v>1.6</v>
      </c>
    </row>
    <row r="1794" spans="1:6" x14ac:dyDescent="0.25">
      <c r="A1794" s="109">
        <v>3002</v>
      </c>
      <c r="B1794" t="s">
        <v>2442</v>
      </c>
      <c r="C1794" t="s">
        <v>1991</v>
      </c>
      <c r="D1794" s="110">
        <v>-37</v>
      </c>
      <c r="E1794" t="str">
        <f t="shared" si="73"/>
        <v>4</v>
      </c>
      <c r="F1794" t="str">
        <f t="shared" si="72"/>
        <v>1.6</v>
      </c>
    </row>
    <row r="1795" spans="1:6" x14ac:dyDescent="0.25">
      <c r="A1795" s="109">
        <v>3003</v>
      </c>
      <c r="B1795" t="s">
        <v>2443</v>
      </c>
      <c r="C1795" t="s">
        <v>1991</v>
      </c>
      <c r="D1795" s="110">
        <v>-37</v>
      </c>
      <c r="E1795" t="str">
        <f t="shared" si="73"/>
        <v>4</v>
      </c>
      <c r="F1795" t="str">
        <f t="shared" ref="F1795:F1858" si="74">IF(D1795&lt;-34,"1.6",IF(D1795&lt;-26,"1.4",IF(D1795&lt;-18,"1.2",IF(D1795&lt;-8,"1","lits"))))</f>
        <v>1.6</v>
      </c>
    </row>
    <row r="1796" spans="1:6" x14ac:dyDescent="0.25">
      <c r="A1796" s="109">
        <v>3004</v>
      </c>
      <c r="B1796" t="s">
        <v>2444</v>
      </c>
      <c r="C1796" t="s">
        <v>1991</v>
      </c>
      <c r="D1796" s="110">
        <v>-37</v>
      </c>
      <c r="E1796" t="str">
        <f t="shared" si="73"/>
        <v>4</v>
      </c>
      <c r="F1796" t="str">
        <f t="shared" si="74"/>
        <v>1.6</v>
      </c>
    </row>
    <row r="1797" spans="1:6" x14ac:dyDescent="0.25">
      <c r="A1797" s="109">
        <v>3005</v>
      </c>
      <c r="B1797" t="s">
        <v>2445</v>
      </c>
      <c r="C1797" t="s">
        <v>1991</v>
      </c>
      <c r="D1797" s="110">
        <v>-37</v>
      </c>
      <c r="E1797" t="str">
        <f t="shared" si="73"/>
        <v>4</v>
      </c>
      <c r="F1797" t="str">
        <f t="shared" si="74"/>
        <v>1.6</v>
      </c>
    </row>
    <row r="1798" spans="1:6" x14ac:dyDescent="0.25">
      <c r="A1798" s="109">
        <v>3011</v>
      </c>
      <c r="B1798" t="s">
        <v>2446</v>
      </c>
      <c r="C1798" t="s">
        <v>1991</v>
      </c>
      <c r="D1798" s="110">
        <v>-37</v>
      </c>
      <c r="E1798" t="str">
        <f t="shared" si="73"/>
        <v>4</v>
      </c>
      <c r="F1798" t="str">
        <f t="shared" si="74"/>
        <v>1.6</v>
      </c>
    </row>
    <row r="1799" spans="1:6" x14ac:dyDescent="0.25">
      <c r="A1799" s="109">
        <v>3012</v>
      </c>
      <c r="B1799" t="s">
        <v>2447</v>
      </c>
      <c r="C1799" t="s">
        <v>1991</v>
      </c>
      <c r="D1799" s="110">
        <v>-37</v>
      </c>
      <c r="E1799" t="str">
        <f t="shared" si="73"/>
        <v>4</v>
      </c>
      <c r="F1799" t="str">
        <f t="shared" si="74"/>
        <v>1.6</v>
      </c>
    </row>
    <row r="1800" spans="1:6" x14ac:dyDescent="0.25">
      <c r="A1800" s="109">
        <v>3013</v>
      </c>
      <c r="B1800" t="s">
        <v>2448</v>
      </c>
      <c r="C1800" t="s">
        <v>1991</v>
      </c>
      <c r="D1800" s="110">
        <v>-37</v>
      </c>
      <c r="E1800" t="str">
        <f t="shared" si="73"/>
        <v>4</v>
      </c>
      <c r="F1800" t="str">
        <f t="shared" si="74"/>
        <v>1.6</v>
      </c>
    </row>
    <row r="1801" spans="1:6" x14ac:dyDescent="0.25">
      <c r="A1801" s="109">
        <v>3015</v>
      </c>
      <c r="B1801" t="s">
        <v>2449</v>
      </c>
      <c r="C1801" t="s">
        <v>1991</v>
      </c>
      <c r="D1801" s="110">
        <v>-37</v>
      </c>
      <c r="E1801" t="str">
        <f t="shared" si="73"/>
        <v>4</v>
      </c>
      <c r="F1801" t="str">
        <f t="shared" si="74"/>
        <v>1.6</v>
      </c>
    </row>
    <row r="1802" spans="1:6" x14ac:dyDescent="0.25">
      <c r="A1802" s="109">
        <v>3016</v>
      </c>
      <c r="B1802" t="s">
        <v>2112</v>
      </c>
      <c r="C1802" t="s">
        <v>1991</v>
      </c>
      <c r="D1802" s="110">
        <v>-37</v>
      </c>
      <c r="E1802" t="str">
        <f t="shared" si="73"/>
        <v>4</v>
      </c>
      <c r="F1802" t="str">
        <f t="shared" si="74"/>
        <v>1.6</v>
      </c>
    </row>
    <row r="1803" spans="1:6" x14ac:dyDescent="0.25">
      <c r="A1803" s="109">
        <v>3018</v>
      </c>
      <c r="B1803" t="s">
        <v>2450</v>
      </c>
      <c r="C1803" t="s">
        <v>1991</v>
      </c>
      <c r="D1803" s="110">
        <v>-37</v>
      </c>
      <c r="E1803" t="str">
        <f t="shared" si="73"/>
        <v>4</v>
      </c>
      <c r="F1803" t="str">
        <f t="shared" si="74"/>
        <v>1.6</v>
      </c>
    </row>
    <row r="1804" spans="1:6" x14ac:dyDescent="0.25">
      <c r="A1804" s="109">
        <v>3019</v>
      </c>
      <c r="B1804" t="s">
        <v>2451</v>
      </c>
      <c r="C1804" t="s">
        <v>1991</v>
      </c>
      <c r="D1804" s="110">
        <v>-37</v>
      </c>
      <c r="E1804" t="str">
        <f t="shared" si="73"/>
        <v>4</v>
      </c>
      <c r="F1804" t="str">
        <f t="shared" si="74"/>
        <v>1.6</v>
      </c>
    </row>
    <row r="1805" spans="1:6" x14ac:dyDescent="0.25">
      <c r="A1805" s="109">
        <v>3020</v>
      </c>
      <c r="B1805" t="s">
        <v>1754</v>
      </c>
      <c r="C1805" t="s">
        <v>1991</v>
      </c>
      <c r="D1805" s="110">
        <v>-37</v>
      </c>
      <c r="E1805" t="str">
        <f t="shared" si="73"/>
        <v>4</v>
      </c>
      <c r="F1805" t="str">
        <f t="shared" si="74"/>
        <v>1.6</v>
      </c>
    </row>
    <row r="1806" spans="1:6" x14ac:dyDescent="0.25">
      <c r="A1806" s="109">
        <v>3021</v>
      </c>
      <c r="B1806" t="s">
        <v>2452</v>
      </c>
      <c r="C1806" t="s">
        <v>1991</v>
      </c>
      <c r="D1806" s="110">
        <v>-37</v>
      </c>
      <c r="E1806" t="str">
        <f t="shared" si="73"/>
        <v>4</v>
      </c>
      <c r="F1806" t="str">
        <f t="shared" si="74"/>
        <v>1.6</v>
      </c>
    </row>
    <row r="1807" spans="1:6" x14ac:dyDescent="0.25">
      <c r="A1807" s="109">
        <v>3022</v>
      </c>
      <c r="B1807" t="s">
        <v>2453</v>
      </c>
      <c r="C1807" t="s">
        <v>1991</v>
      </c>
      <c r="D1807" s="110">
        <v>-37</v>
      </c>
      <c r="E1807" t="str">
        <f t="shared" si="73"/>
        <v>4</v>
      </c>
      <c r="F1807" t="str">
        <f t="shared" si="74"/>
        <v>1.6</v>
      </c>
    </row>
    <row r="1808" spans="1:6" x14ac:dyDescent="0.25">
      <c r="A1808" s="109">
        <v>3023</v>
      </c>
      <c r="B1808" t="s">
        <v>2454</v>
      </c>
      <c r="C1808" t="s">
        <v>1991</v>
      </c>
      <c r="D1808" s="110">
        <v>-37</v>
      </c>
      <c r="E1808" t="str">
        <f t="shared" si="73"/>
        <v>4</v>
      </c>
      <c r="F1808" t="str">
        <f t="shared" si="74"/>
        <v>1.6</v>
      </c>
    </row>
    <row r="1809" spans="1:6" x14ac:dyDescent="0.25">
      <c r="A1809" s="109">
        <v>3025</v>
      </c>
      <c r="B1809" t="s">
        <v>2455</v>
      </c>
      <c r="C1809" t="s">
        <v>1991</v>
      </c>
      <c r="D1809" s="110">
        <v>-37</v>
      </c>
      <c r="E1809" t="str">
        <f t="shared" si="73"/>
        <v>4</v>
      </c>
      <c r="F1809" t="str">
        <f t="shared" si="74"/>
        <v>1.6</v>
      </c>
    </row>
    <row r="1810" spans="1:6" x14ac:dyDescent="0.25">
      <c r="A1810" s="109">
        <v>3026</v>
      </c>
      <c r="B1810" t="s">
        <v>2456</v>
      </c>
      <c r="C1810" t="s">
        <v>1991</v>
      </c>
      <c r="D1810" s="110">
        <v>-37</v>
      </c>
      <c r="E1810" t="str">
        <f t="shared" si="73"/>
        <v>4</v>
      </c>
      <c r="F1810" t="str">
        <f t="shared" si="74"/>
        <v>1.6</v>
      </c>
    </row>
    <row r="1811" spans="1:6" x14ac:dyDescent="0.25">
      <c r="A1811" s="109">
        <v>3028</v>
      </c>
      <c r="B1811" t="s">
        <v>2457</v>
      </c>
      <c r="C1811" t="s">
        <v>1991</v>
      </c>
      <c r="D1811" s="110">
        <v>-37</v>
      </c>
      <c r="E1811" t="str">
        <f t="shared" si="73"/>
        <v>4</v>
      </c>
      <c r="F1811" t="str">
        <f t="shared" si="74"/>
        <v>1.6</v>
      </c>
    </row>
    <row r="1812" spans="1:6" x14ac:dyDescent="0.25">
      <c r="A1812" s="109">
        <v>3029</v>
      </c>
      <c r="B1812" t="s">
        <v>2458</v>
      </c>
      <c r="C1812" t="s">
        <v>1991</v>
      </c>
      <c r="D1812" s="110">
        <v>-37</v>
      </c>
      <c r="E1812" t="str">
        <f t="shared" si="73"/>
        <v>4</v>
      </c>
      <c r="F1812" t="str">
        <f t="shared" si="74"/>
        <v>1.6</v>
      </c>
    </row>
    <row r="1813" spans="1:6" x14ac:dyDescent="0.25">
      <c r="A1813" s="109">
        <v>3030</v>
      </c>
      <c r="B1813" t="s">
        <v>2459</v>
      </c>
      <c r="C1813" t="s">
        <v>1991</v>
      </c>
      <c r="D1813" s="110">
        <v>-37</v>
      </c>
      <c r="E1813" t="str">
        <f t="shared" si="73"/>
        <v>4</v>
      </c>
      <c r="F1813" t="str">
        <f t="shared" si="74"/>
        <v>1.6</v>
      </c>
    </row>
    <row r="1814" spans="1:6" x14ac:dyDescent="0.25">
      <c r="A1814" s="109">
        <v>3031</v>
      </c>
      <c r="B1814" t="s">
        <v>1590</v>
      </c>
      <c r="C1814" t="s">
        <v>1991</v>
      </c>
      <c r="D1814" s="110">
        <v>-37</v>
      </c>
      <c r="E1814" t="str">
        <f t="shared" si="73"/>
        <v>4</v>
      </c>
      <c r="F1814" t="str">
        <f t="shared" si="74"/>
        <v>1.6</v>
      </c>
    </row>
    <row r="1815" spans="1:6" x14ac:dyDescent="0.25">
      <c r="A1815" s="109">
        <v>3032</v>
      </c>
      <c r="B1815" t="s">
        <v>2460</v>
      </c>
      <c r="C1815" t="s">
        <v>1991</v>
      </c>
      <c r="D1815" s="110">
        <v>-37</v>
      </c>
      <c r="E1815" t="str">
        <f t="shared" si="73"/>
        <v>4</v>
      </c>
      <c r="F1815" t="str">
        <f t="shared" si="74"/>
        <v>1.6</v>
      </c>
    </row>
    <row r="1816" spans="1:6" x14ac:dyDescent="0.25">
      <c r="A1816" s="109">
        <v>3033</v>
      </c>
      <c r="B1816" t="s">
        <v>2461</v>
      </c>
      <c r="C1816" t="s">
        <v>1991</v>
      </c>
      <c r="D1816" s="110">
        <v>-37</v>
      </c>
      <c r="E1816" t="str">
        <f t="shared" si="73"/>
        <v>4</v>
      </c>
      <c r="F1816" t="str">
        <f t="shared" si="74"/>
        <v>1.6</v>
      </c>
    </row>
    <row r="1817" spans="1:6" x14ac:dyDescent="0.25">
      <c r="A1817" s="109">
        <v>3034</v>
      </c>
      <c r="B1817" t="s">
        <v>2462</v>
      </c>
      <c r="C1817" t="s">
        <v>1991</v>
      </c>
      <c r="D1817" s="110">
        <v>-37</v>
      </c>
      <c r="E1817" t="str">
        <f t="shared" si="73"/>
        <v>4</v>
      </c>
      <c r="F1817" t="str">
        <f t="shared" si="74"/>
        <v>1.6</v>
      </c>
    </row>
    <row r="1818" spans="1:6" x14ac:dyDescent="0.25">
      <c r="A1818" s="109">
        <v>3036</v>
      </c>
      <c r="B1818" t="s">
        <v>2463</v>
      </c>
      <c r="C1818" t="s">
        <v>1991</v>
      </c>
      <c r="D1818" s="110">
        <v>-37</v>
      </c>
      <c r="E1818" t="str">
        <f t="shared" si="73"/>
        <v>4</v>
      </c>
      <c r="F1818" t="str">
        <f t="shared" si="74"/>
        <v>1.6</v>
      </c>
    </row>
    <row r="1819" spans="1:6" x14ac:dyDescent="0.25">
      <c r="A1819" s="109">
        <v>3038</v>
      </c>
      <c r="B1819" t="s">
        <v>2464</v>
      </c>
      <c r="C1819" t="s">
        <v>1991</v>
      </c>
      <c r="D1819" s="110">
        <v>-37</v>
      </c>
      <c r="E1819" t="str">
        <f t="shared" si="73"/>
        <v>4</v>
      </c>
      <c r="F1819" t="str">
        <f t="shared" si="74"/>
        <v>1.6</v>
      </c>
    </row>
    <row r="1820" spans="1:6" x14ac:dyDescent="0.25">
      <c r="A1820" s="109">
        <v>3039</v>
      </c>
      <c r="B1820" t="s">
        <v>2465</v>
      </c>
      <c r="C1820" t="s">
        <v>1991</v>
      </c>
      <c r="D1820" s="110">
        <v>-37</v>
      </c>
      <c r="E1820" t="str">
        <f t="shared" si="73"/>
        <v>4</v>
      </c>
      <c r="F1820" t="str">
        <f t="shared" si="74"/>
        <v>1.6</v>
      </c>
    </row>
    <row r="1821" spans="1:6" x14ac:dyDescent="0.25">
      <c r="A1821" s="109">
        <v>3040</v>
      </c>
      <c r="B1821" t="s">
        <v>2466</v>
      </c>
      <c r="C1821" t="s">
        <v>1991</v>
      </c>
      <c r="D1821" s="110">
        <v>-37</v>
      </c>
      <c r="E1821" t="str">
        <f t="shared" si="73"/>
        <v>4</v>
      </c>
      <c r="F1821" t="str">
        <f t="shared" si="74"/>
        <v>1.6</v>
      </c>
    </row>
    <row r="1822" spans="1:6" x14ac:dyDescent="0.25">
      <c r="A1822" s="109">
        <v>3041</v>
      </c>
      <c r="B1822" t="s">
        <v>2467</v>
      </c>
      <c r="C1822" t="s">
        <v>1991</v>
      </c>
      <c r="D1822" s="110">
        <v>-37</v>
      </c>
      <c r="E1822" t="str">
        <f t="shared" si="73"/>
        <v>4</v>
      </c>
      <c r="F1822" t="str">
        <f t="shared" si="74"/>
        <v>1.6</v>
      </c>
    </row>
    <row r="1823" spans="1:6" x14ac:dyDescent="0.25">
      <c r="A1823" s="109">
        <v>3042</v>
      </c>
      <c r="B1823" t="s">
        <v>2468</v>
      </c>
      <c r="C1823" t="s">
        <v>1991</v>
      </c>
      <c r="D1823" s="110">
        <v>-37</v>
      </c>
      <c r="E1823" t="str">
        <f t="shared" si="73"/>
        <v>4</v>
      </c>
      <c r="F1823" t="str">
        <f t="shared" si="74"/>
        <v>1.6</v>
      </c>
    </row>
    <row r="1824" spans="1:6" x14ac:dyDescent="0.25">
      <c r="A1824" s="109">
        <v>3043</v>
      </c>
      <c r="B1824" t="s">
        <v>2469</v>
      </c>
      <c r="C1824" t="s">
        <v>1991</v>
      </c>
      <c r="D1824" s="110">
        <v>-37</v>
      </c>
      <c r="E1824" t="str">
        <f t="shared" si="73"/>
        <v>4</v>
      </c>
      <c r="F1824" t="str">
        <f t="shared" si="74"/>
        <v>1.6</v>
      </c>
    </row>
    <row r="1825" spans="1:6" x14ac:dyDescent="0.25">
      <c r="A1825" s="109">
        <v>3044</v>
      </c>
      <c r="B1825" t="s">
        <v>2470</v>
      </c>
      <c r="C1825" t="s">
        <v>1991</v>
      </c>
      <c r="D1825" s="110">
        <v>-37</v>
      </c>
      <c r="E1825" t="str">
        <f t="shared" si="73"/>
        <v>4</v>
      </c>
      <c r="F1825" t="str">
        <f t="shared" si="74"/>
        <v>1.6</v>
      </c>
    </row>
    <row r="1826" spans="1:6" x14ac:dyDescent="0.25">
      <c r="A1826" s="109">
        <v>3045</v>
      </c>
      <c r="B1826" t="s">
        <v>2471</v>
      </c>
      <c r="C1826" t="s">
        <v>1991</v>
      </c>
      <c r="D1826" s="110">
        <v>-37</v>
      </c>
      <c r="E1826" t="str">
        <f>IF(D1826&lt;-34,"4",IF(D1826&lt;-26,"3",IF(D1826&lt;-18,"2",IF(D1826&lt;-8,"1","lits"))))</f>
        <v>4</v>
      </c>
      <c r="F1826" t="str">
        <f t="shared" si="74"/>
        <v>1.6</v>
      </c>
    </row>
    <row r="1827" spans="1:6" x14ac:dyDescent="0.25">
      <c r="A1827" s="109">
        <v>3046</v>
      </c>
      <c r="B1827" t="s">
        <v>2472</v>
      </c>
      <c r="C1827" t="s">
        <v>1991</v>
      </c>
      <c r="D1827" s="110">
        <v>-37</v>
      </c>
      <c r="E1827" t="str">
        <f t="shared" ref="E1827:E1890" si="75">IF(D1827&lt;-34,"4",IF(D1827&lt;-26,"3",IF(D1827&lt;-18,"2",IF(D1827&lt;-8,"1","lits"))))</f>
        <v>4</v>
      </c>
      <c r="F1827" t="str">
        <f t="shared" si="74"/>
        <v>1.6</v>
      </c>
    </row>
    <row r="1828" spans="1:6" x14ac:dyDescent="0.25">
      <c r="A1828" s="109">
        <v>3047</v>
      </c>
      <c r="B1828" t="s">
        <v>2473</v>
      </c>
      <c r="C1828" t="s">
        <v>1991</v>
      </c>
      <c r="D1828" s="110">
        <v>-37</v>
      </c>
      <c r="E1828" t="str">
        <f t="shared" si="75"/>
        <v>4</v>
      </c>
      <c r="F1828" t="str">
        <f t="shared" si="74"/>
        <v>1.6</v>
      </c>
    </row>
    <row r="1829" spans="1:6" x14ac:dyDescent="0.25">
      <c r="A1829" s="109">
        <v>3048</v>
      </c>
      <c r="B1829" t="s">
        <v>2474</v>
      </c>
      <c r="C1829" t="s">
        <v>1991</v>
      </c>
      <c r="D1829" s="110">
        <v>-37</v>
      </c>
      <c r="E1829" t="str">
        <f t="shared" si="75"/>
        <v>4</v>
      </c>
      <c r="F1829" t="str">
        <f t="shared" si="74"/>
        <v>1.6</v>
      </c>
    </row>
    <row r="1830" spans="1:6" x14ac:dyDescent="0.25">
      <c r="A1830" s="109">
        <v>3049</v>
      </c>
      <c r="B1830" t="s">
        <v>2475</v>
      </c>
      <c r="C1830" t="s">
        <v>1991</v>
      </c>
      <c r="D1830" s="110">
        <v>-37</v>
      </c>
      <c r="E1830" t="str">
        <f t="shared" si="75"/>
        <v>4</v>
      </c>
      <c r="F1830" t="str">
        <f t="shared" si="74"/>
        <v>1.6</v>
      </c>
    </row>
    <row r="1831" spans="1:6" x14ac:dyDescent="0.25">
      <c r="A1831" s="109">
        <v>3050</v>
      </c>
      <c r="B1831" t="s">
        <v>2476</v>
      </c>
      <c r="C1831" t="s">
        <v>1991</v>
      </c>
      <c r="D1831" s="110">
        <v>-37</v>
      </c>
      <c r="E1831" t="str">
        <f t="shared" si="75"/>
        <v>4</v>
      </c>
      <c r="F1831" t="str">
        <f t="shared" si="74"/>
        <v>1.6</v>
      </c>
    </row>
    <row r="1832" spans="1:6" x14ac:dyDescent="0.25">
      <c r="A1832" s="109">
        <v>3051</v>
      </c>
      <c r="B1832" t="s">
        <v>2477</v>
      </c>
      <c r="C1832" t="s">
        <v>1991</v>
      </c>
      <c r="D1832" s="110">
        <v>-37</v>
      </c>
      <c r="E1832" t="str">
        <f t="shared" si="75"/>
        <v>4</v>
      </c>
      <c r="F1832" t="str">
        <f t="shared" si="74"/>
        <v>1.6</v>
      </c>
    </row>
    <row r="1833" spans="1:6" x14ac:dyDescent="0.25">
      <c r="A1833" s="109">
        <v>3052</v>
      </c>
      <c r="B1833" t="s">
        <v>2478</v>
      </c>
      <c r="C1833" t="s">
        <v>1991</v>
      </c>
      <c r="D1833" s="110">
        <v>-37</v>
      </c>
      <c r="E1833" t="str">
        <f t="shared" si="75"/>
        <v>4</v>
      </c>
      <c r="F1833" t="str">
        <f t="shared" si="74"/>
        <v>1.6</v>
      </c>
    </row>
    <row r="1834" spans="1:6" x14ac:dyDescent="0.25">
      <c r="A1834" s="109">
        <v>3053</v>
      </c>
      <c r="B1834" t="s">
        <v>1738</v>
      </c>
      <c r="C1834" t="s">
        <v>1991</v>
      </c>
      <c r="D1834" s="110">
        <v>-37</v>
      </c>
      <c r="E1834" t="str">
        <f t="shared" si="75"/>
        <v>4</v>
      </c>
      <c r="F1834" t="str">
        <f t="shared" si="74"/>
        <v>1.6</v>
      </c>
    </row>
    <row r="1835" spans="1:6" x14ac:dyDescent="0.25">
      <c r="A1835" s="109">
        <v>3054</v>
      </c>
      <c r="B1835" t="s">
        <v>2479</v>
      </c>
      <c r="C1835" t="s">
        <v>1991</v>
      </c>
      <c r="D1835" s="110">
        <v>-37</v>
      </c>
      <c r="E1835" t="str">
        <f t="shared" si="75"/>
        <v>4</v>
      </c>
      <c r="F1835" t="str">
        <f t="shared" si="74"/>
        <v>1.6</v>
      </c>
    </row>
    <row r="1836" spans="1:6" x14ac:dyDescent="0.25">
      <c r="A1836" s="109">
        <v>3055</v>
      </c>
      <c r="B1836" t="s">
        <v>2480</v>
      </c>
      <c r="C1836" t="s">
        <v>1991</v>
      </c>
      <c r="D1836" s="110">
        <v>-37</v>
      </c>
      <c r="E1836" t="str">
        <f t="shared" si="75"/>
        <v>4</v>
      </c>
      <c r="F1836" t="str">
        <f t="shared" si="74"/>
        <v>1.6</v>
      </c>
    </row>
    <row r="1837" spans="1:6" x14ac:dyDescent="0.25">
      <c r="A1837" s="109">
        <v>3056</v>
      </c>
      <c r="B1837" t="s">
        <v>1865</v>
      </c>
      <c r="C1837" t="s">
        <v>1991</v>
      </c>
      <c r="D1837" s="110">
        <v>-37</v>
      </c>
      <c r="E1837" t="str">
        <f t="shared" si="75"/>
        <v>4</v>
      </c>
      <c r="F1837" t="str">
        <f t="shared" si="74"/>
        <v>1.6</v>
      </c>
    </row>
    <row r="1838" spans="1:6" x14ac:dyDescent="0.25">
      <c r="A1838" s="109">
        <v>3057</v>
      </c>
      <c r="B1838" t="s">
        <v>2481</v>
      </c>
      <c r="C1838" t="s">
        <v>1991</v>
      </c>
      <c r="D1838" s="110">
        <v>-37</v>
      </c>
      <c r="E1838" t="str">
        <f t="shared" si="75"/>
        <v>4</v>
      </c>
      <c r="F1838" t="str">
        <f t="shared" si="74"/>
        <v>1.6</v>
      </c>
    </row>
    <row r="1839" spans="1:6" x14ac:dyDescent="0.25">
      <c r="A1839" s="109">
        <v>3058</v>
      </c>
      <c r="B1839" t="s">
        <v>2482</v>
      </c>
      <c r="C1839" t="s">
        <v>1991</v>
      </c>
      <c r="D1839" s="110">
        <v>-37</v>
      </c>
      <c r="E1839" t="str">
        <f t="shared" si="75"/>
        <v>4</v>
      </c>
      <c r="F1839" t="str">
        <f t="shared" si="74"/>
        <v>1.6</v>
      </c>
    </row>
    <row r="1840" spans="1:6" x14ac:dyDescent="0.25">
      <c r="A1840" s="109">
        <v>3059</v>
      </c>
      <c r="B1840" t="s">
        <v>2483</v>
      </c>
      <c r="C1840" t="s">
        <v>1991</v>
      </c>
      <c r="D1840" s="110">
        <v>-37</v>
      </c>
      <c r="E1840" t="str">
        <f t="shared" si="75"/>
        <v>4</v>
      </c>
      <c r="F1840" t="str">
        <f t="shared" si="74"/>
        <v>1.6</v>
      </c>
    </row>
    <row r="1841" spans="1:6" x14ac:dyDescent="0.25">
      <c r="A1841" s="109">
        <v>3060</v>
      </c>
      <c r="B1841" t="s">
        <v>2484</v>
      </c>
      <c r="C1841" t="s">
        <v>1991</v>
      </c>
      <c r="D1841" s="110">
        <v>-37</v>
      </c>
      <c r="E1841" t="str">
        <f t="shared" si="75"/>
        <v>4</v>
      </c>
      <c r="F1841" t="str">
        <f t="shared" si="74"/>
        <v>1.6</v>
      </c>
    </row>
    <row r="1842" spans="1:6" x14ac:dyDescent="0.25">
      <c r="A1842" s="109">
        <v>3061</v>
      </c>
      <c r="B1842" t="s">
        <v>2485</v>
      </c>
      <c r="C1842" t="s">
        <v>1991</v>
      </c>
      <c r="D1842" s="110">
        <v>-37</v>
      </c>
      <c r="E1842" t="str">
        <f t="shared" si="75"/>
        <v>4</v>
      </c>
      <c r="F1842" t="str">
        <f t="shared" si="74"/>
        <v>1.6</v>
      </c>
    </row>
    <row r="1843" spans="1:6" x14ac:dyDescent="0.25">
      <c r="A1843" s="109">
        <v>3062</v>
      </c>
      <c r="B1843" t="s">
        <v>2486</v>
      </c>
      <c r="C1843" t="s">
        <v>1991</v>
      </c>
      <c r="D1843" s="110">
        <v>-37</v>
      </c>
      <c r="E1843" t="str">
        <f t="shared" si="75"/>
        <v>4</v>
      </c>
      <c r="F1843" t="str">
        <f t="shared" si="74"/>
        <v>1.6</v>
      </c>
    </row>
    <row r="1844" spans="1:6" x14ac:dyDescent="0.25">
      <c r="A1844" s="109">
        <v>3063</v>
      </c>
      <c r="B1844" t="s">
        <v>2487</v>
      </c>
      <c r="C1844" t="s">
        <v>1991</v>
      </c>
      <c r="D1844" s="110">
        <v>-37</v>
      </c>
      <c r="E1844" t="str">
        <f t="shared" si="75"/>
        <v>4</v>
      </c>
      <c r="F1844" t="str">
        <f t="shared" si="74"/>
        <v>1.6</v>
      </c>
    </row>
    <row r="1845" spans="1:6" x14ac:dyDescent="0.25">
      <c r="A1845" s="109">
        <v>3064</v>
      </c>
      <c r="B1845" t="s">
        <v>2488</v>
      </c>
      <c r="C1845" t="s">
        <v>1991</v>
      </c>
      <c r="D1845" s="110">
        <v>-37</v>
      </c>
      <c r="E1845" t="str">
        <f t="shared" si="75"/>
        <v>4</v>
      </c>
      <c r="F1845" t="str">
        <f t="shared" si="74"/>
        <v>1.6</v>
      </c>
    </row>
    <row r="1846" spans="1:6" x14ac:dyDescent="0.25">
      <c r="A1846" s="109">
        <v>3065</v>
      </c>
      <c r="B1846" t="s">
        <v>2489</v>
      </c>
      <c r="C1846" t="s">
        <v>1991</v>
      </c>
      <c r="D1846" s="110">
        <v>-37</v>
      </c>
      <c r="E1846" t="str">
        <f t="shared" si="75"/>
        <v>4</v>
      </c>
      <c r="F1846" t="str">
        <f t="shared" si="74"/>
        <v>1.6</v>
      </c>
    </row>
    <row r="1847" spans="1:6" x14ac:dyDescent="0.25">
      <c r="A1847" s="109">
        <v>3066</v>
      </c>
      <c r="B1847" t="s">
        <v>2490</v>
      </c>
      <c r="C1847" t="s">
        <v>1991</v>
      </c>
      <c r="D1847" s="110">
        <v>-37</v>
      </c>
      <c r="E1847" t="str">
        <f t="shared" si="75"/>
        <v>4</v>
      </c>
      <c r="F1847" t="str">
        <f t="shared" si="74"/>
        <v>1.6</v>
      </c>
    </row>
    <row r="1848" spans="1:6" x14ac:dyDescent="0.25">
      <c r="A1848" s="109">
        <v>3067</v>
      </c>
      <c r="B1848" t="s">
        <v>2491</v>
      </c>
      <c r="C1848" t="s">
        <v>1991</v>
      </c>
      <c r="D1848" s="110">
        <v>-37</v>
      </c>
      <c r="E1848" t="str">
        <f t="shared" si="75"/>
        <v>4</v>
      </c>
      <c r="F1848" t="str">
        <f t="shared" si="74"/>
        <v>1.6</v>
      </c>
    </row>
    <row r="1849" spans="1:6" x14ac:dyDescent="0.25">
      <c r="A1849" s="109">
        <v>3068</v>
      </c>
      <c r="B1849" t="s">
        <v>2492</v>
      </c>
      <c r="C1849" t="s">
        <v>1991</v>
      </c>
      <c r="D1849" s="110">
        <v>-37</v>
      </c>
      <c r="E1849" t="str">
        <f t="shared" si="75"/>
        <v>4</v>
      </c>
      <c r="F1849" t="str">
        <f t="shared" si="74"/>
        <v>1.6</v>
      </c>
    </row>
    <row r="1850" spans="1:6" x14ac:dyDescent="0.25">
      <c r="A1850" s="109">
        <v>3070</v>
      </c>
      <c r="B1850" t="s">
        <v>2493</v>
      </c>
      <c r="C1850" t="s">
        <v>1991</v>
      </c>
      <c r="D1850" s="110">
        <v>-37</v>
      </c>
      <c r="E1850" t="str">
        <f t="shared" si="75"/>
        <v>4</v>
      </c>
      <c r="F1850" t="str">
        <f t="shared" si="74"/>
        <v>1.6</v>
      </c>
    </row>
    <row r="1851" spans="1:6" x14ac:dyDescent="0.25">
      <c r="A1851" s="109">
        <v>3071</v>
      </c>
      <c r="B1851" t="s">
        <v>2494</v>
      </c>
      <c r="C1851" t="s">
        <v>1991</v>
      </c>
      <c r="D1851" s="110">
        <v>-37</v>
      </c>
      <c r="E1851" t="str">
        <f t="shared" si="75"/>
        <v>4</v>
      </c>
      <c r="F1851" t="str">
        <f t="shared" si="74"/>
        <v>1.6</v>
      </c>
    </row>
    <row r="1852" spans="1:6" x14ac:dyDescent="0.25">
      <c r="A1852" s="109">
        <v>3072</v>
      </c>
      <c r="B1852" t="s">
        <v>2495</v>
      </c>
      <c r="C1852" t="s">
        <v>1991</v>
      </c>
      <c r="D1852" s="110">
        <v>-37</v>
      </c>
      <c r="E1852" t="str">
        <f t="shared" si="75"/>
        <v>4</v>
      </c>
      <c r="F1852" t="str">
        <f t="shared" si="74"/>
        <v>1.6</v>
      </c>
    </row>
    <row r="1853" spans="1:6" x14ac:dyDescent="0.25">
      <c r="A1853" s="109">
        <v>3073</v>
      </c>
      <c r="B1853" t="s">
        <v>2496</v>
      </c>
      <c r="C1853" t="s">
        <v>1991</v>
      </c>
      <c r="D1853" s="110">
        <v>-37</v>
      </c>
      <c r="E1853" t="str">
        <f t="shared" si="75"/>
        <v>4</v>
      </c>
      <c r="F1853" t="str">
        <f t="shared" si="74"/>
        <v>1.6</v>
      </c>
    </row>
    <row r="1854" spans="1:6" x14ac:dyDescent="0.25">
      <c r="A1854" s="109">
        <v>3074</v>
      </c>
      <c r="B1854" t="s">
        <v>2497</v>
      </c>
      <c r="C1854" t="s">
        <v>1991</v>
      </c>
      <c r="D1854" s="110">
        <v>-37</v>
      </c>
      <c r="E1854" t="str">
        <f t="shared" si="75"/>
        <v>4</v>
      </c>
      <c r="F1854" t="str">
        <f t="shared" si="74"/>
        <v>1.6</v>
      </c>
    </row>
    <row r="1855" spans="1:6" x14ac:dyDescent="0.25">
      <c r="A1855" s="109">
        <v>3075</v>
      </c>
      <c r="B1855" t="s">
        <v>2498</v>
      </c>
      <c r="C1855" t="s">
        <v>1991</v>
      </c>
      <c r="D1855" s="110">
        <v>-37</v>
      </c>
      <c r="E1855" t="str">
        <f t="shared" si="75"/>
        <v>4</v>
      </c>
      <c r="F1855" t="str">
        <f t="shared" si="74"/>
        <v>1.6</v>
      </c>
    </row>
    <row r="1856" spans="1:6" x14ac:dyDescent="0.25">
      <c r="A1856" s="109">
        <v>3076</v>
      </c>
      <c r="B1856" t="s">
        <v>2499</v>
      </c>
      <c r="C1856" t="s">
        <v>1991</v>
      </c>
      <c r="D1856" s="110">
        <v>-37</v>
      </c>
      <c r="E1856" t="str">
        <f t="shared" si="75"/>
        <v>4</v>
      </c>
      <c r="F1856" t="str">
        <f t="shared" si="74"/>
        <v>1.6</v>
      </c>
    </row>
    <row r="1857" spans="1:6" x14ac:dyDescent="0.25">
      <c r="A1857" s="109">
        <v>3078</v>
      </c>
      <c r="B1857" t="s">
        <v>983</v>
      </c>
      <c r="C1857" t="s">
        <v>1991</v>
      </c>
      <c r="D1857" s="110">
        <v>-37</v>
      </c>
      <c r="E1857" t="str">
        <f t="shared" si="75"/>
        <v>4</v>
      </c>
      <c r="F1857" t="str">
        <f t="shared" si="74"/>
        <v>1.6</v>
      </c>
    </row>
    <row r="1858" spans="1:6" x14ac:dyDescent="0.25">
      <c r="A1858" s="109">
        <v>3079</v>
      </c>
      <c r="B1858" t="s">
        <v>2500</v>
      </c>
      <c r="C1858" t="s">
        <v>1991</v>
      </c>
      <c r="D1858" s="110">
        <v>-37</v>
      </c>
      <c r="E1858" t="str">
        <f t="shared" si="75"/>
        <v>4</v>
      </c>
      <c r="F1858" t="str">
        <f t="shared" si="74"/>
        <v>1.6</v>
      </c>
    </row>
    <row r="1859" spans="1:6" x14ac:dyDescent="0.25">
      <c r="A1859" s="109">
        <v>3081</v>
      </c>
      <c r="B1859" t="s">
        <v>2501</v>
      </c>
      <c r="C1859" t="s">
        <v>1991</v>
      </c>
      <c r="D1859" s="110">
        <v>-37</v>
      </c>
      <c r="E1859" t="str">
        <f t="shared" si="75"/>
        <v>4</v>
      </c>
      <c r="F1859" t="str">
        <f t="shared" ref="F1859:F1922" si="76">IF(D1859&lt;-34,"1.6",IF(D1859&lt;-26,"1.4",IF(D1859&lt;-18,"1.2",IF(D1859&lt;-8,"1","lits"))))</f>
        <v>1.6</v>
      </c>
    </row>
    <row r="1860" spans="1:6" x14ac:dyDescent="0.25">
      <c r="A1860" s="109">
        <v>3082</v>
      </c>
      <c r="B1860" t="s">
        <v>2502</v>
      </c>
      <c r="C1860" t="s">
        <v>1991</v>
      </c>
      <c r="D1860" s="110">
        <v>-37</v>
      </c>
      <c r="E1860" t="str">
        <f t="shared" si="75"/>
        <v>4</v>
      </c>
      <c r="F1860" t="str">
        <f t="shared" si="76"/>
        <v>1.6</v>
      </c>
    </row>
    <row r="1861" spans="1:6" x14ac:dyDescent="0.25">
      <c r="A1861" s="109">
        <v>3083</v>
      </c>
      <c r="B1861" t="s">
        <v>2503</v>
      </c>
      <c r="C1861" t="s">
        <v>1991</v>
      </c>
      <c r="D1861" s="110">
        <v>-37</v>
      </c>
      <c r="E1861" t="str">
        <f t="shared" si="75"/>
        <v>4</v>
      </c>
      <c r="F1861" t="str">
        <f t="shared" si="76"/>
        <v>1.6</v>
      </c>
    </row>
    <row r="1862" spans="1:6" x14ac:dyDescent="0.25">
      <c r="A1862" s="109">
        <v>3084</v>
      </c>
      <c r="B1862" t="s">
        <v>2504</v>
      </c>
      <c r="C1862" t="s">
        <v>1991</v>
      </c>
      <c r="D1862" s="110">
        <v>-37</v>
      </c>
      <c r="E1862" t="str">
        <f t="shared" si="75"/>
        <v>4</v>
      </c>
      <c r="F1862" t="str">
        <f t="shared" si="76"/>
        <v>1.6</v>
      </c>
    </row>
    <row r="1863" spans="1:6" x14ac:dyDescent="0.25">
      <c r="A1863" s="109">
        <v>3085</v>
      </c>
      <c r="B1863" t="s">
        <v>2505</v>
      </c>
      <c r="C1863" t="s">
        <v>1991</v>
      </c>
      <c r="D1863" s="110">
        <v>-37</v>
      </c>
      <c r="E1863" t="str">
        <f t="shared" si="75"/>
        <v>4</v>
      </c>
      <c r="F1863" t="str">
        <f t="shared" si="76"/>
        <v>1.6</v>
      </c>
    </row>
    <row r="1864" spans="1:6" x14ac:dyDescent="0.25">
      <c r="A1864" s="109">
        <v>3087</v>
      </c>
      <c r="B1864" t="s">
        <v>2506</v>
      </c>
      <c r="C1864" t="s">
        <v>1991</v>
      </c>
      <c r="D1864" s="110">
        <v>-37</v>
      </c>
      <c r="E1864" t="str">
        <f t="shared" si="75"/>
        <v>4</v>
      </c>
      <c r="F1864" t="str">
        <f t="shared" si="76"/>
        <v>1.6</v>
      </c>
    </row>
    <row r="1865" spans="1:6" x14ac:dyDescent="0.25">
      <c r="A1865" s="109">
        <v>3088</v>
      </c>
      <c r="B1865" t="s">
        <v>2507</v>
      </c>
      <c r="C1865" t="s">
        <v>1991</v>
      </c>
      <c r="D1865" s="110">
        <v>-37</v>
      </c>
      <c r="E1865" t="str">
        <f t="shared" si="75"/>
        <v>4</v>
      </c>
      <c r="F1865" t="str">
        <f t="shared" si="76"/>
        <v>1.6</v>
      </c>
    </row>
    <row r="1866" spans="1:6" x14ac:dyDescent="0.25">
      <c r="A1866" s="109">
        <v>3089</v>
      </c>
      <c r="B1866" t="s">
        <v>2508</v>
      </c>
      <c r="C1866" t="s">
        <v>1991</v>
      </c>
      <c r="D1866" s="110">
        <v>-37</v>
      </c>
      <c r="E1866" t="str">
        <f t="shared" si="75"/>
        <v>4</v>
      </c>
      <c r="F1866" t="str">
        <f t="shared" si="76"/>
        <v>1.6</v>
      </c>
    </row>
    <row r="1867" spans="1:6" x14ac:dyDescent="0.25">
      <c r="A1867" s="109">
        <v>3090</v>
      </c>
      <c r="B1867" t="s">
        <v>2509</v>
      </c>
      <c r="C1867" t="s">
        <v>1991</v>
      </c>
      <c r="D1867" s="110">
        <v>-37</v>
      </c>
      <c r="E1867" t="str">
        <f t="shared" si="75"/>
        <v>4</v>
      </c>
      <c r="F1867" t="str">
        <f t="shared" si="76"/>
        <v>1.6</v>
      </c>
    </row>
    <row r="1868" spans="1:6" x14ac:dyDescent="0.25">
      <c r="A1868" s="109">
        <v>3091</v>
      </c>
      <c r="B1868" t="s">
        <v>2510</v>
      </c>
      <c r="C1868" t="s">
        <v>1991</v>
      </c>
      <c r="D1868" s="110">
        <v>-37</v>
      </c>
      <c r="E1868" t="str">
        <f t="shared" si="75"/>
        <v>4</v>
      </c>
      <c r="F1868" t="str">
        <f t="shared" si="76"/>
        <v>1.6</v>
      </c>
    </row>
    <row r="1869" spans="1:6" x14ac:dyDescent="0.25">
      <c r="A1869" s="109">
        <v>3093</v>
      </c>
      <c r="B1869" t="s">
        <v>2511</v>
      </c>
      <c r="C1869" t="s">
        <v>1991</v>
      </c>
      <c r="D1869" s="111">
        <v>-37</v>
      </c>
      <c r="E1869" t="str">
        <f t="shared" si="75"/>
        <v>4</v>
      </c>
      <c r="F1869" t="str">
        <f t="shared" si="76"/>
        <v>1.6</v>
      </c>
    </row>
    <row r="1870" spans="1:6" x14ac:dyDescent="0.25">
      <c r="A1870" s="109">
        <v>3096</v>
      </c>
      <c r="B1870" t="s">
        <v>2512</v>
      </c>
      <c r="C1870" t="s">
        <v>1991</v>
      </c>
      <c r="D1870" s="110">
        <v>-37</v>
      </c>
      <c r="E1870" t="str">
        <f t="shared" si="75"/>
        <v>4</v>
      </c>
      <c r="F1870" t="str">
        <f t="shared" si="76"/>
        <v>1.6</v>
      </c>
    </row>
    <row r="1871" spans="1:6" x14ac:dyDescent="0.25">
      <c r="A1871" s="109">
        <v>3097</v>
      </c>
      <c r="B1871" t="s">
        <v>2513</v>
      </c>
      <c r="C1871" t="s">
        <v>1991</v>
      </c>
      <c r="D1871" s="110">
        <v>-37</v>
      </c>
      <c r="E1871" t="str">
        <f t="shared" si="75"/>
        <v>4</v>
      </c>
      <c r="F1871" t="str">
        <f t="shared" si="76"/>
        <v>1.6</v>
      </c>
    </row>
    <row r="1872" spans="1:6" x14ac:dyDescent="0.25">
      <c r="A1872" s="109">
        <v>3099</v>
      </c>
      <c r="B1872" t="s">
        <v>2514</v>
      </c>
      <c r="C1872" t="s">
        <v>1991</v>
      </c>
      <c r="D1872" s="110">
        <v>-37</v>
      </c>
      <c r="E1872" t="str">
        <f t="shared" si="75"/>
        <v>4</v>
      </c>
      <c r="F1872" t="str">
        <f t="shared" si="76"/>
        <v>1.6</v>
      </c>
    </row>
    <row r="1873" spans="1:6" x14ac:dyDescent="0.25">
      <c r="A1873" s="109">
        <v>3101</v>
      </c>
      <c r="B1873" t="s">
        <v>2515</v>
      </c>
      <c r="C1873" t="s">
        <v>1991</v>
      </c>
      <c r="D1873" s="110">
        <v>-37</v>
      </c>
      <c r="E1873" t="str">
        <f t="shared" si="75"/>
        <v>4</v>
      </c>
      <c r="F1873" t="str">
        <f t="shared" si="76"/>
        <v>1.6</v>
      </c>
    </row>
    <row r="1874" spans="1:6" x14ac:dyDescent="0.25">
      <c r="A1874" s="109">
        <v>3102</v>
      </c>
      <c r="B1874" t="s">
        <v>2516</v>
      </c>
      <c r="C1874" t="s">
        <v>1991</v>
      </c>
      <c r="D1874" s="110">
        <v>-37</v>
      </c>
      <c r="E1874" t="str">
        <f t="shared" si="75"/>
        <v>4</v>
      </c>
      <c r="F1874" t="str">
        <f t="shared" si="76"/>
        <v>1.6</v>
      </c>
    </row>
    <row r="1875" spans="1:6" x14ac:dyDescent="0.25">
      <c r="A1875" s="109">
        <v>3103</v>
      </c>
      <c r="B1875" t="s">
        <v>2517</v>
      </c>
      <c r="C1875" t="s">
        <v>1991</v>
      </c>
      <c r="D1875" s="110">
        <v>-37</v>
      </c>
      <c r="E1875" t="str">
        <f t="shared" si="75"/>
        <v>4</v>
      </c>
      <c r="F1875" t="str">
        <f t="shared" si="76"/>
        <v>1.6</v>
      </c>
    </row>
    <row r="1876" spans="1:6" x14ac:dyDescent="0.25">
      <c r="A1876" s="109">
        <v>3104</v>
      </c>
      <c r="B1876" t="s">
        <v>2518</v>
      </c>
      <c r="C1876" t="s">
        <v>1991</v>
      </c>
      <c r="D1876" s="110">
        <v>-37</v>
      </c>
      <c r="E1876" t="str">
        <f t="shared" si="75"/>
        <v>4</v>
      </c>
      <c r="F1876" t="str">
        <f t="shared" si="76"/>
        <v>1.6</v>
      </c>
    </row>
    <row r="1877" spans="1:6" x14ac:dyDescent="0.25">
      <c r="A1877" s="109">
        <v>3105</v>
      </c>
      <c r="B1877" t="s">
        <v>2519</v>
      </c>
      <c r="C1877" t="s">
        <v>1991</v>
      </c>
      <c r="D1877" s="110">
        <v>-37</v>
      </c>
      <c r="E1877" t="str">
        <f t="shared" si="75"/>
        <v>4</v>
      </c>
      <c r="F1877" t="str">
        <f t="shared" si="76"/>
        <v>1.6</v>
      </c>
    </row>
    <row r="1878" spans="1:6" x14ac:dyDescent="0.25">
      <c r="A1878" s="109">
        <v>3106</v>
      </c>
      <c r="B1878" t="s">
        <v>2520</v>
      </c>
      <c r="C1878" t="s">
        <v>1991</v>
      </c>
      <c r="D1878" s="110">
        <v>-37</v>
      </c>
      <c r="E1878" t="str">
        <f t="shared" si="75"/>
        <v>4</v>
      </c>
      <c r="F1878" t="str">
        <f t="shared" si="76"/>
        <v>1.6</v>
      </c>
    </row>
    <row r="1879" spans="1:6" x14ac:dyDescent="0.25">
      <c r="A1879" s="109">
        <v>3107</v>
      </c>
      <c r="B1879" t="s">
        <v>2521</v>
      </c>
      <c r="C1879" t="s">
        <v>1991</v>
      </c>
      <c r="D1879" s="110">
        <v>-37</v>
      </c>
      <c r="E1879" t="str">
        <f t="shared" si="75"/>
        <v>4</v>
      </c>
      <c r="F1879" t="str">
        <f t="shared" si="76"/>
        <v>1.6</v>
      </c>
    </row>
    <row r="1880" spans="1:6" x14ac:dyDescent="0.25">
      <c r="A1880" s="109">
        <v>3108</v>
      </c>
      <c r="B1880" t="s">
        <v>2522</v>
      </c>
      <c r="C1880" t="s">
        <v>1991</v>
      </c>
      <c r="D1880" s="110">
        <v>-37</v>
      </c>
      <c r="E1880" t="str">
        <f t="shared" si="75"/>
        <v>4</v>
      </c>
      <c r="F1880" t="str">
        <f t="shared" si="76"/>
        <v>1.6</v>
      </c>
    </row>
    <row r="1881" spans="1:6" x14ac:dyDescent="0.25">
      <c r="A1881" s="109">
        <v>3109</v>
      </c>
      <c r="B1881" t="s">
        <v>2523</v>
      </c>
      <c r="C1881" t="s">
        <v>1991</v>
      </c>
      <c r="D1881" s="110">
        <v>-37</v>
      </c>
      <c r="E1881" t="str">
        <f t="shared" si="75"/>
        <v>4</v>
      </c>
      <c r="F1881" t="str">
        <f t="shared" si="76"/>
        <v>1.6</v>
      </c>
    </row>
    <row r="1882" spans="1:6" x14ac:dyDescent="0.25">
      <c r="A1882" s="109">
        <v>3111</v>
      </c>
      <c r="B1882" t="s">
        <v>2524</v>
      </c>
      <c r="C1882" t="s">
        <v>1991</v>
      </c>
      <c r="D1882" s="110">
        <v>-37</v>
      </c>
      <c r="E1882" t="str">
        <f t="shared" si="75"/>
        <v>4</v>
      </c>
      <c r="F1882" t="str">
        <f t="shared" si="76"/>
        <v>1.6</v>
      </c>
    </row>
    <row r="1883" spans="1:6" x14ac:dyDescent="0.25">
      <c r="A1883" s="109">
        <v>3113</v>
      </c>
      <c r="B1883" t="s">
        <v>2525</v>
      </c>
      <c r="C1883" t="s">
        <v>1991</v>
      </c>
      <c r="D1883" s="110">
        <v>-37</v>
      </c>
      <c r="E1883" t="str">
        <f t="shared" si="75"/>
        <v>4</v>
      </c>
      <c r="F1883" t="str">
        <f t="shared" si="76"/>
        <v>1.6</v>
      </c>
    </row>
    <row r="1884" spans="1:6" x14ac:dyDescent="0.25">
      <c r="A1884" s="109">
        <v>3115</v>
      </c>
      <c r="B1884" t="s">
        <v>2526</v>
      </c>
      <c r="C1884" t="s">
        <v>1991</v>
      </c>
      <c r="D1884" s="110">
        <v>-37</v>
      </c>
      <c r="E1884" t="str">
        <f t="shared" si="75"/>
        <v>4</v>
      </c>
      <c r="F1884" t="str">
        <f t="shared" si="76"/>
        <v>1.6</v>
      </c>
    </row>
    <row r="1885" spans="1:6" x14ac:dyDescent="0.25">
      <c r="A1885" s="109">
        <v>3116</v>
      </c>
      <c r="B1885" t="s">
        <v>2527</v>
      </c>
      <c r="C1885" t="s">
        <v>1991</v>
      </c>
      <c r="D1885" s="110">
        <v>-37</v>
      </c>
      <c r="E1885" t="str">
        <f t="shared" si="75"/>
        <v>4</v>
      </c>
      <c r="F1885" t="str">
        <f t="shared" si="76"/>
        <v>1.6</v>
      </c>
    </row>
    <row r="1886" spans="1:6" x14ac:dyDescent="0.25">
      <c r="A1886" s="109">
        <v>3121</v>
      </c>
      <c r="B1886" t="s">
        <v>1775</v>
      </c>
      <c r="C1886" t="s">
        <v>1991</v>
      </c>
      <c r="D1886" s="110">
        <v>-37</v>
      </c>
      <c r="E1886" t="str">
        <f t="shared" si="75"/>
        <v>4</v>
      </c>
      <c r="F1886" t="str">
        <f t="shared" si="76"/>
        <v>1.6</v>
      </c>
    </row>
    <row r="1887" spans="1:6" x14ac:dyDescent="0.25">
      <c r="A1887" s="109">
        <v>3122</v>
      </c>
      <c r="B1887" t="s">
        <v>2528</v>
      </c>
      <c r="C1887" t="s">
        <v>1991</v>
      </c>
      <c r="D1887" s="110">
        <v>-37</v>
      </c>
      <c r="E1887" t="str">
        <f t="shared" si="75"/>
        <v>4</v>
      </c>
      <c r="F1887" t="str">
        <f t="shared" si="76"/>
        <v>1.6</v>
      </c>
    </row>
    <row r="1888" spans="1:6" x14ac:dyDescent="0.25">
      <c r="A1888" s="109">
        <v>3123</v>
      </c>
      <c r="B1888" t="s">
        <v>2529</v>
      </c>
      <c r="C1888" t="s">
        <v>1991</v>
      </c>
      <c r="D1888" s="110">
        <v>-37</v>
      </c>
      <c r="E1888" t="str">
        <f t="shared" si="75"/>
        <v>4</v>
      </c>
      <c r="F1888" t="str">
        <f t="shared" si="76"/>
        <v>1.6</v>
      </c>
    </row>
    <row r="1889" spans="1:6" x14ac:dyDescent="0.25">
      <c r="A1889" s="109">
        <v>3124</v>
      </c>
      <c r="B1889" t="s">
        <v>2530</v>
      </c>
      <c r="C1889" t="s">
        <v>1991</v>
      </c>
      <c r="D1889" s="110">
        <v>-37</v>
      </c>
      <c r="E1889" t="str">
        <f t="shared" si="75"/>
        <v>4</v>
      </c>
      <c r="F1889" t="str">
        <f t="shared" si="76"/>
        <v>1.6</v>
      </c>
    </row>
    <row r="1890" spans="1:6" x14ac:dyDescent="0.25">
      <c r="A1890" s="109">
        <v>3125</v>
      </c>
      <c r="B1890" t="s">
        <v>1677</v>
      </c>
      <c r="C1890" t="s">
        <v>1991</v>
      </c>
      <c r="D1890" s="110">
        <v>-37</v>
      </c>
      <c r="E1890" t="str">
        <f t="shared" si="75"/>
        <v>4</v>
      </c>
      <c r="F1890" t="str">
        <f t="shared" si="76"/>
        <v>1.6</v>
      </c>
    </row>
    <row r="1891" spans="1:6" x14ac:dyDescent="0.25">
      <c r="A1891" s="109">
        <v>3126</v>
      </c>
      <c r="B1891" t="s">
        <v>2531</v>
      </c>
      <c r="C1891" t="s">
        <v>1991</v>
      </c>
      <c r="D1891" s="110">
        <v>-37</v>
      </c>
      <c r="E1891" t="str">
        <f t="shared" ref="E1891:E1954" si="77">IF(D1891&lt;-34,"4",IF(D1891&lt;-26,"3",IF(D1891&lt;-18,"2",IF(D1891&lt;-8,"1","lits"))))</f>
        <v>4</v>
      </c>
      <c r="F1891" t="str">
        <f t="shared" si="76"/>
        <v>1.6</v>
      </c>
    </row>
    <row r="1892" spans="1:6" x14ac:dyDescent="0.25">
      <c r="A1892" s="109">
        <v>3127</v>
      </c>
      <c r="B1892" t="s">
        <v>2532</v>
      </c>
      <c r="C1892" t="s">
        <v>1991</v>
      </c>
      <c r="D1892" s="110">
        <v>-37</v>
      </c>
      <c r="E1892" t="str">
        <f t="shared" si="77"/>
        <v>4</v>
      </c>
      <c r="F1892" t="str">
        <f t="shared" si="76"/>
        <v>1.6</v>
      </c>
    </row>
    <row r="1893" spans="1:6" x14ac:dyDescent="0.25">
      <c r="A1893" s="109">
        <v>3128</v>
      </c>
      <c r="B1893" t="s">
        <v>2533</v>
      </c>
      <c r="C1893" t="s">
        <v>1991</v>
      </c>
      <c r="D1893" s="110">
        <v>-37</v>
      </c>
      <c r="E1893" t="str">
        <f t="shared" si="77"/>
        <v>4</v>
      </c>
      <c r="F1893" t="str">
        <f t="shared" si="76"/>
        <v>1.6</v>
      </c>
    </row>
    <row r="1894" spans="1:6" x14ac:dyDescent="0.25">
      <c r="A1894" s="109">
        <v>3129</v>
      </c>
      <c r="B1894" t="s">
        <v>2534</v>
      </c>
      <c r="C1894" t="s">
        <v>1991</v>
      </c>
      <c r="D1894" s="110">
        <v>-37</v>
      </c>
      <c r="E1894" t="str">
        <f t="shared" si="77"/>
        <v>4</v>
      </c>
      <c r="F1894" t="str">
        <f t="shared" si="76"/>
        <v>1.6</v>
      </c>
    </row>
    <row r="1895" spans="1:6" x14ac:dyDescent="0.25">
      <c r="A1895" s="109">
        <v>3130</v>
      </c>
      <c r="B1895" t="s">
        <v>2535</v>
      </c>
      <c r="C1895" t="s">
        <v>1991</v>
      </c>
      <c r="D1895" s="110">
        <v>-37</v>
      </c>
      <c r="E1895" t="str">
        <f t="shared" si="77"/>
        <v>4</v>
      </c>
      <c r="F1895" t="str">
        <f t="shared" si="76"/>
        <v>1.6</v>
      </c>
    </row>
    <row r="1896" spans="1:6" x14ac:dyDescent="0.25">
      <c r="A1896" s="109">
        <v>3131</v>
      </c>
      <c r="B1896" t="s">
        <v>2536</v>
      </c>
      <c r="C1896" t="s">
        <v>1991</v>
      </c>
      <c r="D1896" s="110">
        <v>-37</v>
      </c>
      <c r="E1896" t="str">
        <f t="shared" si="77"/>
        <v>4</v>
      </c>
      <c r="F1896" t="str">
        <f t="shared" si="76"/>
        <v>1.6</v>
      </c>
    </row>
    <row r="1897" spans="1:6" x14ac:dyDescent="0.25">
      <c r="A1897" s="109">
        <v>3132</v>
      </c>
      <c r="B1897" t="s">
        <v>2537</v>
      </c>
      <c r="C1897" t="s">
        <v>1991</v>
      </c>
      <c r="D1897" s="110">
        <v>-37</v>
      </c>
      <c r="E1897" t="str">
        <f t="shared" si="77"/>
        <v>4</v>
      </c>
      <c r="F1897" t="str">
        <f t="shared" si="76"/>
        <v>1.6</v>
      </c>
    </row>
    <row r="1898" spans="1:6" x14ac:dyDescent="0.25">
      <c r="A1898" s="109">
        <v>3133</v>
      </c>
      <c r="B1898" t="s">
        <v>2538</v>
      </c>
      <c r="C1898" t="s">
        <v>1991</v>
      </c>
      <c r="D1898" s="110">
        <v>-37</v>
      </c>
      <c r="E1898" t="str">
        <f t="shared" si="77"/>
        <v>4</v>
      </c>
      <c r="F1898" t="str">
        <f t="shared" si="76"/>
        <v>1.6</v>
      </c>
    </row>
    <row r="1899" spans="1:6" x14ac:dyDescent="0.25">
      <c r="A1899" s="109">
        <v>3134</v>
      </c>
      <c r="B1899" t="s">
        <v>2539</v>
      </c>
      <c r="C1899" t="s">
        <v>1991</v>
      </c>
      <c r="D1899" s="110">
        <v>-37</v>
      </c>
      <c r="E1899" t="str">
        <f t="shared" si="77"/>
        <v>4</v>
      </c>
      <c r="F1899" t="str">
        <f t="shared" si="76"/>
        <v>1.6</v>
      </c>
    </row>
    <row r="1900" spans="1:6" x14ac:dyDescent="0.25">
      <c r="A1900" s="109">
        <v>3135</v>
      </c>
      <c r="B1900" t="s">
        <v>2540</v>
      </c>
      <c r="C1900" t="s">
        <v>1991</v>
      </c>
      <c r="D1900" s="110">
        <v>-37</v>
      </c>
      <c r="E1900" t="str">
        <f t="shared" si="77"/>
        <v>4</v>
      </c>
      <c r="F1900" t="str">
        <f t="shared" si="76"/>
        <v>1.6</v>
      </c>
    </row>
    <row r="1901" spans="1:6" x14ac:dyDescent="0.25">
      <c r="A1901" s="109">
        <v>3136</v>
      </c>
      <c r="B1901" t="s">
        <v>2541</v>
      </c>
      <c r="C1901" t="s">
        <v>1991</v>
      </c>
      <c r="D1901" s="110">
        <v>-37</v>
      </c>
      <c r="E1901" t="str">
        <f t="shared" si="77"/>
        <v>4</v>
      </c>
      <c r="F1901" t="str">
        <f t="shared" si="76"/>
        <v>1.6</v>
      </c>
    </row>
    <row r="1902" spans="1:6" x14ac:dyDescent="0.25">
      <c r="A1902" s="109">
        <v>3137</v>
      </c>
      <c r="B1902" t="s">
        <v>2542</v>
      </c>
      <c r="C1902" t="s">
        <v>1991</v>
      </c>
      <c r="D1902" s="110">
        <v>-37</v>
      </c>
      <c r="E1902" t="str">
        <f t="shared" si="77"/>
        <v>4</v>
      </c>
      <c r="F1902" t="str">
        <f t="shared" si="76"/>
        <v>1.6</v>
      </c>
    </row>
    <row r="1903" spans="1:6" x14ac:dyDescent="0.25">
      <c r="A1903" s="109">
        <v>3138</v>
      </c>
      <c r="B1903" t="s">
        <v>2543</v>
      </c>
      <c r="C1903" t="s">
        <v>1991</v>
      </c>
      <c r="D1903" s="110">
        <v>-37</v>
      </c>
      <c r="E1903" t="str">
        <f t="shared" si="77"/>
        <v>4</v>
      </c>
      <c r="F1903" t="str">
        <f t="shared" si="76"/>
        <v>1.6</v>
      </c>
    </row>
    <row r="1904" spans="1:6" x14ac:dyDescent="0.25">
      <c r="A1904" s="109">
        <v>3139</v>
      </c>
      <c r="B1904" t="s">
        <v>2544</v>
      </c>
      <c r="C1904" t="s">
        <v>1991</v>
      </c>
      <c r="D1904" s="110">
        <v>-37</v>
      </c>
      <c r="E1904" t="str">
        <f t="shared" si="77"/>
        <v>4</v>
      </c>
      <c r="F1904" t="str">
        <f t="shared" si="76"/>
        <v>1.6</v>
      </c>
    </row>
    <row r="1905" spans="1:6" x14ac:dyDescent="0.25">
      <c r="A1905" s="109">
        <v>3140</v>
      </c>
      <c r="B1905" t="s">
        <v>2545</v>
      </c>
      <c r="C1905" t="s">
        <v>1991</v>
      </c>
      <c r="D1905" s="110">
        <v>-37</v>
      </c>
      <c r="E1905" t="str">
        <f t="shared" si="77"/>
        <v>4</v>
      </c>
      <c r="F1905" t="str">
        <f t="shared" si="76"/>
        <v>1.6</v>
      </c>
    </row>
    <row r="1906" spans="1:6" x14ac:dyDescent="0.25">
      <c r="A1906" s="109">
        <v>3141</v>
      </c>
      <c r="B1906" t="s">
        <v>2546</v>
      </c>
      <c r="C1906" t="s">
        <v>1991</v>
      </c>
      <c r="D1906" s="110">
        <v>-37</v>
      </c>
      <c r="E1906" t="str">
        <f t="shared" si="77"/>
        <v>4</v>
      </c>
      <c r="F1906" t="str">
        <f t="shared" si="76"/>
        <v>1.6</v>
      </c>
    </row>
    <row r="1907" spans="1:6" x14ac:dyDescent="0.25">
      <c r="A1907" s="109">
        <v>3142</v>
      </c>
      <c r="B1907" t="s">
        <v>2547</v>
      </c>
      <c r="C1907" t="s">
        <v>1991</v>
      </c>
      <c r="D1907" s="110">
        <v>-37</v>
      </c>
      <c r="E1907" t="str">
        <f t="shared" si="77"/>
        <v>4</v>
      </c>
      <c r="F1907" t="str">
        <f t="shared" si="76"/>
        <v>1.6</v>
      </c>
    </row>
    <row r="1908" spans="1:6" x14ac:dyDescent="0.25">
      <c r="A1908" s="109">
        <v>3143</v>
      </c>
      <c r="B1908" t="s">
        <v>2548</v>
      </c>
      <c r="C1908" t="s">
        <v>1991</v>
      </c>
      <c r="D1908" s="110">
        <v>-37</v>
      </c>
      <c r="E1908" t="str">
        <f t="shared" si="77"/>
        <v>4</v>
      </c>
      <c r="F1908" t="str">
        <f t="shared" si="76"/>
        <v>1.6</v>
      </c>
    </row>
    <row r="1909" spans="1:6" x14ac:dyDescent="0.25">
      <c r="A1909" s="109">
        <v>3144</v>
      </c>
      <c r="B1909" t="s">
        <v>2549</v>
      </c>
      <c r="C1909" t="s">
        <v>1991</v>
      </c>
      <c r="D1909" s="110">
        <v>-37</v>
      </c>
      <c r="E1909" t="str">
        <f t="shared" si="77"/>
        <v>4</v>
      </c>
      <c r="F1909" t="str">
        <f t="shared" si="76"/>
        <v>1.6</v>
      </c>
    </row>
    <row r="1910" spans="1:6" x14ac:dyDescent="0.25">
      <c r="A1910" s="109">
        <v>3145</v>
      </c>
      <c r="B1910" t="s">
        <v>2550</v>
      </c>
      <c r="C1910" t="s">
        <v>1991</v>
      </c>
      <c r="D1910" s="110">
        <v>-37</v>
      </c>
      <c r="E1910" t="str">
        <f t="shared" si="77"/>
        <v>4</v>
      </c>
      <c r="F1910" t="str">
        <f t="shared" si="76"/>
        <v>1.6</v>
      </c>
    </row>
    <row r="1911" spans="1:6" x14ac:dyDescent="0.25">
      <c r="A1911" s="109">
        <v>3146</v>
      </c>
      <c r="B1911" t="s">
        <v>2551</v>
      </c>
      <c r="C1911" t="s">
        <v>1991</v>
      </c>
      <c r="D1911" s="110">
        <v>-37</v>
      </c>
      <c r="E1911" t="str">
        <f t="shared" si="77"/>
        <v>4</v>
      </c>
      <c r="F1911" t="str">
        <f t="shared" si="76"/>
        <v>1.6</v>
      </c>
    </row>
    <row r="1912" spans="1:6" x14ac:dyDescent="0.25">
      <c r="A1912" s="109">
        <v>3147</v>
      </c>
      <c r="B1912" t="s">
        <v>2552</v>
      </c>
      <c r="C1912" t="s">
        <v>1991</v>
      </c>
      <c r="D1912" s="110">
        <v>-37</v>
      </c>
      <c r="E1912" t="str">
        <f t="shared" si="77"/>
        <v>4</v>
      </c>
      <c r="F1912" t="str">
        <f t="shared" si="76"/>
        <v>1.6</v>
      </c>
    </row>
    <row r="1913" spans="1:6" x14ac:dyDescent="0.25">
      <c r="A1913" s="109">
        <v>3148</v>
      </c>
      <c r="B1913" t="s">
        <v>2553</v>
      </c>
      <c r="C1913" t="s">
        <v>1991</v>
      </c>
      <c r="D1913" s="110">
        <v>-37</v>
      </c>
      <c r="E1913" t="str">
        <f t="shared" si="77"/>
        <v>4</v>
      </c>
      <c r="F1913" t="str">
        <f t="shared" si="76"/>
        <v>1.6</v>
      </c>
    </row>
    <row r="1914" spans="1:6" x14ac:dyDescent="0.25">
      <c r="A1914" s="109">
        <v>3149</v>
      </c>
      <c r="B1914" t="s">
        <v>2554</v>
      </c>
      <c r="C1914" t="s">
        <v>1991</v>
      </c>
      <c r="D1914" s="110">
        <v>-37</v>
      </c>
      <c r="E1914" t="str">
        <f t="shared" si="77"/>
        <v>4</v>
      </c>
      <c r="F1914" t="str">
        <f t="shared" si="76"/>
        <v>1.6</v>
      </c>
    </row>
    <row r="1915" spans="1:6" x14ac:dyDescent="0.25">
      <c r="A1915" s="109">
        <v>3150</v>
      </c>
      <c r="B1915" t="s">
        <v>2555</v>
      </c>
      <c r="C1915" t="s">
        <v>1991</v>
      </c>
      <c r="D1915" s="110">
        <v>-37</v>
      </c>
      <c r="E1915" t="str">
        <f t="shared" si="77"/>
        <v>4</v>
      </c>
      <c r="F1915" t="str">
        <f t="shared" si="76"/>
        <v>1.6</v>
      </c>
    </row>
    <row r="1916" spans="1:6" x14ac:dyDescent="0.25">
      <c r="A1916" s="109">
        <v>3151</v>
      </c>
      <c r="B1916" t="s">
        <v>2556</v>
      </c>
      <c r="C1916" t="s">
        <v>1991</v>
      </c>
      <c r="D1916" s="110">
        <v>-37</v>
      </c>
      <c r="E1916" t="str">
        <f t="shared" si="77"/>
        <v>4</v>
      </c>
      <c r="F1916" t="str">
        <f t="shared" si="76"/>
        <v>1.6</v>
      </c>
    </row>
    <row r="1917" spans="1:6" x14ac:dyDescent="0.25">
      <c r="A1917" s="109">
        <v>3152</v>
      </c>
      <c r="B1917" t="s">
        <v>2557</v>
      </c>
      <c r="C1917" t="s">
        <v>1991</v>
      </c>
      <c r="D1917" s="110">
        <v>-37</v>
      </c>
      <c r="E1917" t="str">
        <f t="shared" si="77"/>
        <v>4</v>
      </c>
      <c r="F1917" t="str">
        <f t="shared" si="76"/>
        <v>1.6</v>
      </c>
    </row>
    <row r="1918" spans="1:6" x14ac:dyDescent="0.25">
      <c r="A1918" s="109">
        <v>3153</v>
      </c>
      <c r="B1918" t="s">
        <v>2558</v>
      </c>
      <c r="C1918" t="s">
        <v>1991</v>
      </c>
      <c r="D1918" s="110">
        <v>-37</v>
      </c>
      <c r="E1918" t="str">
        <f t="shared" si="77"/>
        <v>4</v>
      </c>
      <c r="F1918" t="str">
        <f t="shared" si="76"/>
        <v>1.6</v>
      </c>
    </row>
    <row r="1919" spans="1:6" x14ac:dyDescent="0.25">
      <c r="A1919" s="109">
        <v>3154</v>
      </c>
      <c r="B1919" t="s">
        <v>1653</v>
      </c>
      <c r="C1919" t="s">
        <v>1991</v>
      </c>
      <c r="D1919" s="110">
        <v>-37</v>
      </c>
      <c r="E1919" t="str">
        <f t="shared" si="77"/>
        <v>4</v>
      </c>
      <c r="F1919" t="str">
        <f t="shared" si="76"/>
        <v>1.6</v>
      </c>
    </row>
    <row r="1920" spans="1:6" x14ac:dyDescent="0.25">
      <c r="A1920" s="109">
        <v>3155</v>
      </c>
      <c r="B1920" t="s">
        <v>2559</v>
      </c>
      <c r="C1920" t="s">
        <v>1991</v>
      </c>
      <c r="D1920" s="110">
        <v>-37</v>
      </c>
      <c r="E1920" t="str">
        <f t="shared" si="77"/>
        <v>4</v>
      </c>
      <c r="F1920" t="str">
        <f t="shared" si="76"/>
        <v>1.6</v>
      </c>
    </row>
    <row r="1921" spans="1:6" x14ac:dyDescent="0.25">
      <c r="A1921" s="109">
        <v>3156</v>
      </c>
      <c r="B1921" t="s">
        <v>2560</v>
      </c>
      <c r="C1921" t="s">
        <v>1991</v>
      </c>
      <c r="D1921" s="110">
        <v>-37</v>
      </c>
      <c r="E1921" t="str">
        <f t="shared" si="77"/>
        <v>4</v>
      </c>
      <c r="F1921" t="str">
        <f t="shared" si="76"/>
        <v>1.6</v>
      </c>
    </row>
    <row r="1922" spans="1:6" x14ac:dyDescent="0.25">
      <c r="A1922" s="109">
        <v>3158</v>
      </c>
      <c r="B1922" t="s">
        <v>2561</v>
      </c>
      <c r="C1922" t="s">
        <v>1991</v>
      </c>
      <c r="D1922" s="110">
        <v>-37</v>
      </c>
      <c r="E1922" t="str">
        <f t="shared" si="77"/>
        <v>4</v>
      </c>
      <c r="F1922" t="str">
        <f t="shared" si="76"/>
        <v>1.6</v>
      </c>
    </row>
    <row r="1923" spans="1:6" x14ac:dyDescent="0.25">
      <c r="A1923" s="109">
        <v>3159</v>
      </c>
      <c r="B1923" t="s">
        <v>2562</v>
      </c>
      <c r="C1923" t="s">
        <v>1991</v>
      </c>
      <c r="D1923" s="110">
        <v>-37</v>
      </c>
      <c r="E1923" t="str">
        <f t="shared" si="77"/>
        <v>4</v>
      </c>
      <c r="F1923" t="str">
        <f t="shared" ref="F1923:F1986" si="78">IF(D1923&lt;-34,"1.6",IF(D1923&lt;-26,"1.4",IF(D1923&lt;-18,"1.2",IF(D1923&lt;-8,"1","lits"))))</f>
        <v>1.6</v>
      </c>
    </row>
    <row r="1924" spans="1:6" x14ac:dyDescent="0.25">
      <c r="A1924" s="109">
        <v>3160</v>
      </c>
      <c r="B1924" t="s">
        <v>2563</v>
      </c>
      <c r="C1924" t="s">
        <v>1991</v>
      </c>
      <c r="D1924" s="110">
        <v>-37</v>
      </c>
      <c r="E1924" t="str">
        <f t="shared" si="77"/>
        <v>4</v>
      </c>
      <c r="F1924" t="str">
        <f t="shared" si="78"/>
        <v>1.6</v>
      </c>
    </row>
    <row r="1925" spans="1:6" x14ac:dyDescent="0.25">
      <c r="A1925" s="109">
        <v>3161</v>
      </c>
      <c r="B1925" t="s">
        <v>2564</v>
      </c>
      <c r="C1925" t="s">
        <v>1991</v>
      </c>
      <c r="D1925" s="110">
        <v>-37</v>
      </c>
      <c r="E1925" t="str">
        <f t="shared" si="77"/>
        <v>4</v>
      </c>
      <c r="F1925" t="str">
        <f t="shared" si="78"/>
        <v>1.6</v>
      </c>
    </row>
    <row r="1926" spans="1:6" x14ac:dyDescent="0.25">
      <c r="A1926" s="109">
        <v>3162</v>
      </c>
      <c r="B1926" t="s">
        <v>2565</v>
      </c>
      <c r="C1926" t="s">
        <v>1991</v>
      </c>
      <c r="D1926" s="110">
        <v>-37</v>
      </c>
      <c r="E1926" t="str">
        <f t="shared" si="77"/>
        <v>4</v>
      </c>
      <c r="F1926" t="str">
        <f t="shared" si="78"/>
        <v>1.6</v>
      </c>
    </row>
    <row r="1927" spans="1:6" x14ac:dyDescent="0.25">
      <c r="A1927" s="109">
        <v>3163</v>
      </c>
      <c r="B1927" t="s">
        <v>2566</v>
      </c>
      <c r="C1927" t="s">
        <v>1991</v>
      </c>
      <c r="D1927" s="110">
        <v>-37</v>
      </c>
      <c r="E1927" t="str">
        <f t="shared" si="77"/>
        <v>4</v>
      </c>
      <c r="F1927" t="str">
        <f t="shared" si="78"/>
        <v>1.6</v>
      </c>
    </row>
    <row r="1928" spans="1:6" x14ac:dyDescent="0.25">
      <c r="A1928" s="109">
        <v>3165</v>
      </c>
      <c r="B1928" t="s">
        <v>2567</v>
      </c>
      <c r="C1928" t="s">
        <v>1991</v>
      </c>
      <c r="D1928" s="110">
        <v>-37</v>
      </c>
      <c r="E1928" t="str">
        <f t="shared" si="77"/>
        <v>4</v>
      </c>
      <c r="F1928" t="str">
        <f t="shared" si="78"/>
        <v>1.6</v>
      </c>
    </row>
    <row r="1929" spans="1:6" x14ac:dyDescent="0.25">
      <c r="A1929" s="109">
        <v>3166</v>
      </c>
      <c r="B1929" t="s">
        <v>2568</v>
      </c>
      <c r="C1929" t="s">
        <v>1991</v>
      </c>
      <c r="D1929" s="110">
        <v>-37</v>
      </c>
      <c r="E1929" t="str">
        <f t="shared" si="77"/>
        <v>4</v>
      </c>
      <c r="F1929" t="str">
        <f t="shared" si="78"/>
        <v>1.6</v>
      </c>
    </row>
    <row r="1930" spans="1:6" x14ac:dyDescent="0.25">
      <c r="A1930" s="109">
        <v>3167</v>
      </c>
      <c r="B1930" t="s">
        <v>2569</v>
      </c>
      <c r="C1930" t="s">
        <v>1991</v>
      </c>
      <c r="D1930" s="110">
        <v>-37</v>
      </c>
      <c r="E1930" t="str">
        <f t="shared" si="77"/>
        <v>4</v>
      </c>
      <c r="F1930" t="str">
        <f t="shared" si="78"/>
        <v>1.6</v>
      </c>
    </row>
    <row r="1931" spans="1:6" x14ac:dyDescent="0.25">
      <c r="A1931" s="109">
        <v>3168</v>
      </c>
      <c r="B1931" t="s">
        <v>2570</v>
      </c>
      <c r="C1931" t="s">
        <v>1991</v>
      </c>
      <c r="D1931" s="110">
        <v>-37</v>
      </c>
      <c r="E1931" t="str">
        <f t="shared" si="77"/>
        <v>4</v>
      </c>
      <c r="F1931" t="str">
        <f t="shared" si="78"/>
        <v>1.6</v>
      </c>
    </row>
    <row r="1932" spans="1:6" x14ac:dyDescent="0.25">
      <c r="A1932" s="109">
        <v>3169</v>
      </c>
      <c r="B1932" t="s">
        <v>2571</v>
      </c>
      <c r="C1932" t="s">
        <v>1991</v>
      </c>
      <c r="D1932" s="110">
        <v>-37</v>
      </c>
      <c r="E1932" t="str">
        <f t="shared" si="77"/>
        <v>4</v>
      </c>
      <c r="F1932" t="str">
        <f t="shared" si="78"/>
        <v>1.6</v>
      </c>
    </row>
    <row r="1933" spans="1:6" x14ac:dyDescent="0.25">
      <c r="A1933" s="109">
        <v>3170</v>
      </c>
      <c r="B1933" t="s">
        <v>2572</v>
      </c>
      <c r="C1933" t="s">
        <v>1991</v>
      </c>
      <c r="D1933" s="110">
        <v>-37</v>
      </c>
      <c r="E1933" t="str">
        <f t="shared" si="77"/>
        <v>4</v>
      </c>
      <c r="F1933" t="str">
        <f t="shared" si="78"/>
        <v>1.6</v>
      </c>
    </row>
    <row r="1934" spans="1:6" x14ac:dyDescent="0.25">
      <c r="A1934" s="109">
        <v>3171</v>
      </c>
      <c r="B1934" t="s">
        <v>2573</v>
      </c>
      <c r="C1934" t="s">
        <v>1991</v>
      </c>
      <c r="D1934" s="110">
        <v>-37</v>
      </c>
      <c r="E1934" t="str">
        <f t="shared" si="77"/>
        <v>4</v>
      </c>
      <c r="F1934" t="str">
        <f t="shared" si="78"/>
        <v>1.6</v>
      </c>
    </row>
    <row r="1935" spans="1:6" x14ac:dyDescent="0.25">
      <c r="A1935" s="109">
        <v>3172</v>
      </c>
      <c r="B1935" t="s">
        <v>2574</v>
      </c>
      <c r="C1935" t="s">
        <v>1991</v>
      </c>
      <c r="D1935" s="110">
        <v>-37</v>
      </c>
      <c r="E1935" t="str">
        <f t="shared" si="77"/>
        <v>4</v>
      </c>
      <c r="F1935" t="str">
        <f t="shared" si="78"/>
        <v>1.6</v>
      </c>
    </row>
    <row r="1936" spans="1:6" x14ac:dyDescent="0.25">
      <c r="A1936" s="109">
        <v>3174</v>
      </c>
      <c r="B1936" t="s">
        <v>2575</v>
      </c>
      <c r="C1936" t="s">
        <v>1991</v>
      </c>
      <c r="D1936" s="110">
        <v>-37</v>
      </c>
      <c r="E1936" t="str">
        <f t="shared" si="77"/>
        <v>4</v>
      </c>
      <c r="F1936" t="str">
        <f t="shared" si="78"/>
        <v>1.6</v>
      </c>
    </row>
    <row r="1937" spans="1:6" x14ac:dyDescent="0.25">
      <c r="A1937" s="109">
        <v>3175</v>
      </c>
      <c r="B1937" t="s">
        <v>2576</v>
      </c>
      <c r="C1937" t="s">
        <v>1991</v>
      </c>
      <c r="D1937" s="110">
        <v>-37</v>
      </c>
      <c r="E1937" t="str">
        <f t="shared" si="77"/>
        <v>4</v>
      </c>
      <c r="F1937" t="str">
        <f t="shared" si="78"/>
        <v>1.6</v>
      </c>
    </row>
    <row r="1938" spans="1:6" x14ac:dyDescent="0.25">
      <c r="A1938" s="109">
        <v>3178</v>
      </c>
      <c r="B1938" t="s">
        <v>2577</v>
      </c>
      <c r="C1938" t="s">
        <v>1991</v>
      </c>
      <c r="D1938" s="110">
        <v>-37</v>
      </c>
      <c r="E1938" t="str">
        <f t="shared" si="77"/>
        <v>4</v>
      </c>
      <c r="F1938" t="str">
        <f t="shared" si="78"/>
        <v>1.6</v>
      </c>
    </row>
    <row r="1939" spans="1:6" x14ac:dyDescent="0.25">
      <c r="A1939" s="109">
        <v>3179</v>
      </c>
      <c r="B1939" t="s">
        <v>2578</v>
      </c>
      <c r="C1939" t="s">
        <v>1991</v>
      </c>
      <c r="D1939" s="110">
        <v>-37</v>
      </c>
      <c r="E1939" t="str">
        <f t="shared" si="77"/>
        <v>4</v>
      </c>
      <c r="F1939" t="str">
        <f t="shared" si="78"/>
        <v>1.6</v>
      </c>
    </row>
    <row r="1940" spans="1:6" x14ac:dyDescent="0.25">
      <c r="A1940" s="109">
        <v>3180</v>
      </c>
      <c r="B1940" t="s">
        <v>2579</v>
      </c>
      <c r="C1940" t="s">
        <v>1991</v>
      </c>
      <c r="D1940" s="110">
        <v>-37</v>
      </c>
      <c r="E1940" t="str">
        <f t="shared" si="77"/>
        <v>4</v>
      </c>
      <c r="F1940" t="str">
        <f t="shared" si="78"/>
        <v>1.6</v>
      </c>
    </row>
    <row r="1941" spans="1:6" x14ac:dyDescent="0.25">
      <c r="A1941" s="109">
        <v>3181</v>
      </c>
      <c r="B1941" t="s">
        <v>1776</v>
      </c>
      <c r="C1941" t="s">
        <v>1991</v>
      </c>
      <c r="D1941" s="110">
        <v>-37</v>
      </c>
      <c r="E1941" t="str">
        <f t="shared" si="77"/>
        <v>4</v>
      </c>
      <c r="F1941" t="str">
        <f t="shared" si="78"/>
        <v>1.6</v>
      </c>
    </row>
    <row r="1942" spans="1:6" x14ac:dyDescent="0.25">
      <c r="A1942" s="109">
        <v>3182</v>
      </c>
      <c r="B1942" t="s">
        <v>2580</v>
      </c>
      <c r="C1942" t="s">
        <v>1991</v>
      </c>
      <c r="D1942" s="110">
        <v>-37</v>
      </c>
      <c r="E1942" t="str">
        <f t="shared" si="77"/>
        <v>4</v>
      </c>
      <c r="F1942" t="str">
        <f t="shared" si="78"/>
        <v>1.6</v>
      </c>
    </row>
    <row r="1943" spans="1:6" x14ac:dyDescent="0.25">
      <c r="A1943" s="109">
        <v>3183</v>
      </c>
      <c r="B1943" t="s">
        <v>2581</v>
      </c>
      <c r="C1943" t="s">
        <v>1991</v>
      </c>
      <c r="D1943" s="110">
        <v>-37</v>
      </c>
      <c r="E1943" t="str">
        <f t="shared" si="77"/>
        <v>4</v>
      </c>
      <c r="F1943" t="str">
        <f t="shared" si="78"/>
        <v>1.6</v>
      </c>
    </row>
    <row r="1944" spans="1:6" x14ac:dyDescent="0.25">
      <c r="A1944" s="109">
        <v>3184</v>
      </c>
      <c r="B1944" t="s">
        <v>2582</v>
      </c>
      <c r="C1944" t="s">
        <v>1991</v>
      </c>
      <c r="D1944" s="110">
        <v>-37</v>
      </c>
      <c r="E1944" t="str">
        <f t="shared" si="77"/>
        <v>4</v>
      </c>
      <c r="F1944" t="str">
        <f t="shared" si="78"/>
        <v>1.6</v>
      </c>
    </row>
    <row r="1945" spans="1:6" x14ac:dyDescent="0.25">
      <c r="A1945" s="109">
        <v>3185</v>
      </c>
      <c r="B1945" t="s">
        <v>2583</v>
      </c>
      <c r="C1945" t="s">
        <v>1991</v>
      </c>
      <c r="D1945" s="110">
        <v>-37</v>
      </c>
      <c r="E1945" t="str">
        <f t="shared" si="77"/>
        <v>4</v>
      </c>
      <c r="F1945" t="str">
        <f t="shared" si="78"/>
        <v>1.6</v>
      </c>
    </row>
    <row r="1946" spans="1:6" x14ac:dyDescent="0.25">
      <c r="A1946" s="109">
        <v>3186</v>
      </c>
      <c r="B1946" t="s">
        <v>2584</v>
      </c>
      <c r="C1946" t="s">
        <v>1991</v>
      </c>
      <c r="D1946" s="110">
        <v>-37</v>
      </c>
      <c r="E1946" t="str">
        <f t="shared" si="77"/>
        <v>4</v>
      </c>
      <c r="F1946" t="str">
        <f t="shared" si="78"/>
        <v>1.6</v>
      </c>
    </row>
    <row r="1947" spans="1:6" x14ac:dyDescent="0.25">
      <c r="A1947" s="109">
        <v>3187</v>
      </c>
      <c r="B1947" t="s">
        <v>2585</v>
      </c>
      <c r="C1947" t="s">
        <v>1991</v>
      </c>
      <c r="D1947" s="110">
        <v>-37</v>
      </c>
      <c r="E1947" t="str">
        <f t="shared" si="77"/>
        <v>4</v>
      </c>
      <c r="F1947" t="str">
        <f t="shared" si="78"/>
        <v>1.6</v>
      </c>
    </row>
    <row r="1948" spans="1:6" x14ac:dyDescent="0.25">
      <c r="A1948" s="109">
        <v>3188</v>
      </c>
      <c r="B1948" t="s">
        <v>2586</v>
      </c>
      <c r="C1948" t="s">
        <v>1991</v>
      </c>
      <c r="D1948" s="110">
        <v>-37</v>
      </c>
      <c r="E1948" t="str">
        <f t="shared" si="77"/>
        <v>4</v>
      </c>
      <c r="F1948" t="str">
        <f t="shared" si="78"/>
        <v>1.6</v>
      </c>
    </row>
    <row r="1949" spans="1:6" x14ac:dyDescent="0.25">
      <c r="A1949" s="109">
        <v>3189</v>
      </c>
      <c r="B1949" t="s">
        <v>2587</v>
      </c>
      <c r="C1949" t="s">
        <v>1991</v>
      </c>
      <c r="D1949" s="110">
        <v>-37</v>
      </c>
      <c r="E1949" t="str">
        <f t="shared" si="77"/>
        <v>4</v>
      </c>
      <c r="F1949" t="str">
        <f t="shared" si="78"/>
        <v>1.6</v>
      </c>
    </row>
    <row r="1950" spans="1:6" x14ac:dyDescent="0.25">
      <c r="A1950" s="109">
        <v>3190</v>
      </c>
      <c r="B1950" t="s">
        <v>2588</v>
      </c>
      <c r="C1950" t="s">
        <v>1991</v>
      </c>
      <c r="D1950" s="110">
        <v>-37</v>
      </c>
      <c r="E1950" t="str">
        <f t="shared" si="77"/>
        <v>4</v>
      </c>
      <c r="F1950" t="str">
        <f t="shared" si="78"/>
        <v>1.6</v>
      </c>
    </row>
    <row r="1951" spans="1:6" x14ac:dyDescent="0.25">
      <c r="A1951" s="109">
        <v>3191</v>
      </c>
      <c r="B1951" t="s">
        <v>2589</v>
      </c>
      <c r="C1951" t="s">
        <v>1991</v>
      </c>
      <c r="D1951" s="110">
        <v>-37</v>
      </c>
      <c r="E1951" t="str">
        <f t="shared" si="77"/>
        <v>4</v>
      </c>
      <c r="F1951" t="str">
        <f t="shared" si="78"/>
        <v>1.6</v>
      </c>
    </row>
    <row r="1952" spans="1:6" x14ac:dyDescent="0.25">
      <c r="A1952" s="109">
        <v>3192</v>
      </c>
      <c r="B1952" t="s">
        <v>2590</v>
      </c>
      <c r="C1952" t="s">
        <v>1991</v>
      </c>
      <c r="D1952" s="110">
        <v>-37</v>
      </c>
      <c r="E1952" t="str">
        <f t="shared" si="77"/>
        <v>4</v>
      </c>
      <c r="F1952" t="str">
        <f t="shared" si="78"/>
        <v>1.6</v>
      </c>
    </row>
    <row r="1953" spans="1:6" x14ac:dyDescent="0.25">
      <c r="A1953" s="109">
        <v>3193</v>
      </c>
      <c r="B1953" t="s">
        <v>2591</v>
      </c>
      <c r="C1953" t="s">
        <v>1991</v>
      </c>
      <c r="D1953" s="110">
        <v>-37</v>
      </c>
      <c r="E1953" t="str">
        <f t="shared" si="77"/>
        <v>4</v>
      </c>
      <c r="F1953" t="str">
        <f t="shared" si="78"/>
        <v>1.6</v>
      </c>
    </row>
    <row r="1954" spans="1:6" x14ac:dyDescent="0.25">
      <c r="A1954" s="109">
        <v>3194</v>
      </c>
      <c r="B1954" t="s">
        <v>2592</v>
      </c>
      <c r="C1954" t="s">
        <v>1991</v>
      </c>
      <c r="D1954" s="110">
        <v>-37</v>
      </c>
      <c r="E1954" t="str">
        <f t="shared" si="77"/>
        <v>4</v>
      </c>
      <c r="F1954" t="str">
        <f t="shared" si="78"/>
        <v>1.6</v>
      </c>
    </row>
    <row r="1955" spans="1:6" x14ac:dyDescent="0.25">
      <c r="A1955" s="109">
        <v>3202</v>
      </c>
      <c r="B1955" t="s">
        <v>2593</v>
      </c>
      <c r="C1955" t="s">
        <v>1991</v>
      </c>
      <c r="D1955" s="110">
        <v>-37</v>
      </c>
      <c r="E1955" t="str">
        <f t="shared" ref="E1955:E1971" si="79">IF(D1955&lt;-34,"4",IF(D1955&lt;-26,"3",IF(D1955&lt;-18,"2",IF(D1955&lt;-8,"1","lits"))))</f>
        <v>4</v>
      </c>
      <c r="F1955" t="str">
        <f t="shared" si="78"/>
        <v>1.6</v>
      </c>
    </row>
    <row r="1956" spans="1:6" x14ac:dyDescent="0.25">
      <c r="A1956" s="109">
        <v>3204</v>
      </c>
      <c r="B1956" t="s">
        <v>2594</v>
      </c>
      <c r="C1956" t="s">
        <v>1991</v>
      </c>
      <c r="D1956" s="110">
        <v>-37</v>
      </c>
      <c r="E1956" t="str">
        <f t="shared" si="79"/>
        <v>4</v>
      </c>
      <c r="F1956" t="str">
        <f t="shared" si="78"/>
        <v>1.6</v>
      </c>
    </row>
    <row r="1957" spans="1:6" x14ac:dyDescent="0.25">
      <c r="A1957" s="109">
        <v>3205</v>
      </c>
      <c r="B1957" t="s">
        <v>2595</v>
      </c>
      <c r="C1957" t="s">
        <v>1991</v>
      </c>
      <c r="D1957" s="110">
        <v>-37</v>
      </c>
      <c r="E1957" t="str">
        <f t="shared" si="79"/>
        <v>4</v>
      </c>
      <c r="F1957" t="str">
        <f t="shared" si="78"/>
        <v>1.6</v>
      </c>
    </row>
    <row r="1958" spans="1:6" x14ac:dyDescent="0.25">
      <c r="A1958" s="109">
        <v>3206</v>
      </c>
      <c r="B1958" t="s">
        <v>2596</v>
      </c>
      <c r="C1958" t="s">
        <v>1991</v>
      </c>
      <c r="D1958" s="110">
        <v>-37</v>
      </c>
      <c r="E1958" t="str">
        <f t="shared" si="79"/>
        <v>4</v>
      </c>
      <c r="F1958" t="str">
        <f t="shared" si="78"/>
        <v>1.6</v>
      </c>
    </row>
    <row r="1959" spans="1:6" x14ac:dyDescent="0.25">
      <c r="A1959" s="109">
        <v>3207</v>
      </c>
      <c r="B1959" t="s">
        <v>2597</v>
      </c>
      <c r="C1959" t="s">
        <v>1991</v>
      </c>
      <c r="D1959" s="111">
        <v>-37</v>
      </c>
      <c r="E1959" t="str">
        <f t="shared" si="79"/>
        <v>4</v>
      </c>
      <c r="F1959" t="str">
        <f t="shared" si="78"/>
        <v>1.6</v>
      </c>
    </row>
    <row r="1960" spans="1:6" x14ac:dyDescent="0.25">
      <c r="A1960" s="109">
        <v>3271</v>
      </c>
      <c r="B1960" t="s">
        <v>2598</v>
      </c>
      <c r="C1960" t="s">
        <v>1991</v>
      </c>
      <c r="D1960" s="110">
        <v>-37</v>
      </c>
      <c r="E1960" t="str">
        <f t="shared" si="79"/>
        <v>4</v>
      </c>
      <c r="F1960" t="str">
        <f t="shared" si="78"/>
        <v>1.6</v>
      </c>
    </row>
    <row r="1961" spans="1:6" x14ac:dyDescent="0.25">
      <c r="A1961" s="109">
        <v>3274</v>
      </c>
      <c r="B1961" t="s">
        <v>2599</v>
      </c>
      <c r="C1961" t="s">
        <v>1991</v>
      </c>
      <c r="D1961" s="110">
        <v>-37</v>
      </c>
      <c r="E1961" t="str">
        <f t="shared" si="79"/>
        <v>4</v>
      </c>
      <c r="F1961" t="str">
        <f t="shared" si="78"/>
        <v>1.6</v>
      </c>
    </row>
    <row r="1962" spans="1:6" x14ac:dyDescent="0.25">
      <c r="A1962" s="109">
        <v>3289</v>
      </c>
      <c r="B1962" t="s">
        <v>1742</v>
      </c>
      <c r="C1962" t="s">
        <v>1991</v>
      </c>
      <c r="D1962" s="110">
        <v>-37</v>
      </c>
      <c r="E1962" t="str">
        <f t="shared" si="79"/>
        <v>4</v>
      </c>
      <c r="F1962" t="str">
        <f t="shared" si="78"/>
        <v>1.6</v>
      </c>
    </row>
    <row r="1963" spans="1:6" x14ac:dyDescent="0.25">
      <c r="A1963" s="109">
        <v>3293</v>
      </c>
      <c r="B1963" t="s">
        <v>2600</v>
      </c>
      <c r="C1963" t="s">
        <v>1991</v>
      </c>
      <c r="D1963" s="110">
        <v>-37</v>
      </c>
      <c r="E1963" t="str">
        <f t="shared" si="79"/>
        <v>4</v>
      </c>
      <c r="F1963" t="str">
        <f t="shared" si="78"/>
        <v>1.6</v>
      </c>
    </row>
    <row r="1964" spans="1:6" x14ac:dyDescent="0.25">
      <c r="A1964" s="109">
        <v>3294</v>
      </c>
      <c r="B1964" t="s">
        <v>2601</v>
      </c>
      <c r="C1964" t="s">
        <v>1991</v>
      </c>
      <c r="D1964" s="110">
        <v>-37</v>
      </c>
      <c r="E1964" t="str">
        <f t="shared" si="79"/>
        <v>4</v>
      </c>
      <c r="F1964" t="str">
        <f t="shared" si="78"/>
        <v>1.6</v>
      </c>
    </row>
    <row r="1965" spans="1:6" x14ac:dyDescent="0.25">
      <c r="A1965" s="109">
        <v>3300</v>
      </c>
      <c r="B1965" t="s">
        <v>2602</v>
      </c>
      <c r="C1965" t="s">
        <v>1991</v>
      </c>
      <c r="D1965" s="110">
        <v>-37</v>
      </c>
      <c r="E1965" t="str">
        <f t="shared" si="79"/>
        <v>4</v>
      </c>
      <c r="F1965" t="str">
        <f t="shared" si="78"/>
        <v>1.6</v>
      </c>
    </row>
    <row r="1966" spans="1:6" x14ac:dyDescent="0.25">
      <c r="A1966" s="109">
        <v>3302</v>
      </c>
      <c r="B1966" t="s">
        <v>2603</v>
      </c>
      <c r="C1966" t="s">
        <v>1991</v>
      </c>
      <c r="D1966" s="110">
        <v>-37</v>
      </c>
      <c r="E1966" t="str">
        <f t="shared" si="79"/>
        <v>4</v>
      </c>
      <c r="F1966" t="str">
        <f t="shared" si="78"/>
        <v>1.6</v>
      </c>
    </row>
    <row r="1967" spans="1:6" x14ac:dyDescent="0.25">
      <c r="A1967" s="109">
        <v>3303</v>
      </c>
      <c r="B1967" t="s">
        <v>2604</v>
      </c>
      <c r="C1967" t="s">
        <v>1991</v>
      </c>
      <c r="D1967" s="110">
        <v>-37</v>
      </c>
      <c r="E1967" t="str">
        <f t="shared" si="79"/>
        <v>4</v>
      </c>
      <c r="F1967" t="str">
        <f t="shared" si="78"/>
        <v>1.6</v>
      </c>
    </row>
    <row r="1968" spans="1:6" x14ac:dyDescent="0.25">
      <c r="A1968" s="109">
        <v>3304</v>
      </c>
      <c r="B1968" t="s">
        <v>2605</v>
      </c>
      <c r="C1968" t="s">
        <v>1991</v>
      </c>
      <c r="D1968" s="110">
        <v>-37</v>
      </c>
      <c r="E1968" t="str">
        <f t="shared" si="79"/>
        <v>4</v>
      </c>
      <c r="F1968" t="str">
        <f t="shared" si="78"/>
        <v>1.6</v>
      </c>
    </row>
    <row r="1969" spans="1:6" x14ac:dyDescent="0.25">
      <c r="A1969" s="109">
        <v>3310</v>
      </c>
      <c r="B1969" t="s">
        <v>2606</v>
      </c>
      <c r="C1969" t="s">
        <v>1991</v>
      </c>
      <c r="D1969" s="110">
        <v>-37</v>
      </c>
      <c r="E1969" t="str">
        <f t="shared" si="79"/>
        <v>4</v>
      </c>
      <c r="F1969" t="str">
        <f t="shared" si="78"/>
        <v>1.6</v>
      </c>
    </row>
    <row r="1970" spans="1:6" x14ac:dyDescent="0.25">
      <c r="A1970" s="109">
        <v>3311</v>
      </c>
      <c r="B1970" t="s">
        <v>2607</v>
      </c>
      <c r="C1970" t="s">
        <v>1991</v>
      </c>
      <c r="D1970" s="110">
        <v>-37</v>
      </c>
      <c r="E1970" t="str">
        <f t="shared" si="79"/>
        <v>4</v>
      </c>
      <c r="F1970" t="str">
        <f t="shared" si="78"/>
        <v>1.6</v>
      </c>
    </row>
    <row r="1971" spans="1:6" x14ac:dyDescent="0.25">
      <c r="A1971" s="109">
        <v>3315</v>
      </c>
      <c r="B1971" t="s">
        <v>2608</v>
      </c>
      <c r="C1971" t="s">
        <v>1991</v>
      </c>
      <c r="D1971" s="110">
        <v>-37</v>
      </c>
      <c r="E1971" t="str">
        <f t="shared" si="79"/>
        <v>4</v>
      </c>
      <c r="F1971" t="str">
        <f t="shared" si="78"/>
        <v>1.6</v>
      </c>
    </row>
    <row r="1972" spans="1:6" x14ac:dyDescent="0.25">
      <c r="A1972" s="109">
        <v>3317</v>
      </c>
      <c r="B1972" t="s">
        <v>2609</v>
      </c>
      <c r="C1972" t="s">
        <v>1991</v>
      </c>
      <c r="D1972" s="110">
        <v>-37</v>
      </c>
      <c r="E1972" t="str">
        <f t="shared" ref="E1972" si="80">IF(D1972&lt;-8,"1",IF(D1972&lt;-18,"2",IF(D1972&lt;-26,"3",IF(D1972&lt;-34,"4","lits"))))</f>
        <v>1</v>
      </c>
      <c r="F1972" t="str">
        <f t="shared" si="78"/>
        <v>1.6</v>
      </c>
    </row>
    <row r="1973" spans="1:6" x14ac:dyDescent="0.25">
      <c r="A1973" s="109">
        <v>3318</v>
      </c>
      <c r="B1973" t="s">
        <v>2610</v>
      </c>
      <c r="C1973" t="s">
        <v>1991</v>
      </c>
      <c r="D1973" s="110">
        <v>-37</v>
      </c>
      <c r="E1973" t="str">
        <f>IF(D1973&lt;-34,"4",IF(D1973&lt;-26,"3",IF(D1973&lt;-18,"2",IF(D1973&lt;-8,"1","lits"))))</f>
        <v>4</v>
      </c>
      <c r="F1973" t="str">
        <f t="shared" si="78"/>
        <v>1.6</v>
      </c>
    </row>
    <row r="1974" spans="1:6" x14ac:dyDescent="0.25">
      <c r="A1974" s="109">
        <v>3323</v>
      </c>
      <c r="B1974" t="s">
        <v>2611</v>
      </c>
      <c r="C1974" t="s">
        <v>1991</v>
      </c>
      <c r="D1974" s="110">
        <v>-37</v>
      </c>
      <c r="E1974" t="str">
        <f t="shared" ref="E1974:E2037" si="81">IF(D1974&lt;-34,"4",IF(D1974&lt;-26,"3",IF(D1974&lt;-18,"2",IF(D1974&lt;-8,"1","lits"))))</f>
        <v>4</v>
      </c>
      <c r="F1974" t="str">
        <f t="shared" si="78"/>
        <v>1.6</v>
      </c>
    </row>
    <row r="1975" spans="1:6" x14ac:dyDescent="0.25">
      <c r="A1975" s="109">
        <v>3324</v>
      </c>
      <c r="B1975" t="s">
        <v>2612</v>
      </c>
      <c r="C1975" t="s">
        <v>1991</v>
      </c>
      <c r="D1975" s="110">
        <v>-37</v>
      </c>
      <c r="E1975" t="str">
        <f t="shared" si="81"/>
        <v>4</v>
      </c>
      <c r="F1975" t="str">
        <f t="shared" si="78"/>
        <v>1.6</v>
      </c>
    </row>
    <row r="1976" spans="1:6" x14ac:dyDescent="0.25">
      <c r="A1976" s="109">
        <v>3325</v>
      </c>
      <c r="B1976" t="s">
        <v>2613</v>
      </c>
      <c r="C1976" t="s">
        <v>1991</v>
      </c>
      <c r="D1976" s="110">
        <v>-37</v>
      </c>
      <c r="E1976" t="str">
        <f t="shared" si="81"/>
        <v>4</v>
      </c>
      <c r="F1976" t="str">
        <f t="shared" si="78"/>
        <v>1.6</v>
      </c>
    </row>
    <row r="1977" spans="1:6" x14ac:dyDescent="0.25">
      <c r="A1977" s="109">
        <v>3330</v>
      </c>
      <c r="B1977" t="s">
        <v>2614</v>
      </c>
      <c r="C1977" t="s">
        <v>1991</v>
      </c>
      <c r="D1977" s="110">
        <v>-37</v>
      </c>
      <c r="E1977" t="str">
        <f t="shared" si="81"/>
        <v>4</v>
      </c>
      <c r="F1977" t="str">
        <f t="shared" si="78"/>
        <v>1.6</v>
      </c>
    </row>
    <row r="1978" spans="1:6" x14ac:dyDescent="0.25">
      <c r="A1978" s="109">
        <v>3331</v>
      </c>
      <c r="B1978" t="s">
        <v>2615</v>
      </c>
      <c r="C1978" t="s">
        <v>1991</v>
      </c>
      <c r="D1978" s="110">
        <v>-37</v>
      </c>
      <c r="E1978" t="str">
        <f t="shared" si="81"/>
        <v>4</v>
      </c>
      <c r="F1978" t="str">
        <f t="shared" si="78"/>
        <v>1.6</v>
      </c>
    </row>
    <row r="1979" spans="1:6" x14ac:dyDescent="0.25">
      <c r="A1979" s="109">
        <v>3332</v>
      </c>
      <c r="B1979" t="s">
        <v>2616</v>
      </c>
      <c r="C1979" t="s">
        <v>1991</v>
      </c>
      <c r="D1979" s="110">
        <v>-37</v>
      </c>
      <c r="E1979" t="str">
        <f t="shared" si="81"/>
        <v>4</v>
      </c>
      <c r="F1979" t="str">
        <f t="shared" si="78"/>
        <v>1.6</v>
      </c>
    </row>
    <row r="1980" spans="1:6" x14ac:dyDescent="0.25">
      <c r="A1980" s="109">
        <v>3333</v>
      </c>
      <c r="B1980" t="s">
        <v>2617</v>
      </c>
      <c r="C1980" t="s">
        <v>1991</v>
      </c>
      <c r="D1980" s="110">
        <v>-37</v>
      </c>
      <c r="E1980" t="str">
        <f t="shared" si="81"/>
        <v>4</v>
      </c>
      <c r="F1980" t="str">
        <f t="shared" si="78"/>
        <v>1.6</v>
      </c>
    </row>
    <row r="1981" spans="1:6" x14ac:dyDescent="0.25">
      <c r="A1981" s="109">
        <v>3334</v>
      </c>
      <c r="B1981" t="s">
        <v>2618</v>
      </c>
      <c r="C1981" t="s">
        <v>1991</v>
      </c>
      <c r="D1981" s="110">
        <v>-37</v>
      </c>
      <c r="E1981" t="str">
        <f t="shared" si="81"/>
        <v>4</v>
      </c>
      <c r="F1981" t="str">
        <f t="shared" si="78"/>
        <v>1.6</v>
      </c>
    </row>
    <row r="1982" spans="1:6" x14ac:dyDescent="0.25">
      <c r="A1982" s="109">
        <v>3335</v>
      </c>
      <c r="B1982" t="s">
        <v>2619</v>
      </c>
      <c r="C1982" t="s">
        <v>1991</v>
      </c>
      <c r="D1982" s="110">
        <v>-37</v>
      </c>
      <c r="E1982" t="str">
        <f t="shared" si="81"/>
        <v>4</v>
      </c>
      <c r="F1982" t="str">
        <f t="shared" si="78"/>
        <v>1.6</v>
      </c>
    </row>
    <row r="1983" spans="1:6" x14ac:dyDescent="0.25">
      <c r="A1983" s="109">
        <v>3337</v>
      </c>
      <c r="B1983" t="s">
        <v>2620</v>
      </c>
      <c r="C1983" t="s">
        <v>1991</v>
      </c>
      <c r="D1983" s="110">
        <v>-37</v>
      </c>
      <c r="E1983" t="str">
        <f t="shared" si="81"/>
        <v>4</v>
      </c>
      <c r="F1983" t="str">
        <f t="shared" si="78"/>
        <v>1.6</v>
      </c>
    </row>
    <row r="1984" spans="1:6" x14ac:dyDescent="0.25">
      <c r="A1984" s="109">
        <v>3338</v>
      </c>
      <c r="B1984" t="s">
        <v>2621</v>
      </c>
      <c r="C1984" t="s">
        <v>1991</v>
      </c>
      <c r="D1984" s="110">
        <v>-37</v>
      </c>
      <c r="E1984" t="str">
        <f t="shared" si="81"/>
        <v>4</v>
      </c>
      <c r="F1984" t="str">
        <f t="shared" si="78"/>
        <v>1.6</v>
      </c>
    </row>
    <row r="1985" spans="1:6" x14ac:dyDescent="0.25">
      <c r="A1985" s="109">
        <v>3340</v>
      </c>
      <c r="B1985" t="s">
        <v>2622</v>
      </c>
      <c r="C1985" t="s">
        <v>1991</v>
      </c>
      <c r="D1985" s="110">
        <v>-37</v>
      </c>
      <c r="E1985" t="str">
        <f t="shared" si="81"/>
        <v>4</v>
      </c>
      <c r="F1985" t="str">
        <f t="shared" si="78"/>
        <v>1.6</v>
      </c>
    </row>
    <row r="1986" spans="1:6" x14ac:dyDescent="0.25">
      <c r="A1986" s="109">
        <v>3341</v>
      </c>
      <c r="B1986" t="s">
        <v>2623</v>
      </c>
      <c r="C1986" t="s">
        <v>1991</v>
      </c>
      <c r="D1986" s="110">
        <v>-37</v>
      </c>
      <c r="E1986" t="str">
        <f t="shared" si="81"/>
        <v>4</v>
      </c>
      <c r="F1986" t="str">
        <f t="shared" si="78"/>
        <v>1.6</v>
      </c>
    </row>
    <row r="1987" spans="1:6" x14ac:dyDescent="0.25">
      <c r="A1987" s="109">
        <v>3342</v>
      </c>
      <c r="B1987" t="s">
        <v>2624</v>
      </c>
      <c r="C1987" t="s">
        <v>1991</v>
      </c>
      <c r="D1987" s="110">
        <v>-37</v>
      </c>
      <c r="E1987" t="str">
        <f t="shared" si="81"/>
        <v>4</v>
      </c>
      <c r="F1987" t="str">
        <f t="shared" ref="F1987:F2050" si="82">IF(D1987&lt;-34,"1.6",IF(D1987&lt;-26,"1.4",IF(D1987&lt;-18,"1.2",IF(D1987&lt;-8,"1","lits"))))</f>
        <v>1.6</v>
      </c>
    </row>
    <row r="1988" spans="1:6" x14ac:dyDescent="0.25">
      <c r="A1988" s="109">
        <v>3345</v>
      </c>
      <c r="B1988" t="s">
        <v>1622</v>
      </c>
      <c r="C1988" t="s">
        <v>1991</v>
      </c>
      <c r="D1988" s="110">
        <v>-37</v>
      </c>
      <c r="E1988" t="str">
        <f t="shared" si="81"/>
        <v>4</v>
      </c>
      <c r="F1988" t="str">
        <f t="shared" si="82"/>
        <v>1.6</v>
      </c>
    </row>
    <row r="1989" spans="1:6" x14ac:dyDescent="0.25">
      <c r="A1989" s="109">
        <v>3350</v>
      </c>
      <c r="B1989" t="s">
        <v>2625</v>
      </c>
      <c r="C1989" t="s">
        <v>1991</v>
      </c>
      <c r="D1989" s="110">
        <v>-37</v>
      </c>
      <c r="E1989" t="str">
        <f t="shared" si="81"/>
        <v>4</v>
      </c>
      <c r="F1989" t="str">
        <f t="shared" si="82"/>
        <v>1.6</v>
      </c>
    </row>
    <row r="1990" spans="1:6" x14ac:dyDescent="0.25">
      <c r="A1990" s="109">
        <v>3351</v>
      </c>
      <c r="B1990" t="s">
        <v>2626</v>
      </c>
      <c r="C1990" t="s">
        <v>1991</v>
      </c>
      <c r="D1990" s="110">
        <v>-37</v>
      </c>
      <c r="E1990" t="str">
        <f t="shared" si="81"/>
        <v>4</v>
      </c>
      <c r="F1990" t="str">
        <f t="shared" si="82"/>
        <v>1.6</v>
      </c>
    </row>
    <row r="1991" spans="1:6" x14ac:dyDescent="0.25">
      <c r="A1991" s="109">
        <v>3352</v>
      </c>
      <c r="B1991" t="s">
        <v>2627</v>
      </c>
      <c r="C1991" t="s">
        <v>1991</v>
      </c>
      <c r="D1991" s="110">
        <v>-37</v>
      </c>
      <c r="E1991" t="str">
        <f t="shared" si="81"/>
        <v>4</v>
      </c>
      <c r="F1991" t="str">
        <f t="shared" si="82"/>
        <v>1.6</v>
      </c>
    </row>
    <row r="1992" spans="1:6" x14ac:dyDescent="0.25">
      <c r="A1992" s="109">
        <v>3355</v>
      </c>
      <c r="B1992" t="s">
        <v>2628</v>
      </c>
      <c r="C1992" t="s">
        <v>1991</v>
      </c>
      <c r="D1992" s="110">
        <v>-37</v>
      </c>
      <c r="E1992" t="str">
        <f t="shared" si="81"/>
        <v>4</v>
      </c>
      <c r="F1992" t="str">
        <f t="shared" si="82"/>
        <v>1.6</v>
      </c>
    </row>
    <row r="1993" spans="1:6" x14ac:dyDescent="0.25">
      <c r="A1993" s="109">
        <v>3356</v>
      </c>
      <c r="B1993" t="s">
        <v>2629</v>
      </c>
      <c r="C1993" t="s">
        <v>1991</v>
      </c>
      <c r="D1993" s="110">
        <v>-37</v>
      </c>
      <c r="E1993" t="str">
        <f t="shared" si="81"/>
        <v>4</v>
      </c>
      <c r="F1993" t="str">
        <f t="shared" si="82"/>
        <v>1.6</v>
      </c>
    </row>
    <row r="1994" spans="1:6" x14ac:dyDescent="0.25">
      <c r="A1994" s="109">
        <v>3357</v>
      </c>
      <c r="B1994" t="s">
        <v>2630</v>
      </c>
      <c r="C1994" t="s">
        <v>1991</v>
      </c>
      <c r="D1994" s="110">
        <v>-37</v>
      </c>
      <c r="E1994" t="str">
        <f t="shared" si="81"/>
        <v>4</v>
      </c>
      <c r="F1994" t="str">
        <f t="shared" si="82"/>
        <v>1.6</v>
      </c>
    </row>
    <row r="1995" spans="1:6" x14ac:dyDescent="0.25">
      <c r="A1995" s="109">
        <v>3360</v>
      </c>
      <c r="B1995" t="s">
        <v>2631</v>
      </c>
      <c r="C1995" t="s">
        <v>1991</v>
      </c>
      <c r="D1995" s="110">
        <v>-37</v>
      </c>
      <c r="E1995" t="str">
        <f t="shared" si="81"/>
        <v>4</v>
      </c>
      <c r="F1995" t="str">
        <f t="shared" si="82"/>
        <v>1.6</v>
      </c>
    </row>
    <row r="1996" spans="1:6" x14ac:dyDescent="0.25">
      <c r="A1996" s="109">
        <v>3361</v>
      </c>
      <c r="B1996" t="s">
        <v>2632</v>
      </c>
      <c r="C1996" t="s">
        <v>1991</v>
      </c>
      <c r="D1996" s="110">
        <v>-37</v>
      </c>
      <c r="E1996" t="str">
        <f t="shared" si="81"/>
        <v>4</v>
      </c>
      <c r="F1996" t="str">
        <f t="shared" si="82"/>
        <v>1.6</v>
      </c>
    </row>
    <row r="1997" spans="1:6" x14ac:dyDescent="0.25">
      <c r="A1997" s="109">
        <v>3363</v>
      </c>
      <c r="B1997" t="s">
        <v>2633</v>
      </c>
      <c r="C1997" t="s">
        <v>1991</v>
      </c>
      <c r="D1997" s="110">
        <v>-37</v>
      </c>
      <c r="E1997" t="str">
        <f t="shared" si="81"/>
        <v>4</v>
      </c>
      <c r="F1997" t="str">
        <f t="shared" si="82"/>
        <v>1.6</v>
      </c>
    </row>
    <row r="1998" spans="1:6" x14ac:dyDescent="0.25">
      <c r="A1998" s="109">
        <v>3364</v>
      </c>
      <c r="B1998" t="s">
        <v>2634</v>
      </c>
      <c r="C1998" t="s">
        <v>1991</v>
      </c>
      <c r="D1998" s="110">
        <v>-37</v>
      </c>
      <c r="E1998" t="str">
        <f t="shared" si="81"/>
        <v>4</v>
      </c>
      <c r="F1998" t="str">
        <f t="shared" si="82"/>
        <v>1.6</v>
      </c>
    </row>
    <row r="1999" spans="1:6" x14ac:dyDescent="0.25">
      <c r="A1999" s="109">
        <v>3370</v>
      </c>
      <c r="B1999" t="s">
        <v>2635</v>
      </c>
      <c r="C1999" t="s">
        <v>1991</v>
      </c>
      <c r="D1999" s="110">
        <v>-37</v>
      </c>
      <c r="E1999" t="str">
        <f t="shared" si="81"/>
        <v>4</v>
      </c>
      <c r="F1999" t="str">
        <f t="shared" si="82"/>
        <v>1.6</v>
      </c>
    </row>
    <row r="2000" spans="1:6" x14ac:dyDescent="0.25">
      <c r="A2000" s="109">
        <v>3371</v>
      </c>
      <c r="B2000" t="s">
        <v>2636</v>
      </c>
      <c r="C2000" t="s">
        <v>1991</v>
      </c>
      <c r="D2000" s="110">
        <v>-37</v>
      </c>
      <c r="E2000" t="str">
        <f t="shared" si="81"/>
        <v>4</v>
      </c>
      <c r="F2000" t="str">
        <f t="shared" si="82"/>
        <v>1.6</v>
      </c>
    </row>
    <row r="2001" spans="1:6" x14ac:dyDescent="0.25">
      <c r="A2001" s="109">
        <v>3373</v>
      </c>
      <c r="B2001" t="s">
        <v>2637</v>
      </c>
      <c r="C2001" t="s">
        <v>1991</v>
      </c>
      <c r="D2001" s="110">
        <v>-37</v>
      </c>
      <c r="E2001" t="str">
        <f t="shared" si="81"/>
        <v>4</v>
      </c>
      <c r="F2001" t="str">
        <f t="shared" si="82"/>
        <v>1.6</v>
      </c>
    </row>
    <row r="2002" spans="1:6" x14ac:dyDescent="0.25">
      <c r="A2002" s="109">
        <v>3375</v>
      </c>
      <c r="B2002" t="s">
        <v>2638</v>
      </c>
      <c r="C2002" t="s">
        <v>1991</v>
      </c>
      <c r="D2002" s="110">
        <v>-37</v>
      </c>
      <c r="E2002" t="str">
        <f t="shared" si="81"/>
        <v>4</v>
      </c>
      <c r="F2002" t="str">
        <f t="shared" si="82"/>
        <v>1.6</v>
      </c>
    </row>
    <row r="2003" spans="1:6" x14ac:dyDescent="0.25">
      <c r="A2003" s="109">
        <v>3377</v>
      </c>
      <c r="B2003" t="s">
        <v>2639</v>
      </c>
      <c r="C2003" t="s">
        <v>1991</v>
      </c>
      <c r="D2003" s="110">
        <v>-37</v>
      </c>
      <c r="E2003" t="str">
        <f t="shared" si="81"/>
        <v>4</v>
      </c>
      <c r="F2003" t="str">
        <f t="shared" si="82"/>
        <v>1.6</v>
      </c>
    </row>
    <row r="2004" spans="1:6" x14ac:dyDescent="0.25">
      <c r="A2004" s="109">
        <v>3378</v>
      </c>
      <c r="B2004" t="s">
        <v>2640</v>
      </c>
      <c r="C2004" t="s">
        <v>1991</v>
      </c>
      <c r="D2004" s="110">
        <v>-37</v>
      </c>
      <c r="E2004" t="str">
        <f t="shared" si="81"/>
        <v>4</v>
      </c>
      <c r="F2004" t="str">
        <f t="shared" si="82"/>
        <v>1.6</v>
      </c>
    </row>
    <row r="2005" spans="1:6" x14ac:dyDescent="0.25">
      <c r="A2005" s="109">
        <v>3380</v>
      </c>
      <c r="B2005" t="s">
        <v>2641</v>
      </c>
      <c r="C2005" t="s">
        <v>1991</v>
      </c>
      <c r="D2005" s="110">
        <v>-37</v>
      </c>
      <c r="E2005" t="str">
        <f t="shared" si="81"/>
        <v>4</v>
      </c>
      <c r="F2005" t="str">
        <f t="shared" si="82"/>
        <v>1.6</v>
      </c>
    </row>
    <row r="2006" spans="1:6" x14ac:dyDescent="0.25">
      <c r="A2006" s="109">
        <v>3381</v>
      </c>
      <c r="B2006" t="s">
        <v>2642</v>
      </c>
      <c r="C2006" t="s">
        <v>1991</v>
      </c>
      <c r="D2006" s="110">
        <v>-37</v>
      </c>
      <c r="E2006" t="str">
        <f t="shared" si="81"/>
        <v>4</v>
      </c>
      <c r="F2006" t="str">
        <f t="shared" si="82"/>
        <v>1.6</v>
      </c>
    </row>
    <row r="2007" spans="1:6" x14ac:dyDescent="0.25">
      <c r="A2007" s="109">
        <v>3384</v>
      </c>
      <c r="B2007" t="s">
        <v>2643</v>
      </c>
      <c r="C2007" t="s">
        <v>1991</v>
      </c>
      <c r="D2007" s="110">
        <v>-37</v>
      </c>
      <c r="E2007" t="str">
        <f t="shared" si="81"/>
        <v>4</v>
      </c>
      <c r="F2007" t="str">
        <f t="shared" si="82"/>
        <v>1.6</v>
      </c>
    </row>
    <row r="2008" spans="1:6" x14ac:dyDescent="0.25">
      <c r="A2008" s="109">
        <v>3407</v>
      </c>
      <c r="B2008" t="s">
        <v>2644</v>
      </c>
      <c r="C2008" t="s">
        <v>1991</v>
      </c>
      <c r="D2008" s="110">
        <v>-37</v>
      </c>
      <c r="E2008" t="str">
        <f t="shared" si="81"/>
        <v>4</v>
      </c>
      <c r="F2008" t="str">
        <f t="shared" si="82"/>
        <v>1.6</v>
      </c>
    </row>
    <row r="2009" spans="1:6" x14ac:dyDescent="0.25">
      <c r="A2009" s="109">
        <v>3427</v>
      </c>
      <c r="B2009" t="s">
        <v>2645</v>
      </c>
      <c r="C2009" t="s">
        <v>1991</v>
      </c>
      <c r="D2009" s="110">
        <v>-37</v>
      </c>
      <c r="E2009" t="str">
        <f t="shared" si="81"/>
        <v>4</v>
      </c>
      <c r="F2009" t="str">
        <f t="shared" si="82"/>
        <v>1.6</v>
      </c>
    </row>
    <row r="2010" spans="1:6" x14ac:dyDescent="0.25">
      <c r="A2010" s="109">
        <v>3428</v>
      </c>
      <c r="B2010" t="s">
        <v>2646</v>
      </c>
      <c r="C2010" t="s">
        <v>1991</v>
      </c>
      <c r="D2010" s="110">
        <v>-37</v>
      </c>
      <c r="E2010" t="str">
        <f t="shared" si="81"/>
        <v>4</v>
      </c>
      <c r="F2010" t="str">
        <f t="shared" si="82"/>
        <v>1.6</v>
      </c>
    </row>
    <row r="2011" spans="1:6" x14ac:dyDescent="0.25">
      <c r="A2011" s="109">
        <v>3429</v>
      </c>
      <c r="B2011" t="s">
        <v>2647</v>
      </c>
      <c r="C2011" t="s">
        <v>1991</v>
      </c>
      <c r="D2011" s="110">
        <v>-37</v>
      </c>
      <c r="E2011" t="str">
        <f t="shared" si="81"/>
        <v>4</v>
      </c>
      <c r="F2011" t="str">
        <f t="shared" si="82"/>
        <v>1.6</v>
      </c>
    </row>
    <row r="2012" spans="1:6" x14ac:dyDescent="0.25">
      <c r="A2012" s="109">
        <v>3430</v>
      </c>
      <c r="B2012" t="s">
        <v>2648</v>
      </c>
      <c r="C2012" t="s">
        <v>1991</v>
      </c>
      <c r="D2012" s="110">
        <v>-37</v>
      </c>
      <c r="E2012" t="str">
        <f t="shared" si="81"/>
        <v>4</v>
      </c>
      <c r="F2012" t="str">
        <f t="shared" si="82"/>
        <v>1.6</v>
      </c>
    </row>
    <row r="2013" spans="1:6" x14ac:dyDescent="0.25">
      <c r="A2013" s="109">
        <v>3431</v>
      </c>
      <c r="B2013" t="s">
        <v>2649</v>
      </c>
      <c r="C2013" t="s">
        <v>1991</v>
      </c>
      <c r="D2013" s="110">
        <v>-37</v>
      </c>
      <c r="E2013" t="str">
        <f t="shared" si="81"/>
        <v>4</v>
      </c>
      <c r="F2013" t="str">
        <f t="shared" si="82"/>
        <v>1.6</v>
      </c>
    </row>
    <row r="2014" spans="1:6" x14ac:dyDescent="0.25">
      <c r="A2014" s="109">
        <v>3434</v>
      </c>
      <c r="B2014" t="s">
        <v>2650</v>
      </c>
      <c r="C2014" t="s">
        <v>1991</v>
      </c>
      <c r="D2014" s="110">
        <v>-37</v>
      </c>
      <c r="E2014" t="str">
        <f t="shared" si="81"/>
        <v>4</v>
      </c>
      <c r="F2014" t="str">
        <f t="shared" si="82"/>
        <v>1.6</v>
      </c>
    </row>
    <row r="2015" spans="1:6" x14ac:dyDescent="0.25">
      <c r="A2015" s="109">
        <v>3435</v>
      </c>
      <c r="B2015" t="s">
        <v>2651</v>
      </c>
      <c r="C2015" t="s">
        <v>1991</v>
      </c>
      <c r="D2015" s="110">
        <v>-37</v>
      </c>
      <c r="E2015" t="str">
        <f t="shared" si="81"/>
        <v>4</v>
      </c>
      <c r="F2015" t="str">
        <f t="shared" si="82"/>
        <v>1.6</v>
      </c>
    </row>
    <row r="2016" spans="1:6" x14ac:dyDescent="0.25">
      <c r="A2016" s="109">
        <v>3437</v>
      </c>
      <c r="B2016" t="s">
        <v>2652</v>
      </c>
      <c r="C2016" t="s">
        <v>1991</v>
      </c>
      <c r="D2016" s="110">
        <v>-37</v>
      </c>
      <c r="E2016" t="str">
        <f t="shared" si="81"/>
        <v>4</v>
      </c>
      <c r="F2016" t="str">
        <f t="shared" si="82"/>
        <v>1.6</v>
      </c>
    </row>
    <row r="2017" spans="1:6" x14ac:dyDescent="0.25">
      <c r="A2017" s="109">
        <v>3438</v>
      </c>
      <c r="B2017" t="s">
        <v>2653</v>
      </c>
      <c r="C2017" t="s">
        <v>1991</v>
      </c>
      <c r="D2017" s="110">
        <v>-37</v>
      </c>
      <c r="E2017" t="str">
        <f t="shared" si="81"/>
        <v>4</v>
      </c>
      <c r="F2017" t="str">
        <f t="shared" si="82"/>
        <v>1.6</v>
      </c>
    </row>
    <row r="2018" spans="1:6" x14ac:dyDescent="0.25">
      <c r="A2018" s="109">
        <v>3440</v>
      </c>
      <c r="B2018" t="s">
        <v>2654</v>
      </c>
      <c r="C2018" t="s">
        <v>1991</v>
      </c>
      <c r="D2018" s="110">
        <v>-37</v>
      </c>
      <c r="E2018" t="str">
        <f t="shared" si="81"/>
        <v>4</v>
      </c>
      <c r="F2018" t="str">
        <f t="shared" si="82"/>
        <v>1.6</v>
      </c>
    </row>
    <row r="2019" spans="1:6" x14ac:dyDescent="0.25">
      <c r="A2019" s="109">
        <v>3441</v>
      </c>
      <c r="B2019" t="s">
        <v>2655</v>
      </c>
      <c r="C2019" t="s">
        <v>1991</v>
      </c>
      <c r="D2019" s="110">
        <v>-37</v>
      </c>
      <c r="E2019" t="str">
        <f t="shared" si="81"/>
        <v>4</v>
      </c>
      <c r="F2019" t="str">
        <f t="shared" si="82"/>
        <v>1.6</v>
      </c>
    </row>
    <row r="2020" spans="1:6" x14ac:dyDescent="0.25">
      <c r="A2020" s="109">
        <v>3442</v>
      </c>
      <c r="B2020" t="s">
        <v>2656</v>
      </c>
      <c r="C2020" t="s">
        <v>1991</v>
      </c>
      <c r="D2020" s="110">
        <v>-37</v>
      </c>
      <c r="E2020" t="str">
        <f t="shared" si="81"/>
        <v>4</v>
      </c>
      <c r="F2020" t="str">
        <f t="shared" si="82"/>
        <v>1.6</v>
      </c>
    </row>
    <row r="2021" spans="1:6" x14ac:dyDescent="0.25">
      <c r="A2021" s="109">
        <v>3444</v>
      </c>
      <c r="B2021" t="s">
        <v>2657</v>
      </c>
      <c r="C2021" t="s">
        <v>1991</v>
      </c>
      <c r="D2021" s="110">
        <v>-37</v>
      </c>
      <c r="E2021" t="str">
        <f t="shared" si="81"/>
        <v>4</v>
      </c>
      <c r="F2021" t="str">
        <f t="shared" si="82"/>
        <v>1.6</v>
      </c>
    </row>
    <row r="2022" spans="1:6" x14ac:dyDescent="0.25">
      <c r="A2022" s="109">
        <v>3446</v>
      </c>
      <c r="B2022" t="s">
        <v>2658</v>
      </c>
      <c r="C2022" t="s">
        <v>1991</v>
      </c>
      <c r="D2022" s="110">
        <v>-37</v>
      </c>
      <c r="E2022" t="str">
        <f t="shared" si="81"/>
        <v>4</v>
      </c>
      <c r="F2022" t="str">
        <f t="shared" si="82"/>
        <v>1.6</v>
      </c>
    </row>
    <row r="2023" spans="1:6" x14ac:dyDescent="0.25">
      <c r="A2023" s="109">
        <v>3447</v>
      </c>
      <c r="B2023" t="s">
        <v>2659</v>
      </c>
      <c r="C2023" t="s">
        <v>1991</v>
      </c>
      <c r="D2023" s="110">
        <v>-37</v>
      </c>
      <c r="E2023" t="str">
        <f t="shared" si="81"/>
        <v>4</v>
      </c>
      <c r="F2023" t="str">
        <f t="shared" si="82"/>
        <v>1.6</v>
      </c>
    </row>
    <row r="2024" spans="1:6" x14ac:dyDescent="0.25">
      <c r="A2024" s="109">
        <v>3448</v>
      </c>
      <c r="B2024" t="s">
        <v>2660</v>
      </c>
      <c r="C2024" t="s">
        <v>1991</v>
      </c>
      <c r="D2024" s="110">
        <v>-37</v>
      </c>
      <c r="E2024" t="str">
        <f t="shared" si="81"/>
        <v>4</v>
      </c>
      <c r="F2024" t="str">
        <f t="shared" si="82"/>
        <v>1.6</v>
      </c>
    </row>
    <row r="2025" spans="1:6" x14ac:dyDescent="0.25">
      <c r="A2025" s="109">
        <v>3450</v>
      </c>
      <c r="B2025" t="s">
        <v>2661</v>
      </c>
      <c r="C2025" t="s">
        <v>1991</v>
      </c>
      <c r="D2025" s="110">
        <v>-37</v>
      </c>
      <c r="E2025" t="str">
        <f t="shared" si="81"/>
        <v>4</v>
      </c>
      <c r="F2025" t="str">
        <f t="shared" si="82"/>
        <v>1.6</v>
      </c>
    </row>
    <row r="2026" spans="1:6" x14ac:dyDescent="0.25">
      <c r="A2026" s="109">
        <v>3451</v>
      </c>
      <c r="B2026" t="s">
        <v>2662</v>
      </c>
      <c r="C2026" t="s">
        <v>1991</v>
      </c>
      <c r="D2026" s="110">
        <v>-37</v>
      </c>
      <c r="E2026" t="str">
        <f t="shared" si="81"/>
        <v>4</v>
      </c>
      <c r="F2026" t="str">
        <f t="shared" si="82"/>
        <v>1.6</v>
      </c>
    </row>
    <row r="2027" spans="1:6" x14ac:dyDescent="0.25">
      <c r="A2027" s="109">
        <v>3458</v>
      </c>
      <c r="B2027" t="s">
        <v>2663</v>
      </c>
      <c r="C2027" t="s">
        <v>1991</v>
      </c>
      <c r="D2027" s="110">
        <v>-37</v>
      </c>
      <c r="E2027" t="str">
        <f t="shared" si="81"/>
        <v>4</v>
      </c>
      <c r="F2027" t="str">
        <f t="shared" si="82"/>
        <v>1.6</v>
      </c>
    </row>
    <row r="2028" spans="1:6" x14ac:dyDescent="0.25">
      <c r="A2028" s="109">
        <v>3460</v>
      </c>
      <c r="B2028" t="s">
        <v>2664</v>
      </c>
      <c r="C2028" t="s">
        <v>1991</v>
      </c>
      <c r="D2028" s="110">
        <v>-37</v>
      </c>
      <c r="E2028" t="str">
        <f t="shared" si="81"/>
        <v>4</v>
      </c>
      <c r="F2028" t="str">
        <f t="shared" si="82"/>
        <v>1.6</v>
      </c>
    </row>
    <row r="2029" spans="1:6" x14ac:dyDescent="0.25">
      <c r="A2029" s="109">
        <v>3461</v>
      </c>
      <c r="B2029" t="s">
        <v>2665</v>
      </c>
      <c r="C2029" t="s">
        <v>1991</v>
      </c>
      <c r="D2029" s="110">
        <v>-37</v>
      </c>
      <c r="E2029" t="str">
        <f t="shared" si="81"/>
        <v>4</v>
      </c>
      <c r="F2029" t="str">
        <f t="shared" si="82"/>
        <v>1.6</v>
      </c>
    </row>
    <row r="2030" spans="1:6" x14ac:dyDescent="0.25">
      <c r="A2030" s="109">
        <v>3462</v>
      </c>
      <c r="B2030" t="s">
        <v>939</v>
      </c>
      <c r="C2030" t="s">
        <v>1991</v>
      </c>
      <c r="D2030" s="110">
        <v>-37</v>
      </c>
      <c r="E2030" t="str">
        <f t="shared" si="81"/>
        <v>4</v>
      </c>
      <c r="F2030" t="str">
        <f t="shared" si="82"/>
        <v>1.6</v>
      </c>
    </row>
    <row r="2031" spans="1:6" x14ac:dyDescent="0.25">
      <c r="A2031" s="109">
        <v>3464</v>
      </c>
      <c r="B2031" t="s">
        <v>2666</v>
      </c>
      <c r="C2031" t="s">
        <v>1991</v>
      </c>
      <c r="D2031" s="110">
        <v>-37</v>
      </c>
      <c r="E2031" t="str">
        <f t="shared" si="81"/>
        <v>4</v>
      </c>
      <c r="F2031" t="str">
        <f t="shared" si="82"/>
        <v>1.6</v>
      </c>
    </row>
    <row r="2032" spans="1:6" x14ac:dyDescent="0.25">
      <c r="A2032" s="109">
        <v>3465</v>
      </c>
      <c r="B2032" t="s">
        <v>2667</v>
      </c>
      <c r="C2032" t="s">
        <v>1991</v>
      </c>
      <c r="D2032" s="110">
        <v>-37</v>
      </c>
      <c r="E2032" t="str">
        <f t="shared" si="81"/>
        <v>4</v>
      </c>
      <c r="F2032" t="str">
        <f t="shared" si="82"/>
        <v>1.6</v>
      </c>
    </row>
    <row r="2033" spans="1:6" x14ac:dyDescent="0.25">
      <c r="A2033" s="109">
        <v>3467</v>
      </c>
      <c r="B2033" t="s">
        <v>2668</v>
      </c>
      <c r="C2033" t="s">
        <v>1991</v>
      </c>
      <c r="D2033" s="110">
        <v>-37</v>
      </c>
      <c r="E2033" t="str">
        <f t="shared" si="81"/>
        <v>4</v>
      </c>
      <c r="F2033" t="str">
        <f t="shared" si="82"/>
        <v>1.6</v>
      </c>
    </row>
    <row r="2034" spans="1:6" x14ac:dyDescent="0.25">
      <c r="A2034" s="109">
        <v>3468</v>
      </c>
      <c r="B2034" t="s">
        <v>2669</v>
      </c>
      <c r="C2034" t="s">
        <v>1991</v>
      </c>
      <c r="D2034" s="110">
        <v>-37</v>
      </c>
      <c r="E2034" t="str">
        <f t="shared" si="81"/>
        <v>4</v>
      </c>
      <c r="F2034" t="str">
        <f t="shared" si="82"/>
        <v>1.6</v>
      </c>
    </row>
    <row r="2035" spans="1:6" x14ac:dyDescent="0.25">
      <c r="A2035" s="109">
        <v>3469</v>
      </c>
      <c r="B2035" t="s">
        <v>2670</v>
      </c>
      <c r="C2035" t="s">
        <v>1991</v>
      </c>
      <c r="D2035" s="110">
        <v>-37</v>
      </c>
      <c r="E2035" t="str">
        <f t="shared" si="81"/>
        <v>4</v>
      </c>
      <c r="F2035" t="str">
        <f t="shared" si="82"/>
        <v>1.6</v>
      </c>
    </row>
    <row r="2036" spans="1:6" x14ac:dyDescent="0.25">
      <c r="A2036" s="109">
        <v>3501</v>
      </c>
      <c r="B2036" t="s">
        <v>2671</v>
      </c>
      <c r="C2036" t="s">
        <v>1991</v>
      </c>
      <c r="D2036" s="111">
        <v>-37</v>
      </c>
      <c r="E2036" t="str">
        <f t="shared" si="81"/>
        <v>4</v>
      </c>
      <c r="F2036" t="str">
        <f t="shared" si="82"/>
        <v>1.6</v>
      </c>
    </row>
    <row r="2037" spans="1:6" x14ac:dyDescent="0.25">
      <c r="A2037" s="109">
        <v>3521</v>
      </c>
      <c r="B2037" t="s">
        <v>2672</v>
      </c>
      <c r="C2037" t="s">
        <v>1991</v>
      </c>
      <c r="D2037" s="110">
        <v>-37</v>
      </c>
      <c r="E2037" t="str">
        <f t="shared" si="81"/>
        <v>4</v>
      </c>
      <c r="F2037" t="str">
        <f t="shared" si="82"/>
        <v>1.6</v>
      </c>
    </row>
    <row r="2038" spans="1:6" x14ac:dyDescent="0.25">
      <c r="A2038" s="109">
        <v>3522</v>
      </c>
      <c r="B2038" t="s">
        <v>2673</v>
      </c>
      <c r="C2038" t="s">
        <v>1991</v>
      </c>
      <c r="D2038" s="110">
        <v>-37</v>
      </c>
      <c r="E2038" t="str">
        <f t="shared" ref="E2038:E2101" si="83">IF(D2038&lt;-34,"4",IF(D2038&lt;-26,"3",IF(D2038&lt;-18,"2",IF(D2038&lt;-8,"1","lits"))))</f>
        <v>4</v>
      </c>
      <c r="F2038" t="str">
        <f t="shared" si="82"/>
        <v>1.6</v>
      </c>
    </row>
    <row r="2039" spans="1:6" x14ac:dyDescent="0.25">
      <c r="A2039" s="109">
        <v>3658</v>
      </c>
      <c r="B2039" t="s">
        <v>2674</v>
      </c>
      <c r="C2039" t="s">
        <v>1991</v>
      </c>
      <c r="D2039" s="110">
        <v>-37</v>
      </c>
      <c r="E2039" t="str">
        <f t="shared" si="83"/>
        <v>4</v>
      </c>
      <c r="F2039" t="str">
        <f t="shared" si="82"/>
        <v>1.6</v>
      </c>
    </row>
    <row r="2040" spans="1:6" x14ac:dyDescent="0.25">
      <c r="A2040" s="109">
        <v>3659</v>
      </c>
      <c r="B2040" t="s">
        <v>2675</v>
      </c>
      <c r="C2040" t="s">
        <v>1991</v>
      </c>
      <c r="D2040" s="110">
        <v>-37</v>
      </c>
      <c r="E2040" t="str">
        <f t="shared" si="83"/>
        <v>4</v>
      </c>
      <c r="F2040" t="str">
        <f t="shared" si="82"/>
        <v>1.6</v>
      </c>
    </row>
    <row r="2041" spans="1:6" x14ac:dyDescent="0.25">
      <c r="A2041" s="109">
        <v>3660</v>
      </c>
      <c r="B2041" t="s">
        <v>2676</v>
      </c>
      <c r="C2041" t="s">
        <v>1991</v>
      </c>
      <c r="D2041" s="110">
        <v>-37</v>
      </c>
      <c r="E2041" t="str">
        <f t="shared" si="83"/>
        <v>4</v>
      </c>
      <c r="F2041" t="str">
        <f t="shared" si="82"/>
        <v>1.6</v>
      </c>
    </row>
    <row r="2042" spans="1:6" x14ac:dyDescent="0.25">
      <c r="A2042" s="109">
        <v>3712</v>
      </c>
      <c r="B2042" t="s">
        <v>2677</v>
      </c>
      <c r="C2042" t="s">
        <v>1991</v>
      </c>
      <c r="D2042" s="110">
        <v>-37</v>
      </c>
      <c r="E2042" t="str">
        <f t="shared" si="83"/>
        <v>4</v>
      </c>
      <c r="F2042" t="str">
        <f t="shared" si="82"/>
        <v>1.6</v>
      </c>
    </row>
    <row r="2043" spans="1:6" x14ac:dyDescent="0.25">
      <c r="A2043" s="109">
        <v>3713</v>
      </c>
      <c r="B2043" t="s">
        <v>2678</v>
      </c>
      <c r="C2043" t="s">
        <v>1991</v>
      </c>
      <c r="D2043" s="110">
        <v>-37</v>
      </c>
      <c r="E2043" t="str">
        <f t="shared" si="83"/>
        <v>4</v>
      </c>
      <c r="F2043" t="str">
        <f t="shared" si="82"/>
        <v>1.6</v>
      </c>
    </row>
    <row r="2044" spans="1:6" x14ac:dyDescent="0.25">
      <c r="A2044" s="109">
        <v>3714</v>
      </c>
      <c r="B2044" t="s">
        <v>2679</v>
      </c>
      <c r="C2044" t="s">
        <v>1991</v>
      </c>
      <c r="D2044" s="110">
        <v>-37</v>
      </c>
      <c r="E2044" t="str">
        <f t="shared" si="83"/>
        <v>4</v>
      </c>
      <c r="F2044" t="str">
        <f t="shared" si="82"/>
        <v>1.6</v>
      </c>
    </row>
    <row r="2045" spans="1:6" x14ac:dyDescent="0.25">
      <c r="A2045" s="109">
        <v>3717</v>
      </c>
      <c r="B2045" t="s">
        <v>2680</v>
      </c>
      <c r="C2045" t="s">
        <v>1991</v>
      </c>
      <c r="D2045" s="110">
        <v>-37</v>
      </c>
      <c r="E2045" t="str">
        <f t="shared" si="83"/>
        <v>4</v>
      </c>
      <c r="F2045" t="str">
        <f t="shared" si="82"/>
        <v>1.6</v>
      </c>
    </row>
    <row r="2046" spans="1:6" x14ac:dyDescent="0.25">
      <c r="A2046" s="109">
        <v>3718</v>
      </c>
      <c r="B2046" t="s">
        <v>2681</v>
      </c>
      <c r="C2046" t="s">
        <v>1991</v>
      </c>
      <c r="D2046" s="110">
        <v>-37</v>
      </c>
      <c r="E2046" t="str">
        <f t="shared" si="83"/>
        <v>4</v>
      </c>
      <c r="F2046" t="str">
        <f t="shared" si="82"/>
        <v>1.6</v>
      </c>
    </row>
    <row r="2047" spans="1:6" x14ac:dyDescent="0.25">
      <c r="A2047" s="109">
        <v>3719</v>
      </c>
      <c r="B2047" t="s">
        <v>2682</v>
      </c>
      <c r="C2047" t="s">
        <v>1991</v>
      </c>
      <c r="D2047" s="110">
        <v>-37</v>
      </c>
      <c r="E2047" t="str">
        <f t="shared" si="83"/>
        <v>4</v>
      </c>
      <c r="F2047" t="str">
        <f t="shared" si="82"/>
        <v>1.6</v>
      </c>
    </row>
    <row r="2048" spans="1:6" x14ac:dyDescent="0.25">
      <c r="A2048" s="109">
        <v>3720</v>
      </c>
      <c r="B2048" t="s">
        <v>2683</v>
      </c>
      <c r="C2048" t="s">
        <v>1991</v>
      </c>
      <c r="D2048" s="110">
        <v>-37</v>
      </c>
      <c r="E2048" t="str">
        <f t="shared" si="83"/>
        <v>4</v>
      </c>
      <c r="F2048" t="str">
        <f t="shared" si="82"/>
        <v>1.6</v>
      </c>
    </row>
    <row r="2049" spans="1:6" x14ac:dyDescent="0.25">
      <c r="A2049" s="109">
        <v>3722</v>
      </c>
      <c r="B2049" t="s">
        <v>2684</v>
      </c>
      <c r="C2049" t="s">
        <v>1991</v>
      </c>
      <c r="D2049" s="110">
        <v>-37</v>
      </c>
      <c r="E2049" t="str">
        <f t="shared" si="83"/>
        <v>4</v>
      </c>
      <c r="F2049" t="str">
        <f t="shared" si="82"/>
        <v>1.6</v>
      </c>
    </row>
    <row r="2050" spans="1:6" x14ac:dyDescent="0.25">
      <c r="A2050" s="109">
        <v>3750</v>
      </c>
      <c r="B2050" t="s">
        <v>2685</v>
      </c>
      <c r="C2050" t="s">
        <v>1991</v>
      </c>
      <c r="D2050" s="110">
        <v>-37</v>
      </c>
      <c r="E2050" t="str">
        <f t="shared" si="83"/>
        <v>4</v>
      </c>
      <c r="F2050" t="str">
        <f t="shared" si="82"/>
        <v>1.6</v>
      </c>
    </row>
    <row r="2051" spans="1:6" x14ac:dyDescent="0.25">
      <c r="A2051" s="109">
        <v>3752</v>
      </c>
      <c r="B2051" t="s">
        <v>2686</v>
      </c>
      <c r="C2051" t="s">
        <v>1991</v>
      </c>
      <c r="D2051" s="110">
        <v>-37</v>
      </c>
      <c r="E2051" t="str">
        <f t="shared" si="83"/>
        <v>4</v>
      </c>
      <c r="F2051" t="str">
        <f t="shared" ref="F2051:F2114" si="84">IF(D2051&lt;-34,"1.6",IF(D2051&lt;-26,"1.4",IF(D2051&lt;-18,"1.2",IF(D2051&lt;-8,"1","lits"))))</f>
        <v>1.6</v>
      </c>
    </row>
    <row r="2052" spans="1:6" x14ac:dyDescent="0.25">
      <c r="A2052" s="109">
        <v>3753</v>
      </c>
      <c r="B2052" t="s">
        <v>2687</v>
      </c>
      <c r="C2052" t="s">
        <v>1991</v>
      </c>
      <c r="D2052" s="110">
        <v>-37</v>
      </c>
      <c r="E2052" t="str">
        <f t="shared" si="83"/>
        <v>4</v>
      </c>
      <c r="F2052" t="str">
        <f t="shared" si="84"/>
        <v>1.6</v>
      </c>
    </row>
    <row r="2053" spans="1:6" x14ac:dyDescent="0.25">
      <c r="A2053" s="109">
        <v>3754</v>
      </c>
      <c r="B2053" t="s">
        <v>2688</v>
      </c>
      <c r="C2053" t="s">
        <v>1991</v>
      </c>
      <c r="D2053" s="110">
        <v>-37</v>
      </c>
      <c r="E2053" t="str">
        <f t="shared" si="83"/>
        <v>4</v>
      </c>
      <c r="F2053" t="str">
        <f t="shared" si="84"/>
        <v>1.6</v>
      </c>
    </row>
    <row r="2054" spans="1:6" x14ac:dyDescent="0.25">
      <c r="A2054" s="109">
        <v>3755</v>
      </c>
      <c r="B2054" t="s">
        <v>2689</v>
      </c>
      <c r="C2054" t="s">
        <v>1991</v>
      </c>
      <c r="D2054" s="110">
        <v>-37</v>
      </c>
      <c r="E2054" t="str">
        <f t="shared" si="83"/>
        <v>4</v>
      </c>
      <c r="F2054" t="str">
        <f t="shared" si="84"/>
        <v>1.6</v>
      </c>
    </row>
    <row r="2055" spans="1:6" x14ac:dyDescent="0.25">
      <c r="A2055" s="109">
        <v>3756</v>
      </c>
      <c r="B2055" t="s">
        <v>2690</v>
      </c>
      <c r="C2055" t="s">
        <v>1991</v>
      </c>
      <c r="D2055" s="110">
        <v>-37</v>
      </c>
      <c r="E2055" t="str">
        <f t="shared" si="83"/>
        <v>4</v>
      </c>
      <c r="F2055" t="str">
        <f t="shared" si="84"/>
        <v>1.6</v>
      </c>
    </row>
    <row r="2056" spans="1:6" x14ac:dyDescent="0.25">
      <c r="A2056" s="109">
        <v>3757</v>
      </c>
      <c r="B2056" t="s">
        <v>2691</v>
      </c>
      <c r="C2056" t="s">
        <v>1991</v>
      </c>
      <c r="D2056" s="110">
        <v>-37</v>
      </c>
      <c r="E2056" t="str">
        <f t="shared" si="83"/>
        <v>4</v>
      </c>
      <c r="F2056" t="str">
        <f t="shared" si="84"/>
        <v>1.6</v>
      </c>
    </row>
    <row r="2057" spans="1:6" x14ac:dyDescent="0.25">
      <c r="A2057" s="109">
        <v>3758</v>
      </c>
      <c r="B2057" t="s">
        <v>2692</v>
      </c>
      <c r="C2057" t="s">
        <v>1991</v>
      </c>
      <c r="D2057" s="110">
        <v>-37</v>
      </c>
      <c r="E2057" t="str">
        <f t="shared" si="83"/>
        <v>4</v>
      </c>
      <c r="F2057" t="str">
        <f t="shared" si="84"/>
        <v>1.6</v>
      </c>
    </row>
    <row r="2058" spans="1:6" x14ac:dyDescent="0.25">
      <c r="A2058" s="109">
        <v>3759</v>
      </c>
      <c r="B2058" t="s">
        <v>2693</v>
      </c>
      <c r="C2058" t="s">
        <v>1991</v>
      </c>
      <c r="D2058" s="110">
        <v>-37</v>
      </c>
      <c r="E2058" t="str">
        <f t="shared" si="83"/>
        <v>4</v>
      </c>
      <c r="F2058" t="str">
        <f t="shared" si="84"/>
        <v>1.6</v>
      </c>
    </row>
    <row r="2059" spans="1:6" x14ac:dyDescent="0.25">
      <c r="A2059" s="109">
        <v>3761</v>
      </c>
      <c r="B2059" t="s">
        <v>2694</v>
      </c>
      <c r="C2059" t="s">
        <v>1991</v>
      </c>
      <c r="D2059" s="110">
        <v>-37</v>
      </c>
      <c r="E2059" t="str">
        <f t="shared" si="83"/>
        <v>4</v>
      </c>
      <c r="F2059" t="str">
        <f t="shared" si="84"/>
        <v>1.6</v>
      </c>
    </row>
    <row r="2060" spans="1:6" x14ac:dyDescent="0.25">
      <c r="A2060" s="109">
        <v>3763</v>
      </c>
      <c r="B2060" t="s">
        <v>2695</v>
      </c>
      <c r="C2060" t="s">
        <v>1991</v>
      </c>
      <c r="D2060" s="110">
        <v>-37</v>
      </c>
      <c r="E2060" t="str">
        <f t="shared" si="83"/>
        <v>4</v>
      </c>
      <c r="F2060" t="str">
        <f t="shared" si="84"/>
        <v>1.6</v>
      </c>
    </row>
    <row r="2061" spans="1:6" x14ac:dyDescent="0.25">
      <c r="A2061" s="109">
        <v>3764</v>
      </c>
      <c r="B2061" t="s">
        <v>2696</v>
      </c>
      <c r="C2061" t="s">
        <v>1991</v>
      </c>
      <c r="D2061" s="110">
        <v>-37</v>
      </c>
      <c r="E2061" t="str">
        <f t="shared" si="83"/>
        <v>4</v>
      </c>
      <c r="F2061" t="str">
        <f t="shared" si="84"/>
        <v>1.6</v>
      </c>
    </row>
    <row r="2062" spans="1:6" x14ac:dyDescent="0.25">
      <c r="A2062" s="109">
        <v>3765</v>
      </c>
      <c r="B2062" t="s">
        <v>2697</v>
      </c>
      <c r="C2062" t="s">
        <v>1991</v>
      </c>
      <c r="D2062" s="110">
        <v>-37</v>
      </c>
      <c r="E2062" t="str">
        <f t="shared" si="83"/>
        <v>4</v>
      </c>
      <c r="F2062" t="str">
        <f t="shared" si="84"/>
        <v>1.6</v>
      </c>
    </row>
    <row r="2063" spans="1:6" x14ac:dyDescent="0.25">
      <c r="A2063" s="109">
        <v>3766</v>
      </c>
      <c r="B2063" t="s">
        <v>2698</v>
      </c>
      <c r="C2063" t="s">
        <v>1991</v>
      </c>
      <c r="D2063" s="110">
        <v>-37</v>
      </c>
      <c r="E2063" t="str">
        <f t="shared" si="83"/>
        <v>4</v>
      </c>
      <c r="F2063" t="str">
        <f t="shared" si="84"/>
        <v>1.6</v>
      </c>
    </row>
    <row r="2064" spans="1:6" x14ac:dyDescent="0.25">
      <c r="A2064" s="109">
        <v>3767</v>
      </c>
      <c r="B2064" t="s">
        <v>2699</v>
      </c>
      <c r="C2064" t="s">
        <v>1991</v>
      </c>
      <c r="D2064" s="110">
        <v>-37</v>
      </c>
      <c r="E2064" t="str">
        <f t="shared" si="83"/>
        <v>4</v>
      </c>
      <c r="F2064" t="str">
        <f t="shared" si="84"/>
        <v>1.6</v>
      </c>
    </row>
    <row r="2065" spans="1:6" x14ac:dyDescent="0.25">
      <c r="A2065" s="109">
        <v>3770</v>
      </c>
      <c r="B2065" t="s">
        <v>2700</v>
      </c>
      <c r="C2065" t="s">
        <v>1991</v>
      </c>
      <c r="D2065" s="110">
        <v>-37</v>
      </c>
      <c r="E2065" t="str">
        <f t="shared" si="83"/>
        <v>4</v>
      </c>
      <c r="F2065" t="str">
        <f t="shared" si="84"/>
        <v>1.6</v>
      </c>
    </row>
    <row r="2066" spans="1:6" x14ac:dyDescent="0.25">
      <c r="A2066" s="109">
        <v>3775</v>
      </c>
      <c r="B2066" t="s">
        <v>2701</v>
      </c>
      <c r="C2066" t="s">
        <v>1991</v>
      </c>
      <c r="D2066" s="110">
        <v>-37</v>
      </c>
      <c r="E2066" t="str">
        <f t="shared" si="83"/>
        <v>4</v>
      </c>
      <c r="F2066" t="str">
        <f t="shared" si="84"/>
        <v>1.6</v>
      </c>
    </row>
    <row r="2067" spans="1:6" x14ac:dyDescent="0.25">
      <c r="A2067" s="109">
        <v>3777</v>
      </c>
      <c r="B2067" t="s">
        <v>2702</v>
      </c>
      <c r="C2067" t="s">
        <v>1991</v>
      </c>
      <c r="D2067" s="110">
        <v>-37</v>
      </c>
      <c r="E2067" t="str">
        <f t="shared" si="83"/>
        <v>4</v>
      </c>
      <c r="F2067" t="str">
        <f t="shared" si="84"/>
        <v>1.6</v>
      </c>
    </row>
    <row r="2068" spans="1:6" x14ac:dyDescent="0.25">
      <c r="A2068" s="109">
        <v>3778</v>
      </c>
      <c r="B2068" t="s">
        <v>2703</v>
      </c>
      <c r="C2068" t="s">
        <v>1991</v>
      </c>
      <c r="D2068" s="110">
        <v>-37</v>
      </c>
      <c r="E2068" t="str">
        <f t="shared" si="83"/>
        <v>4</v>
      </c>
      <c r="F2068" t="str">
        <f t="shared" si="84"/>
        <v>1.6</v>
      </c>
    </row>
    <row r="2069" spans="1:6" x14ac:dyDescent="0.25">
      <c r="A2069" s="109">
        <v>3779</v>
      </c>
      <c r="B2069" t="s">
        <v>2704</v>
      </c>
      <c r="C2069" t="s">
        <v>1991</v>
      </c>
      <c r="D2069" s="110">
        <v>-37</v>
      </c>
      <c r="E2069" t="str">
        <f t="shared" si="83"/>
        <v>4</v>
      </c>
      <c r="F2069" t="str">
        <f t="shared" si="84"/>
        <v>1.6</v>
      </c>
    </row>
    <row r="2070" spans="1:6" x14ac:dyDescent="0.25">
      <c r="A2070" s="109">
        <v>3781</v>
      </c>
      <c r="B2070" t="s">
        <v>2705</v>
      </c>
      <c r="C2070" t="s">
        <v>1991</v>
      </c>
      <c r="D2070" s="110">
        <v>-37</v>
      </c>
      <c r="E2070" t="str">
        <f t="shared" si="83"/>
        <v>4</v>
      </c>
      <c r="F2070" t="str">
        <f t="shared" si="84"/>
        <v>1.6</v>
      </c>
    </row>
    <row r="2071" spans="1:6" x14ac:dyDescent="0.25">
      <c r="A2071" s="109">
        <v>3782</v>
      </c>
      <c r="B2071" t="s">
        <v>2706</v>
      </c>
      <c r="C2071" t="s">
        <v>1991</v>
      </c>
      <c r="D2071" s="110">
        <v>-37</v>
      </c>
      <c r="E2071" t="str">
        <f t="shared" si="83"/>
        <v>4</v>
      </c>
      <c r="F2071" t="str">
        <f t="shared" si="84"/>
        <v>1.6</v>
      </c>
    </row>
    <row r="2072" spans="1:6" x14ac:dyDescent="0.25">
      <c r="A2072" s="109">
        <v>3783</v>
      </c>
      <c r="B2072" t="s">
        <v>2707</v>
      </c>
      <c r="C2072" t="s">
        <v>1991</v>
      </c>
      <c r="D2072" s="110">
        <v>-37</v>
      </c>
      <c r="E2072" t="str">
        <f t="shared" si="83"/>
        <v>4</v>
      </c>
      <c r="F2072" t="str">
        <f t="shared" si="84"/>
        <v>1.6</v>
      </c>
    </row>
    <row r="2073" spans="1:6" x14ac:dyDescent="0.25">
      <c r="A2073" s="109">
        <v>3786</v>
      </c>
      <c r="B2073" t="s">
        <v>2708</v>
      </c>
      <c r="C2073" t="s">
        <v>1991</v>
      </c>
      <c r="D2073" s="110">
        <v>-37</v>
      </c>
      <c r="E2073" t="str">
        <f t="shared" si="83"/>
        <v>4</v>
      </c>
      <c r="F2073" t="str">
        <f t="shared" si="84"/>
        <v>1.6</v>
      </c>
    </row>
    <row r="2074" spans="1:6" x14ac:dyDescent="0.25">
      <c r="A2074" s="109">
        <v>3788</v>
      </c>
      <c r="B2074" t="s">
        <v>2709</v>
      </c>
      <c r="C2074" t="s">
        <v>1991</v>
      </c>
      <c r="D2074" s="110">
        <v>-37</v>
      </c>
      <c r="E2074" t="str">
        <f t="shared" si="83"/>
        <v>4</v>
      </c>
      <c r="F2074" t="str">
        <f t="shared" si="84"/>
        <v>1.6</v>
      </c>
    </row>
    <row r="2075" spans="1:6" x14ac:dyDescent="0.25">
      <c r="A2075" s="109">
        <v>3789</v>
      </c>
      <c r="B2075" t="s">
        <v>2710</v>
      </c>
      <c r="C2075" t="s">
        <v>1991</v>
      </c>
      <c r="D2075" s="110">
        <v>-37</v>
      </c>
      <c r="E2075" t="str">
        <f t="shared" si="83"/>
        <v>4</v>
      </c>
      <c r="F2075" t="str">
        <f t="shared" si="84"/>
        <v>1.6</v>
      </c>
    </row>
    <row r="2076" spans="1:6" x14ac:dyDescent="0.25">
      <c r="A2076" s="109">
        <v>3791</v>
      </c>
      <c r="B2076" t="s">
        <v>2711</v>
      </c>
      <c r="C2076" t="s">
        <v>1991</v>
      </c>
      <c r="D2076" s="110">
        <v>-37</v>
      </c>
      <c r="E2076" t="str">
        <f t="shared" si="83"/>
        <v>4</v>
      </c>
      <c r="F2076" t="str">
        <f t="shared" si="84"/>
        <v>1.6</v>
      </c>
    </row>
    <row r="2077" spans="1:6" x14ac:dyDescent="0.25">
      <c r="A2077" s="109">
        <v>3793</v>
      </c>
      <c r="B2077" t="s">
        <v>2712</v>
      </c>
      <c r="C2077" t="s">
        <v>1991</v>
      </c>
      <c r="D2077" s="110">
        <v>-37</v>
      </c>
      <c r="E2077" t="str">
        <f t="shared" si="83"/>
        <v>4</v>
      </c>
      <c r="F2077" t="str">
        <f t="shared" si="84"/>
        <v>1.6</v>
      </c>
    </row>
    <row r="2078" spans="1:6" x14ac:dyDescent="0.25">
      <c r="A2078" s="109">
        <v>3795</v>
      </c>
      <c r="B2078" t="s">
        <v>2713</v>
      </c>
      <c r="C2078" t="s">
        <v>1991</v>
      </c>
      <c r="D2078" s="110">
        <v>-37</v>
      </c>
      <c r="E2078" t="str">
        <f t="shared" si="83"/>
        <v>4</v>
      </c>
      <c r="F2078" t="str">
        <f t="shared" si="84"/>
        <v>1.6</v>
      </c>
    </row>
    <row r="2079" spans="1:6" x14ac:dyDescent="0.25">
      <c r="A2079" s="109">
        <v>3796</v>
      </c>
      <c r="B2079" t="s">
        <v>2714</v>
      </c>
      <c r="C2079" t="s">
        <v>1991</v>
      </c>
      <c r="D2079" s="110">
        <v>-37</v>
      </c>
      <c r="E2079" t="str">
        <f t="shared" si="83"/>
        <v>4</v>
      </c>
      <c r="F2079" t="str">
        <f t="shared" si="84"/>
        <v>1.6</v>
      </c>
    </row>
    <row r="2080" spans="1:6" x14ac:dyDescent="0.25">
      <c r="A2080" s="109">
        <v>3797</v>
      </c>
      <c r="B2080" t="s">
        <v>2715</v>
      </c>
      <c r="C2080" t="s">
        <v>1991</v>
      </c>
      <c r="D2080" s="110">
        <v>-37</v>
      </c>
      <c r="E2080" t="str">
        <f t="shared" si="83"/>
        <v>4</v>
      </c>
      <c r="F2080" t="str">
        <f t="shared" si="84"/>
        <v>1.6</v>
      </c>
    </row>
    <row r="2081" spans="1:6" x14ac:dyDescent="0.25">
      <c r="A2081" s="109">
        <v>3799</v>
      </c>
      <c r="B2081" t="s">
        <v>2716</v>
      </c>
      <c r="C2081" t="s">
        <v>1991</v>
      </c>
      <c r="D2081" s="110">
        <v>-37</v>
      </c>
      <c r="E2081" t="str">
        <f t="shared" si="83"/>
        <v>4</v>
      </c>
      <c r="F2081" t="str">
        <f t="shared" si="84"/>
        <v>1.6</v>
      </c>
    </row>
    <row r="2082" spans="1:6" x14ac:dyDescent="0.25">
      <c r="A2082" s="109">
        <v>3802</v>
      </c>
      <c r="B2082" t="s">
        <v>2717</v>
      </c>
      <c r="C2082" t="s">
        <v>1991</v>
      </c>
      <c r="D2082" s="110">
        <v>-37</v>
      </c>
      <c r="E2082" t="str">
        <f t="shared" si="83"/>
        <v>4</v>
      </c>
      <c r="F2082" t="str">
        <f t="shared" si="84"/>
        <v>1.6</v>
      </c>
    </row>
    <row r="2083" spans="1:6" x14ac:dyDescent="0.25">
      <c r="A2083" s="109">
        <v>3808</v>
      </c>
      <c r="B2083" t="s">
        <v>2718</v>
      </c>
      <c r="C2083" t="s">
        <v>1991</v>
      </c>
      <c r="D2083" s="110">
        <v>-37</v>
      </c>
      <c r="E2083" t="str">
        <f t="shared" si="83"/>
        <v>4</v>
      </c>
      <c r="F2083" t="str">
        <f t="shared" si="84"/>
        <v>1.6</v>
      </c>
    </row>
    <row r="2084" spans="1:6" x14ac:dyDescent="0.25">
      <c r="A2084" s="109">
        <v>3821</v>
      </c>
      <c r="B2084" t="s">
        <v>2719</v>
      </c>
      <c r="C2084" t="s">
        <v>1991</v>
      </c>
      <c r="D2084" s="110">
        <v>-37</v>
      </c>
      <c r="E2084" t="str">
        <f t="shared" si="83"/>
        <v>4</v>
      </c>
      <c r="F2084" t="str">
        <f t="shared" si="84"/>
        <v>1.6</v>
      </c>
    </row>
    <row r="2085" spans="1:6" x14ac:dyDescent="0.25">
      <c r="A2085" s="109">
        <v>3833</v>
      </c>
      <c r="B2085" t="s">
        <v>2720</v>
      </c>
      <c r="C2085" t="s">
        <v>1991</v>
      </c>
      <c r="D2085" s="110">
        <v>-37</v>
      </c>
      <c r="E2085" t="str">
        <f t="shared" si="83"/>
        <v>4</v>
      </c>
      <c r="F2085" t="str">
        <f t="shared" si="84"/>
        <v>1.6</v>
      </c>
    </row>
    <row r="2086" spans="1:6" x14ac:dyDescent="0.25">
      <c r="A2086" s="109">
        <v>3858</v>
      </c>
      <c r="B2086" t="s">
        <v>2015</v>
      </c>
      <c r="C2086" t="s">
        <v>1991</v>
      </c>
      <c r="D2086" s="110">
        <v>-37</v>
      </c>
      <c r="E2086" t="str">
        <f t="shared" si="83"/>
        <v>4</v>
      </c>
      <c r="F2086" t="str">
        <f t="shared" si="84"/>
        <v>1.6</v>
      </c>
    </row>
    <row r="2087" spans="1:6" x14ac:dyDescent="0.25">
      <c r="A2087" s="109">
        <v>3860</v>
      </c>
      <c r="B2087" t="s">
        <v>2721</v>
      </c>
      <c r="C2087" t="s">
        <v>1991</v>
      </c>
      <c r="D2087" s="110">
        <v>-37</v>
      </c>
      <c r="E2087" t="str">
        <f t="shared" si="83"/>
        <v>4</v>
      </c>
      <c r="F2087" t="str">
        <f t="shared" si="84"/>
        <v>1.6</v>
      </c>
    </row>
    <row r="2088" spans="1:6" x14ac:dyDescent="0.25">
      <c r="A2088" s="109">
        <v>3862</v>
      </c>
      <c r="B2088" t="s">
        <v>2722</v>
      </c>
      <c r="C2088" t="s">
        <v>1991</v>
      </c>
      <c r="D2088" s="110">
        <v>-37</v>
      </c>
      <c r="E2088" t="str">
        <f t="shared" si="83"/>
        <v>4</v>
      </c>
      <c r="F2088" t="str">
        <f t="shared" si="84"/>
        <v>1.6</v>
      </c>
    </row>
    <row r="2089" spans="1:6" x14ac:dyDescent="0.25">
      <c r="A2089" s="109">
        <v>3865</v>
      </c>
      <c r="B2089" t="s">
        <v>2723</v>
      </c>
      <c r="C2089" t="s">
        <v>1991</v>
      </c>
      <c r="D2089" s="110">
        <v>-37</v>
      </c>
      <c r="E2089" t="str">
        <f t="shared" si="83"/>
        <v>4</v>
      </c>
      <c r="F2089" t="str">
        <f t="shared" si="84"/>
        <v>1.6</v>
      </c>
    </row>
    <row r="2090" spans="1:6" x14ac:dyDescent="0.25">
      <c r="A2090" s="109">
        <v>3875</v>
      </c>
      <c r="B2090" t="s">
        <v>2724</v>
      </c>
      <c r="C2090" t="s">
        <v>1991</v>
      </c>
      <c r="D2090" s="110">
        <v>-37</v>
      </c>
      <c r="E2090" t="str">
        <f t="shared" si="83"/>
        <v>4</v>
      </c>
      <c r="F2090" t="str">
        <f t="shared" si="84"/>
        <v>1.6</v>
      </c>
    </row>
    <row r="2091" spans="1:6" x14ac:dyDescent="0.25">
      <c r="A2091" s="109">
        <v>3880</v>
      </c>
      <c r="B2091" t="s">
        <v>2725</v>
      </c>
      <c r="C2091" t="s">
        <v>1991</v>
      </c>
      <c r="D2091" s="110">
        <v>-37</v>
      </c>
      <c r="E2091" t="str">
        <f t="shared" si="83"/>
        <v>4</v>
      </c>
      <c r="F2091" t="str">
        <f t="shared" si="84"/>
        <v>1.6</v>
      </c>
    </row>
    <row r="2092" spans="1:6" x14ac:dyDescent="0.25">
      <c r="A2092" s="109">
        <v>3882</v>
      </c>
      <c r="B2092" t="s">
        <v>2726</v>
      </c>
      <c r="C2092" t="s">
        <v>1991</v>
      </c>
      <c r="D2092" s="110">
        <v>-37</v>
      </c>
      <c r="E2092" t="str">
        <f t="shared" si="83"/>
        <v>4</v>
      </c>
      <c r="F2092" t="str">
        <f t="shared" si="84"/>
        <v>1.6</v>
      </c>
    </row>
    <row r="2093" spans="1:6" x14ac:dyDescent="0.25">
      <c r="A2093" s="109">
        <v>3885</v>
      </c>
      <c r="B2093" t="s">
        <v>2727</v>
      </c>
      <c r="C2093" t="s">
        <v>1991</v>
      </c>
      <c r="D2093" s="110">
        <v>-37</v>
      </c>
      <c r="E2093" t="str">
        <f t="shared" si="83"/>
        <v>4</v>
      </c>
      <c r="F2093" t="str">
        <f t="shared" si="84"/>
        <v>1.6</v>
      </c>
    </row>
    <row r="2094" spans="1:6" x14ac:dyDescent="0.25">
      <c r="A2094" s="109">
        <v>3886</v>
      </c>
      <c r="B2094" t="s">
        <v>2728</v>
      </c>
      <c r="C2094" t="s">
        <v>1991</v>
      </c>
      <c r="D2094" s="110">
        <v>-37</v>
      </c>
      <c r="E2094" t="str">
        <f t="shared" si="83"/>
        <v>4</v>
      </c>
      <c r="F2094" t="str">
        <f t="shared" si="84"/>
        <v>1.6</v>
      </c>
    </row>
    <row r="2095" spans="1:6" x14ac:dyDescent="0.25">
      <c r="A2095" s="109">
        <v>3887</v>
      </c>
      <c r="B2095" t="s">
        <v>2729</v>
      </c>
      <c r="C2095" t="s">
        <v>1991</v>
      </c>
      <c r="D2095" s="110">
        <v>-37</v>
      </c>
      <c r="E2095" t="str">
        <f t="shared" si="83"/>
        <v>4</v>
      </c>
      <c r="F2095" t="str">
        <f t="shared" si="84"/>
        <v>1.6</v>
      </c>
    </row>
    <row r="2096" spans="1:6" x14ac:dyDescent="0.25">
      <c r="A2096" s="109">
        <v>3888</v>
      </c>
      <c r="B2096" t="s">
        <v>2730</v>
      </c>
      <c r="C2096" t="s">
        <v>1991</v>
      </c>
      <c r="D2096" s="110">
        <v>-37</v>
      </c>
      <c r="E2096" t="str">
        <f t="shared" si="83"/>
        <v>4</v>
      </c>
      <c r="F2096" t="str">
        <f t="shared" si="84"/>
        <v>1.6</v>
      </c>
    </row>
    <row r="2097" spans="1:6" x14ac:dyDescent="0.25">
      <c r="A2097" s="109">
        <v>3889</v>
      </c>
      <c r="B2097" t="s">
        <v>2731</v>
      </c>
      <c r="C2097" t="s">
        <v>1991</v>
      </c>
      <c r="D2097" s="110">
        <v>-37</v>
      </c>
      <c r="E2097" t="str">
        <f t="shared" si="83"/>
        <v>4</v>
      </c>
      <c r="F2097" t="str">
        <f t="shared" si="84"/>
        <v>1.6</v>
      </c>
    </row>
    <row r="2098" spans="1:6" x14ac:dyDescent="0.25">
      <c r="A2098" s="109">
        <v>3890</v>
      </c>
      <c r="B2098" t="s">
        <v>2732</v>
      </c>
      <c r="C2098" t="s">
        <v>1991</v>
      </c>
      <c r="D2098" s="110">
        <v>-37</v>
      </c>
      <c r="E2098" t="str">
        <f t="shared" si="83"/>
        <v>4</v>
      </c>
      <c r="F2098" t="str">
        <f t="shared" si="84"/>
        <v>1.6</v>
      </c>
    </row>
    <row r="2099" spans="1:6" x14ac:dyDescent="0.25">
      <c r="A2099" s="109">
        <v>3891</v>
      </c>
      <c r="B2099" t="s">
        <v>2733</v>
      </c>
      <c r="C2099" t="s">
        <v>1991</v>
      </c>
      <c r="D2099" s="110">
        <v>-37</v>
      </c>
      <c r="E2099" t="str">
        <f t="shared" si="83"/>
        <v>4</v>
      </c>
      <c r="F2099" t="str">
        <f t="shared" si="84"/>
        <v>1.6</v>
      </c>
    </row>
    <row r="2100" spans="1:6" x14ac:dyDescent="0.25">
      <c r="A2100" s="109">
        <v>3892</v>
      </c>
      <c r="B2100" t="s">
        <v>2734</v>
      </c>
      <c r="C2100" t="s">
        <v>1991</v>
      </c>
      <c r="D2100" s="110">
        <v>-37</v>
      </c>
      <c r="E2100" t="str">
        <f t="shared" si="83"/>
        <v>4</v>
      </c>
      <c r="F2100" t="str">
        <f t="shared" si="84"/>
        <v>1.6</v>
      </c>
    </row>
    <row r="2101" spans="1:6" x14ac:dyDescent="0.25">
      <c r="A2101" s="109">
        <v>3893</v>
      </c>
      <c r="B2101" t="s">
        <v>2735</v>
      </c>
      <c r="C2101" t="s">
        <v>1991</v>
      </c>
      <c r="D2101" s="110">
        <v>-37</v>
      </c>
      <c r="E2101" t="str">
        <f t="shared" si="83"/>
        <v>4</v>
      </c>
      <c r="F2101" t="str">
        <f t="shared" si="84"/>
        <v>1.6</v>
      </c>
    </row>
    <row r="2102" spans="1:6" x14ac:dyDescent="0.25">
      <c r="A2102" s="109">
        <v>3895</v>
      </c>
      <c r="B2102" t="s">
        <v>2736</v>
      </c>
      <c r="C2102" t="s">
        <v>1991</v>
      </c>
      <c r="D2102" s="110">
        <v>-37</v>
      </c>
      <c r="E2102" t="str">
        <f t="shared" ref="E2102:E2165" si="85">IF(D2102&lt;-34,"4",IF(D2102&lt;-26,"3",IF(D2102&lt;-18,"2",IF(D2102&lt;-8,"1","lits"))))</f>
        <v>4</v>
      </c>
      <c r="F2102" t="str">
        <f t="shared" si="84"/>
        <v>1.6</v>
      </c>
    </row>
    <row r="2103" spans="1:6" x14ac:dyDescent="0.25">
      <c r="A2103" s="109">
        <v>3896</v>
      </c>
      <c r="B2103" t="s">
        <v>2737</v>
      </c>
      <c r="C2103" t="s">
        <v>1991</v>
      </c>
      <c r="D2103" s="110">
        <v>-37</v>
      </c>
      <c r="E2103" t="str">
        <f t="shared" si="85"/>
        <v>4</v>
      </c>
      <c r="F2103" t="str">
        <f t="shared" si="84"/>
        <v>1.6</v>
      </c>
    </row>
    <row r="2104" spans="1:6" x14ac:dyDescent="0.25">
      <c r="A2104" s="109">
        <v>3898</v>
      </c>
      <c r="B2104" t="s">
        <v>2738</v>
      </c>
      <c r="C2104" t="s">
        <v>1991</v>
      </c>
      <c r="D2104" s="110">
        <v>-37</v>
      </c>
      <c r="E2104" t="str">
        <f t="shared" si="85"/>
        <v>4</v>
      </c>
      <c r="F2104" t="str">
        <f t="shared" si="84"/>
        <v>1.6</v>
      </c>
    </row>
    <row r="2105" spans="1:6" x14ac:dyDescent="0.25">
      <c r="A2105" s="109">
        <v>3902</v>
      </c>
      <c r="B2105" t="s">
        <v>2739</v>
      </c>
      <c r="C2105" t="s">
        <v>1991</v>
      </c>
      <c r="D2105" s="110">
        <v>-37</v>
      </c>
      <c r="E2105" t="str">
        <f t="shared" si="85"/>
        <v>4</v>
      </c>
      <c r="F2105" t="str">
        <f t="shared" si="84"/>
        <v>1.6</v>
      </c>
    </row>
    <row r="2106" spans="1:6" x14ac:dyDescent="0.25">
      <c r="A2106" s="109">
        <v>3903</v>
      </c>
      <c r="B2106" t="s">
        <v>2115</v>
      </c>
      <c r="C2106" t="s">
        <v>1991</v>
      </c>
      <c r="D2106" s="110">
        <v>-37</v>
      </c>
      <c r="E2106" t="str">
        <f t="shared" si="85"/>
        <v>4</v>
      </c>
      <c r="F2106" t="str">
        <f t="shared" si="84"/>
        <v>1.6</v>
      </c>
    </row>
    <row r="2107" spans="1:6" x14ac:dyDescent="0.25">
      <c r="A2107" s="109">
        <v>3904</v>
      </c>
      <c r="B2107" t="s">
        <v>2740</v>
      </c>
      <c r="C2107" t="s">
        <v>1991</v>
      </c>
      <c r="D2107" s="110">
        <v>-37</v>
      </c>
      <c r="E2107" t="str">
        <f t="shared" si="85"/>
        <v>4</v>
      </c>
      <c r="F2107" t="str">
        <f t="shared" si="84"/>
        <v>1.6</v>
      </c>
    </row>
    <row r="2108" spans="1:6" x14ac:dyDescent="0.25">
      <c r="A2108" s="109">
        <v>3909</v>
      </c>
      <c r="B2108" t="s">
        <v>2741</v>
      </c>
      <c r="C2108" t="s">
        <v>1991</v>
      </c>
      <c r="D2108" s="110">
        <v>-37</v>
      </c>
      <c r="E2108" t="str">
        <f t="shared" si="85"/>
        <v>4</v>
      </c>
      <c r="F2108" t="str">
        <f t="shared" si="84"/>
        <v>1.6</v>
      </c>
    </row>
    <row r="2109" spans="1:6" x14ac:dyDescent="0.25">
      <c r="A2109" s="109">
        <v>5263</v>
      </c>
      <c r="B2109" t="s">
        <v>2742</v>
      </c>
      <c r="C2109" t="s">
        <v>1105</v>
      </c>
      <c r="D2109" s="110">
        <v>-37</v>
      </c>
      <c r="E2109" t="str">
        <f t="shared" si="85"/>
        <v>4</v>
      </c>
      <c r="F2109" t="str">
        <f t="shared" si="84"/>
        <v>1.6</v>
      </c>
    </row>
    <row r="2110" spans="1:6" x14ac:dyDescent="0.25">
      <c r="A2110" s="109">
        <v>5276</v>
      </c>
      <c r="B2110" t="s">
        <v>2743</v>
      </c>
      <c r="C2110" t="s">
        <v>1105</v>
      </c>
      <c r="D2110" s="110">
        <v>-37</v>
      </c>
      <c r="E2110" t="str">
        <f t="shared" si="85"/>
        <v>4</v>
      </c>
      <c r="F2110" t="str">
        <f t="shared" si="84"/>
        <v>1.6</v>
      </c>
    </row>
    <row r="2111" spans="1:6" x14ac:dyDescent="0.25">
      <c r="A2111" s="109">
        <v>5277</v>
      </c>
      <c r="B2111" t="s">
        <v>2744</v>
      </c>
      <c r="C2111" t="s">
        <v>1105</v>
      </c>
      <c r="D2111" s="110">
        <v>-37</v>
      </c>
      <c r="E2111" t="str">
        <f t="shared" si="85"/>
        <v>4</v>
      </c>
      <c r="F2111" t="str">
        <f t="shared" si="84"/>
        <v>1.6</v>
      </c>
    </row>
    <row r="2112" spans="1:6" x14ac:dyDescent="0.25">
      <c r="A2112" s="109">
        <v>5278</v>
      </c>
      <c r="B2112" t="s">
        <v>2745</v>
      </c>
      <c r="C2112" t="s">
        <v>1105</v>
      </c>
      <c r="D2112" s="110">
        <v>-37</v>
      </c>
      <c r="E2112" t="str">
        <f t="shared" si="85"/>
        <v>4</v>
      </c>
      <c r="F2112" t="str">
        <f t="shared" si="84"/>
        <v>1.6</v>
      </c>
    </row>
    <row r="2113" spans="1:6" x14ac:dyDescent="0.25">
      <c r="A2113" s="109">
        <v>5279</v>
      </c>
      <c r="B2113" t="s">
        <v>2746</v>
      </c>
      <c r="C2113" t="s">
        <v>1105</v>
      </c>
      <c r="D2113" s="110">
        <v>-37</v>
      </c>
      <c r="E2113" t="str">
        <f t="shared" si="85"/>
        <v>4</v>
      </c>
      <c r="F2113" t="str">
        <f t="shared" si="84"/>
        <v>1.6</v>
      </c>
    </row>
    <row r="2114" spans="1:6" x14ac:dyDescent="0.25">
      <c r="A2114" s="109">
        <v>5280</v>
      </c>
      <c r="B2114" t="s">
        <v>2747</v>
      </c>
      <c r="C2114" t="s">
        <v>1105</v>
      </c>
      <c r="D2114" s="110">
        <v>-37</v>
      </c>
      <c r="E2114" t="str">
        <f t="shared" si="85"/>
        <v>4</v>
      </c>
      <c r="F2114" t="str">
        <f t="shared" si="84"/>
        <v>1.6</v>
      </c>
    </row>
    <row r="2115" spans="1:6" x14ac:dyDescent="0.25">
      <c r="A2115" s="109">
        <v>5290</v>
      </c>
      <c r="B2115" t="s">
        <v>2748</v>
      </c>
      <c r="C2115" t="s">
        <v>1105</v>
      </c>
      <c r="D2115" s="110">
        <v>-37</v>
      </c>
      <c r="E2115" t="str">
        <f t="shared" si="85"/>
        <v>4</v>
      </c>
      <c r="F2115" t="str">
        <f t="shared" ref="F2115:F2178" si="86">IF(D2115&lt;-34,"1.6",IF(D2115&lt;-26,"1.4",IF(D2115&lt;-18,"1.2",IF(D2115&lt;-8,"1","lits"))))</f>
        <v>1.6</v>
      </c>
    </row>
    <row r="2116" spans="1:6" x14ac:dyDescent="0.25">
      <c r="A2116" s="109">
        <v>5291</v>
      </c>
      <c r="B2116" t="s">
        <v>2749</v>
      </c>
      <c r="C2116" t="s">
        <v>1105</v>
      </c>
      <c r="D2116" s="110">
        <v>-37</v>
      </c>
      <c r="E2116" t="str">
        <f t="shared" si="85"/>
        <v>4</v>
      </c>
      <c r="F2116" t="str">
        <f t="shared" si="86"/>
        <v>1.6</v>
      </c>
    </row>
    <row r="2117" spans="1:6" x14ac:dyDescent="0.25">
      <c r="A2117" s="109">
        <v>3173</v>
      </c>
      <c r="B2117" t="s">
        <v>2750</v>
      </c>
      <c r="C2117" t="s">
        <v>1991</v>
      </c>
      <c r="D2117" s="110">
        <v>-38</v>
      </c>
      <c r="E2117" t="str">
        <f t="shared" si="85"/>
        <v>4</v>
      </c>
      <c r="F2117" t="str">
        <f t="shared" si="86"/>
        <v>1.6</v>
      </c>
    </row>
    <row r="2118" spans="1:6" x14ac:dyDescent="0.25">
      <c r="A2118" s="109">
        <v>3177</v>
      </c>
      <c r="B2118" t="s">
        <v>2751</v>
      </c>
      <c r="C2118" t="s">
        <v>1991</v>
      </c>
      <c r="D2118" s="110">
        <v>-38</v>
      </c>
      <c r="E2118" t="str">
        <f t="shared" si="85"/>
        <v>4</v>
      </c>
      <c r="F2118" t="str">
        <f t="shared" si="86"/>
        <v>1.6</v>
      </c>
    </row>
    <row r="2119" spans="1:6" x14ac:dyDescent="0.25">
      <c r="A2119" s="109">
        <v>3195</v>
      </c>
      <c r="B2119" t="s">
        <v>2752</v>
      </c>
      <c r="C2119" t="s">
        <v>1991</v>
      </c>
      <c r="D2119" s="110">
        <v>-38</v>
      </c>
      <c r="E2119" t="str">
        <f t="shared" si="85"/>
        <v>4</v>
      </c>
      <c r="F2119" t="str">
        <f t="shared" si="86"/>
        <v>1.6</v>
      </c>
    </row>
    <row r="2120" spans="1:6" x14ac:dyDescent="0.25">
      <c r="A2120" s="109">
        <v>3196</v>
      </c>
      <c r="B2120" t="s">
        <v>2753</v>
      </c>
      <c r="C2120" t="s">
        <v>1991</v>
      </c>
      <c r="D2120" s="110">
        <v>-38</v>
      </c>
      <c r="E2120" t="str">
        <f t="shared" si="85"/>
        <v>4</v>
      </c>
      <c r="F2120" t="str">
        <f t="shared" si="86"/>
        <v>1.6</v>
      </c>
    </row>
    <row r="2121" spans="1:6" x14ac:dyDescent="0.25">
      <c r="A2121" s="109">
        <v>3197</v>
      </c>
      <c r="B2121" t="s">
        <v>2754</v>
      </c>
      <c r="C2121" t="s">
        <v>1991</v>
      </c>
      <c r="D2121" s="110">
        <v>-38</v>
      </c>
      <c r="E2121" t="str">
        <f t="shared" si="85"/>
        <v>4</v>
      </c>
      <c r="F2121" t="str">
        <f t="shared" si="86"/>
        <v>1.6</v>
      </c>
    </row>
    <row r="2122" spans="1:6" x14ac:dyDescent="0.25">
      <c r="A2122" s="109">
        <v>3198</v>
      </c>
      <c r="B2122" t="s">
        <v>2755</v>
      </c>
      <c r="C2122" t="s">
        <v>1991</v>
      </c>
      <c r="D2122" s="110">
        <v>-38</v>
      </c>
      <c r="E2122" t="str">
        <f t="shared" si="85"/>
        <v>4</v>
      </c>
      <c r="F2122" t="str">
        <f t="shared" si="86"/>
        <v>1.6</v>
      </c>
    </row>
    <row r="2123" spans="1:6" x14ac:dyDescent="0.25">
      <c r="A2123" s="109">
        <v>3199</v>
      </c>
      <c r="B2123" t="s">
        <v>2756</v>
      </c>
      <c r="C2123" t="s">
        <v>1991</v>
      </c>
      <c r="D2123" s="110">
        <v>-38</v>
      </c>
      <c r="E2123" t="str">
        <f t="shared" si="85"/>
        <v>4</v>
      </c>
      <c r="F2123" t="str">
        <f t="shared" si="86"/>
        <v>1.6</v>
      </c>
    </row>
    <row r="2124" spans="1:6" x14ac:dyDescent="0.25">
      <c r="A2124" s="109">
        <v>3200</v>
      </c>
      <c r="B2124" t="s">
        <v>2757</v>
      </c>
      <c r="C2124" t="s">
        <v>1991</v>
      </c>
      <c r="D2124" s="110">
        <v>-38</v>
      </c>
      <c r="E2124" t="str">
        <f t="shared" si="85"/>
        <v>4</v>
      </c>
      <c r="F2124" t="str">
        <f t="shared" si="86"/>
        <v>1.6</v>
      </c>
    </row>
    <row r="2125" spans="1:6" x14ac:dyDescent="0.25">
      <c r="A2125" s="109">
        <v>3201</v>
      </c>
      <c r="B2125" t="s">
        <v>2758</v>
      </c>
      <c r="C2125" t="s">
        <v>1991</v>
      </c>
      <c r="D2125" s="110">
        <v>-38</v>
      </c>
      <c r="E2125" t="str">
        <f t="shared" si="85"/>
        <v>4</v>
      </c>
      <c r="F2125" t="str">
        <f t="shared" si="86"/>
        <v>1.6</v>
      </c>
    </row>
    <row r="2126" spans="1:6" x14ac:dyDescent="0.25">
      <c r="A2126" s="109">
        <v>3214</v>
      </c>
      <c r="B2126" t="s">
        <v>2759</v>
      </c>
      <c r="C2126" t="s">
        <v>1991</v>
      </c>
      <c r="D2126" s="110">
        <v>-38</v>
      </c>
      <c r="E2126" t="str">
        <f t="shared" si="85"/>
        <v>4</v>
      </c>
      <c r="F2126" t="str">
        <f t="shared" si="86"/>
        <v>1.6</v>
      </c>
    </row>
    <row r="2127" spans="1:6" x14ac:dyDescent="0.25">
      <c r="A2127" s="109">
        <v>3215</v>
      </c>
      <c r="B2127" t="s">
        <v>2760</v>
      </c>
      <c r="C2127" t="s">
        <v>1991</v>
      </c>
      <c r="D2127" s="110">
        <v>-38</v>
      </c>
      <c r="E2127" t="str">
        <f t="shared" si="85"/>
        <v>4</v>
      </c>
      <c r="F2127" t="str">
        <f t="shared" si="86"/>
        <v>1.6</v>
      </c>
    </row>
    <row r="2128" spans="1:6" x14ac:dyDescent="0.25">
      <c r="A2128" s="109">
        <v>3216</v>
      </c>
      <c r="B2128" t="s">
        <v>2761</v>
      </c>
      <c r="C2128" t="s">
        <v>1991</v>
      </c>
      <c r="D2128" s="110">
        <v>-38</v>
      </c>
      <c r="E2128" t="str">
        <f t="shared" si="85"/>
        <v>4</v>
      </c>
      <c r="F2128" t="str">
        <f t="shared" si="86"/>
        <v>1.6</v>
      </c>
    </row>
    <row r="2129" spans="1:6" x14ac:dyDescent="0.25">
      <c r="A2129" s="109">
        <v>3217</v>
      </c>
      <c r="B2129" t="s">
        <v>2762</v>
      </c>
      <c r="C2129" t="s">
        <v>1991</v>
      </c>
      <c r="D2129" s="110">
        <v>-38</v>
      </c>
      <c r="E2129" t="str">
        <f t="shared" si="85"/>
        <v>4</v>
      </c>
      <c r="F2129" t="str">
        <f t="shared" si="86"/>
        <v>1.6</v>
      </c>
    </row>
    <row r="2130" spans="1:6" x14ac:dyDescent="0.25">
      <c r="A2130" s="109">
        <v>3218</v>
      </c>
      <c r="B2130" t="s">
        <v>2763</v>
      </c>
      <c r="C2130" t="s">
        <v>1991</v>
      </c>
      <c r="D2130" s="110">
        <v>-38</v>
      </c>
      <c r="E2130" t="str">
        <f t="shared" si="85"/>
        <v>4</v>
      </c>
      <c r="F2130" t="str">
        <f t="shared" si="86"/>
        <v>1.6</v>
      </c>
    </row>
    <row r="2131" spans="1:6" x14ac:dyDescent="0.25">
      <c r="A2131" s="109">
        <v>3219</v>
      </c>
      <c r="B2131" t="s">
        <v>2764</v>
      </c>
      <c r="C2131" t="s">
        <v>1991</v>
      </c>
      <c r="D2131" s="110">
        <v>-38</v>
      </c>
      <c r="E2131" t="str">
        <f t="shared" si="85"/>
        <v>4</v>
      </c>
      <c r="F2131" t="str">
        <f t="shared" si="86"/>
        <v>1.6</v>
      </c>
    </row>
    <row r="2132" spans="1:6" x14ac:dyDescent="0.25">
      <c r="A2132" s="109">
        <v>3220</v>
      </c>
      <c r="B2132" t="s">
        <v>2765</v>
      </c>
      <c r="C2132" t="s">
        <v>1991</v>
      </c>
      <c r="D2132" s="110">
        <v>-38</v>
      </c>
      <c r="E2132" t="str">
        <f t="shared" si="85"/>
        <v>4</v>
      </c>
      <c r="F2132" t="str">
        <f t="shared" si="86"/>
        <v>1.6</v>
      </c>
    </row>
    <row r="2133" spans="1:6" x14ac:dyDescent="0.25">
      <c r="A2133" s="109">
        <v>3221</v>
      </c>
      <c r="B2133" t="s">
        <v>2766</v>
      </c>
      <c r="C2133" t="s">
        <v>1991</v>
      </c>
      <c r="D2133" s="110">
        <v>-38</v>
      </c>
      <c r="E2133" t="str">
        <f t="shared" si="85"/>
        <v>4</v>
      </c>
      <c r="F2133" t="str">
        <f t="shared" si="86"/>
        <v>1.6</v>
      </c>
    </row>
    <row r="2134" spans="1:6" x14ac:dyDescent="0.25">
      <c r="A2134" s="109">
        <v>3222</v>
      </c>
      <c r="B2134" t="s">
        <v>2767</v>
      </c>
      <c r="C2134" t="s">
        <v>1991</v>
      </c>
      <c r="D2134" s="110">
        <v>-38</v>
      </c>
      <c r="E2134" t="str">
        <f t="shared" si="85"/>
        <v>4</v>
      </c>
      <c r="F2134" t="str">
        <f t="shared" si="86"/>
        <v>1.6</v>
      </c>
    </row>
    <row r="2135" spans="1:6" x14ac:dyDescent="0.25">
      <c r="A2135" s="109">
        <v>3223</v>
      </c>
      <c r="B2135" t="s">
        <v>2768</v>
      </c>
      <c r="C2135" t="s">
        <v>1991</v>
      </c>
      <c r="D2135" s="110">
        <v>-38</v>
      </c>
      <c r="E2135" t="str">
        <f t="shared" si="85"/>
        <v>4</v>
      </c>
      <c r="F2135" t="str">
        <f t="shared" si="86"/>
        <v>1.6</v>
      </c>
    </row>
    <row r="2136" spans="1:6" x14ac:dyDescent="0.25">
      <c r="A2136" s="109">
        <v>3224</v>
      </c>
      <c r="B2136" t="s">
        <v>2769</v>
      </c>
      <c r="C2136" t="s">
        <v>1991</v>
      </c>
      <c r="D2136" s="110">
        <v>-38</v>
      </c>
      <c r="E2136" t="str">
        <f t="shared" si="85"/>
        <v>4</v>
      </c>
      <c r="F2136" t="str">
        <f t="shared" si="86"/>
        <v>1.6</v>
      </c>
    </row>
    <row r="2137" spans="1:6" x14ac:dyDescent="0.25">
      <c r="A2137" s="109">
        <v>3225</v>
      </c>
      <c r="B2137" t="s">
        <v>1642</v>
      </c>
      <c r="C2137" t="s">
        <v>1991</v>
      </c>
      <c r="D2137" s="110">
        <v>-38</v>
      </c>
      <c r="E2137" t="str">
        <f t="shared" si="85"/>
        <v>4</v>
      </c>
      <c r="F2137" t="str">
        <f t="shared" si="86"/>
        <v>1.6</v>
      </c>
    </row>
    <row r="2138" spans="1:6" x14ac:dyDescent="0.25">
      <c r="A2138" s="109">
        <v>3226</v>
      </c>
      <c r="B2138" t="s">
        <v>2770</v>
      </c>
      <c r="C2138" t="s">
        <v>1991</v>
      </c>
      <c r="D2138" s="110">
        <v>-38</v>
      </c>
      <c r="E2138" t="str">
        <f t="shared" si="85"/>
        <v>4</v>
      </c>
      <c r="F2138" t="str">
        <f t="shared" si="86"/>
        <v>1.6</v>
      </c>
    </row>
    <row r="2139" spans="1:6" x14ac:dyDescent="0.25">
      <c r="A2139" s="109">
        <v>3227</v>
      </c>
      <c r="B2139" t="s">
        <v>2771</v>
      </c>
      <c r="C2139" t="s">
        <v>1991</v>
      </c>
      <c r="D2139" s="110">
        <v>-38</v>
      </c>
      <c r="E2139" t="str">
        <f t="shared" si="85"/>
        <v>4</v>
      </c>
      <c r="F2139" t="str">
        <f t="shared" si="86"/>
        <v>1.6</v>
      </c>
    </row>
    <row r="2140" spans="1:6" x14ac:dyDescent="0.25">
      <c r="A2140" s="109">
        <v>3228</v>
      </c>
      <c r="B2140" t="s">
        <v>2772</v>
      </c>
      <c r="C2140" t="s">
        <v>1991</v>
      </c>
      <c r="D2140" s="110">
        <v>-38</v>
      </c>
      <c r="E2140" t="str">
        <f t="shared" si="85"/>
        <v>4</v>
      </c>
      <c r="F2140" t="str">
        <f t="shared" si="86"/>
        <v>1.6</v>
      </c>
    </row>
    <row r="2141" spans="1:6" x14ac:dyDescent="0.25">
      <c r="A2141" s="109">
        <v>3230</v>
      </c>
      <c r="B2141" t="s">
        <v>2773</v>
      </c>
      <c r="C2141" t="s">
        <v>1991</v>
      </c>
      <c r="D2141" s="110">
        <v>-38</v>
      </c>
      <c r="E2141" t="str">
        <f t="shared" si="85"/>
        <v>4</v>
      </c>
      <c r="F2141" t="str">
        <f t="shared" si="86"/>
        <v>1.6</v>
      </c>
    </row>
    <row r="2142" spans="1:6" x14ac:dyDescent="0.25">
      <c r="A2142" s="109">
        <v>3232</v>
      </c>
      <c r="B2142" t="s">
        <v>1308</v>
      </c>
      <c r="C2142" t="s">
        <v>1991</v>
      </c>
      <c r="D2142" s="110">
        <v>-38</v>
      </c>
      <c r="E2142" t="str">
        <f t="shared" si="85"/>
        <v>4</v>
      </c>
      <c r="F2142" t="str">
        <f t="shared" si="86"/>
        <v>1.6</v>
      </c>
    </row>
    <row r="2143" spans="1:6" x14ac:dyDescent="0.25">
      <c r="A2143" s="109">
        <v>3233</v>
      </c>
      <c r="B2143" t="s">
        <v>2774</v>
      </c>
      <c r="C2143" t="s">
        <v>1991</v>
      </c>
      <c r="D2143" s="110">
        <v>-38</v>
      </c>
      <c r="E2143" t="str">
        <f t="shared" si="85"/>
        <v>4</v>
      </c>
      <c r="F2143" t="str">
        <f t="shared" si="86"/>
        <v>1.6</v>
      </c>
    </row>
    <row r="2144" spans="1:6" x14ac:dyDescent="0.25">
      <c r="A2144" s="109">
        <v>3235</v>
      </c>
      <c r="B2144" t="s">
        <v>2775</v>
      </c>
      <c r="C2144" t="s">
        <v>1991</v>
      </c>
      <c r="D2144" s="110">
        <v>-38</v>
      </c>
      <c r="E2144" t="str">
        <f t="shared" si="85"/>
        <v>4</v>
      </c>
      <c r="F2144" t="str">
        <f t="shared" si="86"/>
        <v>1.6</v>
      </c>
    </row>
    <row r="2145" spans="1:6" x14ac:dyDescent="0.25">
      <c r="A2145" s="109">
        <v>3236</v>
      </c>
      <c r="B2145" t="s">
        <v>2776</v>
      </c>
      <c r="C2145" t="s">
        <v>1991</v>
      </c>
      <c r="D2145" s="110">
        <v>-38</v>
      </c>
      <c r="E2145" t="str">
        <f t="shared" si="85"/>
        <v>4</v>
      </c>
      <c r="F2145" t="str">
        <f t="shared" si="86"/>
        <v>1.6</v>
      </c>
    </row>
    <row r="2146" spans="1:6" x14ac:dyDescent="0.25">
      <c r="A2146" s="109">
        <v>3237</v>
      </c>
      <c r="B2146" t="s">
        <v>2777</v>
      </c>
      <c r="C2146" t="s">
        <v>1991</v>
      </c>
      <c r="D2146" s="110">
        <v>-38</v>
      </c>
      <c r="E2146" t="str">
        <f t="shared" si="85"/>
        <v>4</v>
      </c>
      <c r="F2146" t="str">
        <f t="shared" si="86"/>
        <v>1.6</v>
      </c>
    </row>
    <row r="2147" spans="1:6" x14ac:dyDescent="0.25">
      <c r="A2147" s="109">
        <v>3239</v>
      </c>
      <c r="B2147" t="s">
        <v>2778</v>
      </c>
      <c r="C2147" t="s">
        <v>1991</v>
      </c>
      <c r="D2147" s="110">
        <v>-38</v>
      </c>
      <c r="E2147" t="str">
        <f t="shared" si="85"/>
        <v>4</v>
      </c>
      <c r="F2147" t="str">
        <f t="shared" si="86"/>
        <v>1.6</v>
      </c>
    </row>
    <row r="2148" spans="1:6" x14ac:dyDescent="0.25">
      <c r="A2148" s="109">
        <v>3240</v>
      </c>
      <c r="B2148" t="s">
        <v>2779</v>
      </c>
      <c r="C2148" t="s">
        <v>1991</v>
      </c>
      <c r="D2148" s="110">
        <v>-38</v>
      </c>
      <c r="E2148" t="str">
        <f t="shared" si="85"/>
        <v>4</v>
      </c>
      <c r="F2148" t="str">
        <f t="shared" si="86"/>
        <v>1.6</v>
      </c>
    </row>
    <row r="2149" spans="1:6" x14ac:dyDescent="0.25">
      <c r="A2149" s="109">
        <v>3241</v>
      </c>
      <c r="B2149" t="s">
        <v>2780</v>
      </c>
      <c r="C2149" t="s">
        <v>1991</v>
      </c>
      <c r="D2149" s="110">
        <v>-38</v>
      </c>
      <c r="E2149" t="str">
        <f t="shared" si="85"/>
        <v>4</v>
      </c>
      <c r="F2149" t="str">
        <f t="shared" si="86"/>
        <v>1.6</v>
      </c>
    </row>
    <row r="2150" spans="1:6" x14ac:dyDescent="0.25">
      <c r="A2150" s="109">
        <v>3242</v>
      </c>
      <c r="B2150" t="s">
        <v>2781</v>
      </c>
      <c r="C2150" t="s">
        <v>1991</v>
      </c>
      <c r="D2150" s="110">
        <v>-38</v>
      </c>
      <c r="E2150" t="str">
        <f t="shared" si="85"/>
        <v>4</v>
      </c>
      <c r="F2150" t="str">
        <f t="shared" si="86"/>
        <v>1.6</v>
      </c>
    </row>
    <row r="2151" spans="1:6" x14ac:dyDescent="0.25">
      <c r="A2151" s="109">
        <v>3243</v>
      </c>
      <c r="B2151" t="s">
        <v>2782</v>
      </c>
      <c r="C2151" t="s">
        <v>1991</v>
      </c>
      <c r="D2151" s="110">
        <v>-38</v>
      </c>
      <c r="E2151" t="str">
        <f t="shared" si="85"/>
        <v>4</v>
      </c>
      <c r="F2151" t="str">
        <f t="shared" si="86"/>
        <v>1.6</v>
      </c>
    </row>
    <row r="2152" spans="1:6" x14ac:dyDescent="0.25">
      <c r="A2152" s="109">
        <v>3249</v>
      </c>
      <c r="B2152" t="s">
        <v>2783</v>
      </c>
      <c r="C2152" t="s">
        <v>1991</v>
      </c>
      <c r="D2152" s="110">
        <v>-38</v>
      </c>
      <c r="E2152" t="str">
        <f t="shared" si="85"/>
        <v>4</v>
      </c>
      <c r="F2152" t="str">
        <f t="shared" si="86"/>
        <v>1.6</v>
      </c>
    </row>
    <row r="2153" spans="1:6" x14ac:dyDescent="0.25">
      <c r="A2153" s="109">
        <v>3250</v>
      </c>
      <c r="B2153" t="s">
        <v>2784</v>
      </c>
      <c r="C2153" t="s">
        <v>1991</v>
      </c>
      <c r="D2153" s="110">
        <v>-38</v>
      </c>
      <c r="E2153" t="str">
        <f t="shared" si="85"/>
        <v>4</v>
      </c>
      <c r="F2153" t="str">
        <f t="shared" si="86"/>
        <v>1.6</v>
      </c>
    </row>
    <row r="2154" spans="1:6" x14ac:dyDescent="0.25">
      <c r="A2154" s="109">
        <v>3251</v>
      </c>
      <c r="B2154" t="s">
        <v>2785</v>
      </c>
      <c r="C2154" t="s">
        <v>1991</v>
      </c>
      <c r="D2154" s="110">
        <v>-38</v>
      </c>
      <c r="E2154" t="str">
        <f t="shared" si="85"/>
        <v>4</v>
      </c>
      <c r="F2154" t="str">
        <f t="shared" si="86"/>
        <v>1.6</v>
      </c>
    </row>
    <row r="2155" spans="1:6" x14ac:dyDescent="0.25">
      <c r="A2155" s="109">
        <v>3254</v>
      </c>
      <c r="B2155" t="s">
        <v>2786</v>
      </c>
      <c r="C2155" t="s">
        <v>1991</v>
      </c>
      <c r="D2155" s="110">
        <v>-38</v>
      </c>
      <c r="E2155" t="str">
        <f t="shared" si="85"/>
        <v>4</v>
      </c>
      <c r="F2155" t="str">
        <f t="shared" si="86"/>
        <v>1.6</v>
      </c>
    </row>
    <row r="2156" spans="1:6" x14ac:dyDescent="0.25">
      <c r="A2156" s="109">
        <v>3260</v>
      </c>
      <c r="B2156" t="s">
        <v>2787</v>
      </c>
      <c r="C2156" t="s">
        <v>1991</v>
      </c>
      <c r="D2156" s="110">
        <v>-38</v>
      </c>
      <c r="E2156" t="str">
        <f t="shared" si="85"/>
        <v>4</v>
      </c>
      <c r="F2156" t="str">
        <f t="shared" si="86"/>
        <v>1.6</v>
      </c>
    </row>
    <row r="2157" spans="1:6" x14ac:dyDescent="0.25">
      <c r="A2157" s="109">
        <v>3264</v>
      </c>
      <c r="B2157" t="s">
        <v>2788</v>
      </c>
      <c r="C2157" t="s">
        <v>1991</v>
      </c>
      <c r="D2157" s="110">
        <v>-38</v>
      </c>
      <c r="E2157" t="str">
        <f t="shared" si="85"/>
        <v>4</v>
      </c>
      <c r="F2157" t="str">
        <f t="shared" si="86"/>
        <v>1.6</v>
      </c>
    </row>
    <row r="2158" spans="1:6" x14ac:dyDescent="0.25">
      <c r="A2158" s="109">
        <v>3265</v>
      </c>
      <c r="B2158" t="s">
        <v>2789</v>
      </c>
      <c r="C2158" t="s">
        <v>1991</v>
      </c>
      <c r="D2158" s="111">
        <v>-38</v>
      </c>
      <c r="E2158" t="str">
        <f t="shared" si="85"/>
        <v>4</v>
      </c>
      <c r="F2158" t="str">
        <f t="shared" si="86"/>
        <v>1.6</v>
      </c>
    </row>
    <row r="2159" spans="1:6" x14ac:dyDescent="0.25">
      <c r="A2159" s="109">
        <v>3268</v>
      </c>
      <c r="B2159" t="s">
        <v>2790</v>
      </c>
      <c r="C2159" t="s">
        <v>1991</v>
      </c>
      <c r="D2159" s="110">
        <v>-38</v>
      </c>
      <c r="E2159" t="str">
        <f t="shared" si="85"/>
        <v>4</v>
      </c>
      <c r="F2159" t="str">
        <f t="shared" si="86"/>
        <v>1.6</v>
      </c>
    </row>
    <row r="2160" spans="1:6" x14ac:dyDescent="0.25">
      <c r="A2160" s="109">
        <v>3269</v>
      </c>
      <c r="B2160" t="s">
        <v>2791</v>
      </c>
      <c r="C2160" t="s">
        <v>1991</v>
      </c>
      <c r="D2160" s="110">
        <v>-38</v>
      </c>
      <c r="E2160" t="str">
        <f t="shared" si="85"/>
        <v>4</v>
      </c>
      <c r="F2160" t="str">
        <f t="shared" si="86"/>
        <v>1.6</v>
      </c>
    </row>
    <row r="2161" spans="1:6" x14ac:dyDescent="0.25">
      <c r="A2161" s="109">
        <v>3270</v>
      </c>
      <c r="B2161" t="s">
        <v>1828</v>
      </c>
      <c r="C2161" t="s">
        <v>1991</v>
      </c>
      <c r="D2161" s="110">
        <v>-38</v>
      </c>
      <c r="E2161" t="str">
        <f t="shared" si="85"/>
        <v>4</v>
      </c>
      <c r="F2161" t="str">
        <f t="shared" si="86"/>
        <v>1.6</v>
      </c>
    </row>
    <row r="2162" spans="1:6" x14ac:dyDescent="0.25">
      <c r="A2162" s="109">
        <v>3272</v>
      </c>
      <c r="B2162" t="s">
        <v>2792</v>
      </c>
      <c r="C2162" t="s">
        <v>1991</v>
      </c>
      <c r="D2162" s="110">
        <v>-38</v>
      </c>
      <c r="E2162" t="str">
        <f t="shared" si="85"/>
        <v>4</v>
      </c>
      <c r="F2162" t="str">
        <f t="shared" si="86"/>
        <v>1.6</v>
      </c>
    </row>
    <row r="2163" spans="1:6" x14ac:dyDescent="0.25">
      <c r="A2163" s="109">
        <v>3273</v>
      </c>
      <c r="B2163" t="s">
        <v>2793</v>
      </c>
      <c r="C2163" t="s">
        <v>1991</v>
      </c>
      <c r="D2163" s="110">
        <v>-38</v>
      </c>
      <c r="E2163" t="str">
        <f t="shared" si="85"/>
        <v>4</v>
      </c>
      <c r="F2163" t="str">
        <f t="shared" si="86"/>
        <v>1.6</v>
      </c>
    </row>
    <row r="2164" spans="1:6" x14ac:dyDescent="0.25">
      <c r="A2164" s="109">
        <v>3277</v>
      </c>
      <c r="B2164" t="s">
        <v>2794</v>
      </c>
      <c r="C2164" t="s">
        <v>1991</v>
      </c>
      <c r="D2164" s="110">
        <v>-38</v>
      </c>
      <c r="E2164" t="str">
        <f t="shared" si="85"/>
        <v>4</v>
      </c>
      <c r="F2164" t="str">
        <f t="shared" si="86"/>
        <v>1.6</v>
      </c>
    </row>
    <row r="2165" spans="1:6" x14ac:dyDescent="0.25">
      <c r="A2165" s="109">
        <v>3280</v>
      </c>
      <c r="B2165" t="s">
        <v>2795</v>
      </c>
      <c r="C2165" t="s">
        <v>1991</v>
      </c>
      <c r="D2165" s="110">
        <v>-38</v>
      </c>
      <c r="E2165" t="str">
        <f t="shared" si="85"/>
        <v>4</v>
      </c>
      <c r="F2165" t="str">
        <f t="shared" si="86"/>
        <v>1.6</v>
      </c>
    </row>
    <row r="2166" spans="1:6" x14ac:dyDescent="0.25">
      <c r="A2166" s="109">
        <v>3281</v>
      </c>
      <c r="B2166" t="s">
        <v>894</v>
      </c>
      <c r="C2166" t="s">
        <v>1991</v>
      </c>
      <c r="D2166" s="110">
        <v>-38</v>
      </c>
      <c r="E2166" t="str">
        <f t="shared" ref="E2166:E2167" si="87">IF(D2166&lt;-34,"4",IF(D2166&lt;-26,"3",IF(D2166&lt;-18,"2",IF(D2166&lt;-8,"1","lits"))))</f>
        <v>4</v>
      </c>
      <c r="F2166" t="str">
        <f t="shared" si="86"/>
        <v>1.6</v>
      </c>
    </row>
    <row r="2167" spans="1:6" x14ac:dyDescent="0.25">
      <c r="A2167" s="109">
        <v>3282</v>
      </c>
      <c r="B2167" t="s">
        <v>2796</v>
      </c>
      <c r="C2167" t="s">
        <v>1991</v>
      </c>
      <c r="D2167" s="110">
        <v>-38</v>
      </c>
      <c r="E2167" t="str">
        <f t="shared" si="87"/>
        <v>4</v>
      </c>
      <c r="F2167" t="str">
        <f t="shared" si="86"/>
        <v>1.6</v>
      </c>
    </row>
    <row r="2168" spans="1:6" x14ac:dyDescent="0.25">
      <c r="A2168" s="109">
        <v>3284</v>
      </c>
      <c r="B2168" t="s">
        <v>2797</v>
      </c>
      <c r="C2168" t="s">
        <v>1991</v>
      </c>
      <c r="D2168" s="110">
        <v>-38</v>
      </c>
      <c r="E2168" t="str">
        <f t="shared" ref="E2168:E2231" si="88">IF(D2168&lt;-34,"4",IF(D2168&lt;-26,"3",IF(D2168&lt;-18,"2",IF(D2168&lt;-8,"1","lits"))))</f>
        <v>4</v>
      </c>
      <c r="F2168" t="str">
        <f t="shared" si="86"/>
        <v>1.6</v>
      </c>
    </row>
    <row r="2169" spans="1:6" x14ac:dyDescent="0.25">
      <c r="A2169" s="109">
        <v>3285</v>
      </c>
      <c r="B2169" t="s">
        <v>2798</v>
      </c>
      <c r="C2169" t="s">
        <v>1991</v>
      </c>
      <c r="D2169" s="110">
        <v>-38</v>
      </c>
      <c r="E2169" t="str">
        <f t="shared" si="88"/>
        <v>4</v>
      </c>
      <c r="F2169" t="str">
        <f t="shared" si="86"/>
        <v>1.6</v>
      </c>
    </row>
    <row r="2170" spans="1:6" x14ac:dyDescent="0.25">
      <c r="A2170" s="109">
        <v>3286</v>
      </c>
      <c r="B2170" t="s">
        <v>2799</v>
      </c>
      <c r="C2170" t="s">
        <v>1991</v>
      </c>
      <c r="D2170" s="110">
        <v>-38</v>
      </c>
      <c r="E2170" t="str">
        <f t="shared" si="88"/>
        <v>4</v>
      </c>
      <c r="F2170" t="str">
        <f t="shared" si="86"/>
        <v>1.6</v>
      </c>
    </row>
    <row r="2171" spans="1:6" x14ac:dyDescent="0.25">
      <c r="A2171" s="109">
        <v>3287</v>
      </c>
      <c r="B2171" t="s">
        <v>2800</v>
      </c>
      <c r="C2171" t="s">
        <v>1991</v>
      </c>
      <c r="D2171" s="110">
        <v>-38</v>
      </c>
      <c r="E2171" t="str">
        <f t="shared" si="88"/>
        <v>4</v>
      </c>
      <c r="F2171" t="str">
        <f t="shared" si="86"/>
        <v>1.6</v>
      </c>
    </row>
    <row r="2172" spans="1:6" x14ac:dyDescent="0.25">
      <c r="A2172" s="109">
        <v>3292</v>
      </c>
      <c r="B2172" t="s">
        <v>2801</v>
      </c>
      <c r="C2172" t="s">
        <v>1991</v>
      </c>
      <c r="D2172" s="110">
        <v>-38</v>
      </c>
      <c r="E2172" t="str">
        <f t="shared" si="88"/>
        <v>4</v>
      </c>
      <c r="F2172" t="str">
        <f t="shared" si="86"/>
        <v>1.6</v>
      </c>
    </row>
    <row r="2173" spans="1:6" x14ac:dyDescent="0.25">
      <c r="A2173" s="109">
        <v>3305</v>
      </c>
      <c r="B2173" t="s">
        <v>1813</v>
      </c>
      <c r="C2173" t="s">
        <v>1991</v>
      </c>
      <c r="D2173" s="110">
        <v>-38</v>
      </c>
      <c r="E2173" t="str">
        <f t="shared" si="88"/>
        <v>4</v>
      </c>
      <c r="F2173" t="str">
        <f t="shared" si="86"/>
        <v>1.6</v>
      </c>
    </row>
    <row r="2174" spans="1:6" x14ac:dyDescent="0.25">
      <c r="A2174" s="109">
        <v>3321</v>
      </c>
      <c r="B2174" t="s">
        <v>2802</v>
      </c>
      <c r="C2174" t="s">
        <v>1991</v>
      </c>
      <c r="D2174" s="110">
        <v>-38</v>
      </c>
      <c r="E2174" t="str">
        <f t="shared" si="88"/>
        <v>4</v>
      </c>
      <c r="F2174" t="str">
        <f t="shared" si="86"/>
        <v>1.6</v>
      </c>
    </row>
    <row r="2175" spans="1:6" x14ac:dyDescent="0.25">
      <c r="A2175" s="109">
        <v>3322</v>
      </c>
      <c r="B2175" t="s">
        <v>2803</v>
      </c>
      <c r="C2175" t="s">
        <v>1991</v>
      </c>
      <c r="D2175" s="110">
        <v>-38</v>
      </c>
      <c r="E2175" t="str">
        <f t="shared" si="88"/>
        <v>4</v>
      </c>
      <c r="F2175" t="str">
        <f t="shared" si="86"/>
        <v>1.6</v>
      </c>
    </row>
    <row r="2176" spans="1:6" x14ac:dyDescent="0.25">
      <c r="A2176" s="109">
        <v>3328</v>
      </c>
      <c r="B2176" t="s">
        <v>2804</v>
      </c>
      <c r="C2176" t="s">
        <v>1991</v>
      </c>
      <c r="D2176" s="110">
        <v>-38</v>
      </c>
      <c r="E2176" t="str">
        <f t="shared" si="88"/>
        <v>4</v>
      </c>
      <c r="F2176" t="str">
        <f t="shared" si="86"/>
        <v>1.6</v>
      </c>
    </row>
    <row r="2177" spans="1:6" x14ac:dyDescent="0.25">
      <c r="A2177" s="109">
        <v>3803</v>
      </c>
      <c r="B2177" t="s">
        <v>2805</v>
      </c>
      <c r="C2177" t="s">
        <v>1991</v>
      </c>
      <c r="D2177" s="110">
        <v>-38</v>
      </c>
      <c r="E2177" t="str">
        <f t="shared" si="88"/>
        <v>4</v>
      </c>
      <c r="F2177" t="str">
        <f t="shared" si="86"/>
        <v>1.6</v>
      </c>
    </row>
    <row r="2178" spans="1:6" x14ac:dyDescent="0.25">
      <c r="A2178" s="109">
        <v>3804</v>
      </c>
      <c r="B2178" t="s">
        <v>2806</v>
      </c>
      <c r="C2178" t="s">
        <v>1991</v>
      </c>
      <c r="D2178" s="110">
        <v>-38</v>
      </c>
      <c r="E2178" t="str">
        <f t="shared" si="88"/>
        <v>4</v>
      </c>
      <c r="F2178" t="str">
        <f t="shared" si="86"/>
        <v>1.6</v>
      </c>
    </row>
    <row r="2179" spans="1:6" x14ac:dyDescent="0.25">
      <c r="A2179" s="109">
        <v>3805</v>
      </c>
      <c r="B2179" t="s">
        <v>2807</v>
      </c>
      <c r="C2179" t="s">
        <v>1991</v>
      </c>
      <c r="D2179" s="110">
        <v>-38</v>
      </c>
      <c r="E2179" t="str">
        <f t="shared" si="88"/>
        <v>4</v>
      </c>
      <c r="F2179" t="str">
        <f t="shared" ref="F2179:F2242" si="89">IF(D2179&lt;-34,"1.6",IF(D2179&lt;-26,"1.4",IF(D2179&lt;-18,"1.2",IF(D2179&lt;-8,"1","lits"))))</f>
        <v>1.6</v>
      </c>
    </row>
    <row r="2180" spans="1:6" x14ac:dyDescent="0.25">
      <c r="A2180" s="109">
        <v>3806</v>
      </c>
      <c r="B2180" t="s">
        <v>2808</v>
      </c>
      <c r="C2180" t="s">
        <v>1991</v>
      </c>
      <c r="D2180" s="110">
        <v>-38</v>
      </c>
      <c r="E2180" t="str">
        <f t="shared" si="88"/>
        <v>4</v>
      </c>
      <c r="F2180" t="str">
        <f t="shared" si="89"/>
        <v>1.6</v>
      </c>
    </row>
    <row r="2181" spans="1:6" x14ac:dyDescent="0.25">
      <c r="A2181" s="109">
        <v>3807</v>
      </c>
      <c r="B2181" t="s">
        <v>2809</v>
      </c>
      <c r="C2181" t="s">
        <v>1991</v>
      </c>
      <c r="D2181" s="110">
        <v>-38</v>
      </c>
      <c r="E2181" t="str">
        <f t="shared" si="88"/>
        <v>4</v>
      </c>
      <c r="F2181" t="str">
        <f t="shared" si="89"/>
        <v>1.6</v>
      </c>
    </row>
    <row r="2182" spans="1:6" x14ac:dyDescent="0.25">
      <c r="A2182" s="109">
        <v>3809</v>
      </c>
      <c r="B2182" t="s">
        <v>2810</v>
      </c>
      <c r="C2182" t="s">
        <v>1991</v>
      </c>
      <c r="D2182" s="110">
        <v>-38</v>
      </c>
      <c r="E2182" t="str">
        <f t="shared" si="88"/>
        <v>4</v>
      </c>
      <c r="F2182" t="str">
        <f t="shared" si="89"/>
        <v>1.6</v>
      </c>
    </row>
    <row r="2183" spans="1:6" x14ac:dyDescent="0.25">
      <c r="A2183" s="109">
        <v>3810</v>
      </c>
      <c r="B2183" t="s">
        <v>2811</v>
      </c>
      <c r="C2183" t="s">
        <v>1991</v>
      </c>
      <c r="D2183" s="110">
        <v>-38</v>
      </c>
      <c r="E2183" t="str">
        <f t="shared" si="88"/>
        <v>4</v>
      </c>
      <c r="F2183" t="str">
        <f t="shared" si="89"/>
        <v>1.6</v>
      </c>
    </row>
    <row r="2184" spans="1:6" x14ac:dyDescent="0.25">
      <c r="A2184" s="109">
        <v>3812</v>
      </c>
      <c r="B2184" t="s">
        <v>2812</v>
      </c>
      <c r="C2184" t="s">
        <v>1991</v>
      </c>
      <c r="D2184" s="110">
        <v>-38</v>
      </c>
      <c r="E2184" t="str">
        <f t="shared" si="88"/>
        <v>4</v>
      </c>
      <c r="F2184" t="str">
        <f t="shared" si="89"/>
        <v>1.6</v>
      </c>
    </row>
    <row r="2185" spans="1:6" x14ac:dyDescent="0.25">
      <c r="A2185" s="109">
        <v>3813</v>
      </c>
      <c r="B2185" t="s">
        <v>2813</v>
      </c>
      <c r="C2185" t="s">
        <v>1991</v>
      </c>
      <c r="D2185" s="110">
        <v>-38</v>
      </c>
      <c r="E2185" t="str">
        <f t="shared" si="88"/>
        <v>4</v>
      </c>
      <c r="F2185" t="str">
        <f t="shared" si="89"/>
        <v>1.6</v>
      </c>
    </row>
    <row r="2186" spans="1:6" x14ac:dyDescent="0.25">
      <c r="A2186" s="109">
        <v>3814</v>
      </c>
      <c r="B2186" t="s">
        <v>2814</v>
      </c>
      <c r="C2186" t="s">
        <v>1991</v>
      </c>
      <c r="D2186" s="110">
        <v>-38</v>
      </c>
      <c r="E2186" t="str">
        <f t="shared" si="88"/>
        <v>4</v>
      </c>
      <c r="F2186" t="str">
        <f t="shared" si="89"/>
        <v>1.6</v>
      </c>
    </row>
    <row r="2187" spans="1:6" x14ac:dyDescent="0.25">
      <c r="A2187" s="109">
        <v>3815</v>
      </c>
      <c r="B2187" t="s">
        <v>2815</v>
      </c>
      <c r="C2187" t="s">
        <v>1991</v>
      </c>
      <c r="D2187" s="110">
        <v>-38</v>
      </c>
      <c r="E2187" t="str">
        <f t="shared" si="88"/>
        <v>4</v>
      </c>
      <c r="F2187" t="str">
        <f t="shared" si="89"/>
        <v>1.6</v>
      </c>
    </row>
    <row r="2188" spans="1:6" x14ac:dyDescent="0.25">
      <c r="A2188" s="109">
        <v>3816</v>
      </c>
      <c r="B2188" t="s">
        <v>2816</v>
      </c>
      <c r="C2188" t="s">
        <v>1991</v>
      </c>
      <c r="D2188" s="110">
        <v>-38</v>
      </c>
      <c r="E2188" t="str">
        <f t="shared" si="88"/>
        <v>4</v>
      </c>
      <c r="F2188" t="str">
        <f t="shared" si="89"/>
        <v>1.6</v>
      </c>
    </row>
    <row r="2189" spans="1:6" x14ac:dyDescent="0.25">
      <c r="A2189" s="109">
        <v>3818</v>
      </c>
      <c r="B2189" t="s">
        <v>2817</v>
      </c>
      <c r="C2189" t="s">
        <v>1991</v>
      </c>
      <c r="D2189" s="110">
        <v>-38</v>
      </c>
      <c r="E2189" t="str">
        <f t="shared" si="88"/>
        <v>4</v>
      </c>
      <c r="F2189" t="str">
        <f t="shared" si="89"/>
        <v>1.6</v>
      </c>
    </row>
    <row r="2190" spans="1:6" x14ac:dyDescent="0.25">
      <c r="A2190" s="109">
        <v>3820</v>
      </c>
      <c r="B2190" t="s">
        <v>2818</v>
      </c>
      <c r="C2190" t="s">
        <v>1991</v>
      </c>
      <c r="D2190" s="110">
        <v>-38</v>
      </c>
      <c r="E2190" t="str">
        <f t="shared" si="88"/>
        <v>4</v>
      </c>
      <c r="F2190" t="str">
        <f t="shared" si="89"/>
        <v>1.6</v>
      </c>
    </row>
    <row r="2191" spans="1:6" x14ac:dyDescent="0.25">
      <c r="A2191" s="109">
        <v>3822</v>
      </c>
      <c r="B2191" t="s">
        <v>2819</v>
      </c>
      <c r="C2191" t="s">
        <v>1991</v>
      </c>
      <c r="D2191" s="110">
        <v>-38</v>
      </c>
      <c r="E2191" t="str">
        <f t="shared" si="88"/>
        <v>4</v>
      </c>
      <c r="F2191" t="str">
        <f t="shared" si="89"/>
        <v>1.6</v>
      </c>
    </row>
    <row r="2192" spans="1:6" x14ac:dyDescent="0.25">
      <c r="A2192" s="109">
        <v>3823</v>
      </c>
      <c r="B2192" t="s">
        <v>2820</v>
      </c>
      <c r="C2192" t="s">
        <v>1991</v>
      </c>
      <c r="D2192" s="110">
        <v>-38</v>
      </c>
      <c r="E2192" t="str">
        <f t="shared" si="88"/>
        <v>4</v>
      </c>
      <c r="F2192" t="str">
        <f t="shared" si="89"/>
        <v>1.6</v>
      </c>
    </row>
    <row r="2193" spans="1:6" x14ac:dyDescent="0.25">
      <c r="A2193" s="109">
        <v>3824</v>
      </c>
      <c r="B2193" t="s">
        <v>2821</v>
      </c>
      <c r="C2193" t="s">
        <v>1991</v>
      </c>
      <c r="D2193" s="110">
        <v>-38</v>
      </c>
      <c r="E2193" t="str">
        <f t="shared" si="88"/>
        <v>4</v>
      </c>
      <c r="F2193" t="str">
        <f t="shared" si="89"/>
        <v>1.6</v>
      </c>
    </row>
    <row r="2194" spans="1:6" x14ac:dyDescent="0.25">
      <c r="A2194" s="109">
        <v>3825</v>
      </c>
      <c r="B2194" t="s">
        <v>2822</v>
      </c>
      <c r="C2194" t="s">
        <v>1991</v>
      </c>
      <c r="D2194" s="110">
        <v>-38</v>
      </c>
      <c r="E2194" t="str">
        <f t="shared" si="88"/>
        <v>4</v>
      </c>
      <c r="F2194" t="str">
        <f t="shared" si="89"/>
        <v>1.6</v>
      </c>
    </row>
    <row r="2195" spans="1:6" x14ac:dyDescent="0.25">
      <c r="A2195" s="109">
        <v>3831</v>
      </c>
      <c r="B2195" t="s">
        <v>2823</v>
      </c>
      <c r="C2195" t="s">
        <v>1991</v>
      </c>
      <c r="D2195" s="110">
        <v>-38</v>
      </c>
      <c r="E2195" t="str">
        <f t="shared" si="88"/>
        <v>4</v>
      </c>
      <c r="F2195" t="str">
        <f t="shared" si="89"/>
        <v>1.6</v>
      </c>
    </row>
    <row r="2196" spans="1:6" x14ac:dyDescent="0.25">
      <c r="A2196" s="109">
        <v>3835</v>
      </c>
      <c r="B2196" t="s">
        <v>2824</v>
      </c>
      <c r="C2196" t="s">
        <v>1991</v>
      </c>
      <c r="D2196" s="110">
        <v>-38</v>
      </c>
      <c r="E2196" t="str">
        <f t="shared" si="88"/>
        <v>4</v>
      </c>
      <c r="F2196" t="str">
        <f t="shared" si="89"/>
        <v>1.6</v>
      </c>
    </row>
    <row r="2197" spans="1:6" x14ac:dyDescent="0.25">
      <c r="A2197" s="109">
        <v>3840</v>
      </c>
      <c r="B2197" t="s">
        <v>2825</v>
      </c>
      <c r="C2197" t="s">
        <v>1991</v>
      </c>
      <c r="D2197" s="110">
        <v>-38</v>
      </c>
      <c r="E2197" t="str">
        <f t="shared" si="88"/>
        <v>4</v>
      </c>
      <c r="F2197" t="str">
        <f t="shared" si="89"/>
        <v>1.6</v>
      </c>
    </row>
    <row r="2198" spans="1:6" x14ac:dyDescent="0.25">
      <c r="A2198" s="109">
        <v>3842</v>
      </c>
      <c r="B2198" t="s">
        <v>2826</v>
      </c>
      <c r="C2198" t="s">
        <v>1991</v>
      </c>
      <c r="D2198" s="110">
        <v>-38</v>
      </c>
      <c r="E2198" t="str">
        <f t="shared" si="88"/>
        <v>4</v>
      </c>
      <c r="F2198" t="str">
        <f t="shared" si="89"/>
        <v>1.6</v>
      </c>
    </row>
    <row r="2199" spans="1:6" x14ac:dyDescent="0.25">
      <c r="A2199" s="109">
        <v>3844</v>
      </c>
      <c r="B2199" t="s">
        <v>2827</v>
      </c>
      <c r="C2199" t="s">
        <v>1991</v>
      </c>
      <c r="D2199" s="110">
        <v>-38</v>
      </c>
      <c r="E2199" t="str">
        <f t="shared" si="88"/>
        <v>4</v>
      </c>
      <c r="F2199" t="str">
        <f t="shared" si="89"/>
        <v>1.6</v>
      </c>
    </row>
    <row r="2200" spans="1:6" x14ac:dyDescent="0.25">
      <c r="A2200" s="109">
        <v>3847</v>
      </c>
      <c r="B2200" t="s">
        <v>2828</v>
      </c>
      <c r="C2200" t="s">
        <v>1991</v>
      </c>
      <c r="D2200" s="110">
        <v>-38</v>
      </c>
      <c r="E2200" t="str">
        <f t="shared" si="88"/>
        <v>4</v>
      </c>
      <c r="F2200" t="str">
        <f t="shared" si="89"/>
        <v>1.6</v>
      </c>
    </row>
    <row r="2201" spans="1:6" x14ac:dyDescent="0.25">
      <c r="A2201" s="109">
        <v>3850</v>
      </c>
      <c r="B2201" t="s">
        <v>2829</v>
      </c>
      <c r="C2201" t="s">
        <v>1991</v>
      </c>
      <c r="D2201" s="110">
        <v>-38</v>
      </c>
      <c r="E2201" t="str">
        <f t="shared" si="88"/>
        <v>4</v>
      </c>
      <c r="F2201" t="str">
        <f t="shared" si="89"/>
        <v>1.6</v>
      </c>
    </row>
    <row r="2202" spans="1:6" x14ac:dyDescent="0.25">
      <c r="A2202" s="109">
        <v>3854</v>
      </c>
      <c r="B2202" t="s">
        <v>2830</v>
      </c>
      <c r="C2202" t="s">
        <v>1991</v>
      </c>
      <c r="D2202" s="110">
        <v>-38</v>
      </c>
      <c r="E2202" t="str">
        <f t="shared" si="88"/>
        <v>4</v>
      </c>
      <c r="F2202" t="str">
        <f t="shared" si="89"/>
        <v>1.6</v>
      </c>
    </row>
    <row r="2203" spans="1:6" x14ac:dyDescent="0.25">
      <c r="A2203" s="109">
        <v>3869</v>
      </c>
      <c r="B2203" t="s">
        <v>2831</v>
      </c>
      <c r="C2203" t="s">
        <v>1991</v>
      </c>
      <c r="D2203" s="110">
        <v>-38</v>
      </c>
      <c r="E2203" t="str">
        <f t="shared" si="88"/>
        <v>4</v>
      </c>
      <c r="F2203" t="str">
        <f t="shared" si="89"/>
        <v>1.6</v>
      </c>
    </row>
    <row r="2204" spans="1:6" x14ac:dyDescent="0.25">
      <c r="A2204" s="109">
        <v>3870</v>
      </c>
      <c r="B2204" t="s">
        <v>2832</v>
      </c>
      <c r="C2204" t="s">
        <v>1991</v>
      </c>
      <c r="D2204" s="110">
        <v>-38</v>
      </c>
      <c r="E2204" t="str">
        <f t="shared" si="88"/>
        <v>4</v>
      </c>
      <c r="F2204" t="str">
        <f t="shared" si="89"/>
        <v>1.6</v>
      </c>
    </row>
    <row r="2205" spans="1:6" x14ac:dyDescent="0.25">
      <c r="A2205" s="109">
        <v>3871</v>
      </c>
      <c r="B2205" t="s">
        <v>2833</v>
      </c>
      <c r="C2205" t="s">
        <v>1991</v>
      </c>
      <c r="D2205" s="110">
        <v>-38</v>
      </c>
      <c r="E2205" t="str">
        <f t="shared" si="88"/>
        <v>4</v>
      </c>
      <c r="F2205" t="str">
        <f t="shared" si="89"/>
        <v>1.6</v>
      </c>
    </row>
    <row r="2206" spans="1:6" x14ac:dyDescent="0.25">
      <c r="A2206" s="109">
        <v>3874</v>
      </c>
      <c r="B2206" t="s">
        <v>2092</v>
      </c>
      <c r="C2206" t="s">
        <v>1991</v>
      </c>
      <c r="D2206" s="110">
        <v>-38</v>
      </c>
      <c r="E2206" t="str">
        <f t="shared" si="88"/>
        <v>4</v>
      </c>
      <c r="F2206" t="str">
        <f t="shared" si="89"/>
        <v>1.6</v>
      </c>
    </row>
    <row r="2207" spans="1:6" x14ac:dyDescent="0.25">
      <c r="A2207" s="109">
        <v>3910</v>
      </c>
      <c r="B2207" t="s">
        <v>2834</v>
      </c>
      <c r="C2207" t="s">
        <v>1991</v>
      </c>
      <c r="D2207" s="110">
        <v>-38</v>
      </c>
      <c r="E2207" t="str">
        <f t="shared" si="88"/>
        <v>4</v>
      </c>
      <c r="F2207" t="str">
        <f t="shared" si="89"/>
        <v>1.6</v>
      </c>
    </row>
    <row r="2208" spans="1:6" x14ac:dyDescent="0.25">
      <c r="A2208" s="109">
        <v>3911</v>
      </c>
      <c r="B2208" t="s">
        <v>2835</v>
      </c>
      <c r="C2208" t="s">
        <v>1991</v>
      </c>
      <c r="D2208" s="110">
        <v>-38</v>
      </c>
      <c r="E2208" t="str">
        <f t="shared" si="88"/>
        <v>4</v>
      </c>
      <c r="F2208" t="str">
        <f t="shared" si="89"/>
        <v>1.6</v>
      </c>
    </row>
    <row r="2209" spans="1:6" x14ac:dyDescent="0.25">
      <c r="A2209" s="109">
        <v>3912</v>
      </c>
      <c r="B2209" t="s">
        <v>2836</v>
      </c>
      <c r="C2209" t="s">
        <v>1991</v>
      </c>
      <c r="D2209" s="110">
        <v>-38</v>
      </c>
      <c r="E2209" t="str">
        <f t="shared" si="88"/>
        <v>4</v>
      </c>
      <c r="F2209" t="str">
        <f t="shared" si="89"/>
        <v>1.6</v>
      </c>
    </row>
    <row r="2210" spans="1:6" x14ac:dyDescent="0.25">
      <c r="A2210" s="109">
        <v>3913</v>
      </c>
      <c r="B2210" t="s">
        <v>2837</v>
      </c>
      <c r="C2210" t="s">
        <v>1991</v>
      </c>
      <c r="D2210" s="110">
        <v>-38</v>
      </c>
      <c r="E2210" t="str">
        <f t="shared" si="88"/>
        <v>4</v>
      </c>
      <c r="F2210" t="str">
        <f t="shared" si="89"/>
        <v>1.6</v>
      </c>
    </row>
    <row r="2211" spans="1:6" x14ac:dyDescent="0.25">
      <c r="A2211" s="109">
        <v>3915</v>
      </c>
      <c r="B2211" t="s">
        <v>2838</v>
      </c>
      <c r="C2211" t="s">
        <v>1991</v>
      </c>
      <c r="D2211" s="110">
        <v>-38</v>
      </c>
      <c r="E2211" t="str">
        <f t="shared" si="88"/>
        <v>4</v>
      </c>
      <c r="F2211" t="str">
        <f t="shared" si="89"/>
        <v>1.6</v>
      </c>
    </row>
    <row r="2212" spans="1:6" x14ac:dyDescent="0.25">
      <c r="A2212" s="109">
        <v>3916</v>
      </c>
      <c r="B2212" t="s">
        <v>2839</v>
      </c>
      <c r="C2212" t="s">
        <v>1991</v>
      </c>
      <c r="D2212" s="110">
        <v>-38</v>
      </c>
      <c r="E2212" t="str">
        <f t="shared" si="88"/>
        <v>4</v>
      </c>
      <c r="F2212" t="str">
        <f t="shared" si="89"/>
        <v>1.6</v>
      </c>
    </row>
    <row r="2213" spans="1:6" x14ac:dyDescent="0.25">
      <c r="A2213" s="109">
        <v>3918</v>
      </c>
      <c r="B2213" t="s">
        <v>2840</v>
      </c>
      <c r="C2213" t="s">
        <v>1991</v>
      </c>
      <c r="D2213" s="110">
        <v>-38</v>
      </c>
      <c r="E2213" t="str">
        <f t="shared" si="88"/>
        <v>4</v>
      </c>
      <c r="F2213" t="str">
        <f t="shared" si="89"/>
        <v>1.6</v>
      </c>
    </row>
    <row r="2214" spans="1:6" x14ac:dyDescent="0.25">
      <c r="A2214" s="109">
        <v>3919</v>
      </c>
      <c r="B2214" t="s">
        <v>2841</v>
      </c>
      <c r="C2214" t="s">
        <v>1991</v>
      </c>
      <c r="D2214" s="110">
        <v>-38</v>
      </c>
      <c r="E2214" t="str">
        <f t="shared" si="88"/>
        <v>4</v>
      </c>
      <c r="F2214" t="str">
        <f t="shared" si="89"/>
        <v>1.6</v>
      </c>
    </row>
    <row r="2215" spans="1:6" x14ac:dyDescent="0.25">
      <c r="A2215" s="109">
        <v>3920</v>
      </c>
      <c r="B2215" t="s">
        <v>2842</v>
      </c>
      <c r="C2215" t="s">
        <v>1991</v>
      </c>
      <c r="D2215" s="110">
        <v>-38</v>
      </c>
      <c r="E2215" t="str">
        <f t="shared" si="88"/>
        <v>4</v>
      </c>
      <c r="F2215" t="str">
        <f t="shared" si="89"/>
        <v>1.6</v>
      </c>
    </row>
    <row r="2216" spans="1:6" x14ac:dyDescent="0.25">
      <c r="A2216" s="109">
        <v>3921</v>
      </c>
      <c r="B2216" t="s">
        <v>2843</v>
      </c>
      <c r="C2216" t="s">
        <v>1991</v>
      </c>
      <c r="D2216" s="110">
        <v>-38</v>
      </c>
      <c r="E2216" t="str">
        <f t="shared" si="88"/>
        <v>4</v>
      </c>
      <c r="F2216" t="str">
        <f t="shared" si="89"/>
        <v>1.6</v>
      </c>
    </row>
    <row r="2217" spans="1:6" x14ac:dyDescent="0.25">
      <c r="A2217" s="109">
        <v>3922</v>
      </c>
      <c r="B2217" t="s">
        <v>2844</v>
      </c>
      <c r="C2217" t="s">
        <v>1991</v>
      </c>
      <c r="D2217" s="110">
        <v>-38</v>
      </c>
      <c r="E2217" t="str">
        <f t="shared" si="88"/>
        <v>4</v>
      </c>
      <c r="F2217" t="str">
        <f t="shared" si="89"/>
        <v>1.6</v>
      </c>
    </row>
    <row r="2218" spans="1:6" x14ac:dyDescent="0.25">
      <c r="A2218" s="109">
        <v>3923</v>
      </c>
      <c r="B2218" t="s">
        <v>2845</v>
      </c>
      <c r="C2218" t="s">
        <v>1991</v>
      </c>
      <c r="D2218" s="110">
        <v>-38</v>
      </c>
      <c r="E2218" t="str">
        <f t="shared" si="88"/>
        <v>4</v>
      </c>
      <c r="F2218" t="str">
        <f t="shared" si="89"/>
        <v>1.6</v>
      </c>
    </row>
    <row r="2219" spans="1:6" x14ac:dyDescent="0.25">
      <c r="A2219" s="109">
        <v>3925</v>
      </c>
      <c r="B2219" t="s">
        <v>1752</v>
      </c>
      <c r="C2219" t="s">
        <v>1991</v>
      </c>
      <c r="D2219" s="110">
        <v>-38</v>
      </c>
      <c r="E2219" t="str">
        <f t="shared" si="88"/>
        <v>4</v>
      </c>
      <c r="F2219" t="str">
        <f t="shared" si="89"/>
        <v>1.6</v>
      </c>
    </row>
    <row r="2220" spans="1:6" x14ac:dyDescent="0.25">
      <c r="A2220" s="109">
        <v>3926</v>
      </c>
      <c r="B2220" t="s">
        <v>2846</v>
      </c>
      <c r="C2220" t="s">
        <v>1991</v>
      </c>
      <c r="D2220" s="110">
        <v>-38</v>
      </c>
      <c r="E2220" t="str">
        <f t="shared" si="88"/>
        <v>4</v>
      </c>
      <c r="F2220" t="str">
        <f t="shared" si="89"/>
        <v>1.6</v>
      </c>
    </row>
    <row r="2221" spans="1:6" x14ac:dyDescent="0.25">
      <c r="A2221" s="109">
        <v>3927</v>
      </c>
      <c r="B2221" t="s">
        <v>2847</v>
      </c>
      <c r="C2221" t="s">
        <v>1991</v>
      </c>
      <c r="D2221" s="110">
        <v>-38</v>
      </c>
      <c r="E2221" t="str">
        <f t="shared" si="88"/>
        <v>4</v>
      </c>
      <c r="F2221" t="str">
        <f t="shared" si="89"/>
        <v>1.6</v>
      </c>
    </row>
    <row r="2222" spans="1:6" x14ac:dyDescent="0.25">
      <c r="A2222" s="109">
        <v>3928</v>
      </c>
      <c r="B2222" t="s">
        <v>2848</v>
      </c>
      <c r="C2222" t="s">
        <v>1991</v>
      </c>
      <c r="D2222" s="110">
        <v>-38</v>
      </c>
      <c r="E2222" t="str">
        <f t="shared" si="88"/>
        <v>4</v>
      </c>
      <c r="F2222" t="str">
        <f t="shared" si="89"/>
        <v>1.6</v>
      </c>
    </row>
    <row r="2223" spans="1:6" x14ac:dyDescent="0.25">
      <c r="A2223" s="109">
        <v>3929</v>
      </c>
      <c r="B2223" t="s">
        <v>2849</v>
      </c>
      <c r="C2223" t="s">
        <v>1991</v>
      </c>
      <c r="D2223" s="110">
        <v>-38</v>
      </c>
      <c r="E2223" t="str">
        <f t="shared" si="88"/>
        <v>4</v>
      </c>
      <c r="F2223" t="str">
        <f t="shared" si="89"/>
        <v>1.6</v>
      </c>
    </row>
    <row r="2224" spans="1:6" x14ac:dyDescent="0.25">
      <c r="A2224" s="109">
        <v>3930</v>
      </c>
      <c r="B2224" t="s">
        <v>2850</v>
      </c>
      <c r="C2224" t="s">
        <v>1991</v>
      </c>
      <c r="D2224" s="110">
        <v>-38</v>
      </c>
      <c r="E2224" t="str">
        <f t="shared" si="88"/>
        <v>4</v>
      </c>
      <c r="F2224" t="str">
        <f t="shared" si="89"/>
        <v>1.6</v>
      </c>
    </row>
    <row r="2225" spans="1:6" x14ac:dyDescent="0.25">
      <c r="A2225" s="109">
        <v>3931</v>
      </c>
      <c r="B2225" t="s">
        <v>2851</v>
      </c>
      <c r="C2225" t="s">
        <v>1991</v>
      </c>
      <c r="D2225" s="110">
        <v>-38</v>
      </c>
      <c r="E2225" t="str">
        <f t="shared" si="88"/>
        <v>4</v>
      </c>
      <c r="F2225" t="str">
        <f t="shared" si="89"/>
        <v>1.6</v>
      </c>
    </row>
    <row r="2226" spans="1:6" x14ac:dyDescent="0.25">
      <c r="A2226" s="109">
        <v>3933</v>
      </c>
      <c r="B2226" t="s">
        <v>2852</v>
      </c>
      <c r="C2226" t="s">
        <v>1991</v>
      </c>
      <c r="D2226" s="110">
        <v>-38</v>
      </c>
      <c r="E2226" t="str">
        <f t="shared" si="88"/>
        <v>4</v>
      </c>
      <c r="F2226" t="str">
        <f t="shared" si="89"/>
        <v>1.6</v>
      </c>
    </row>
    <row r="2227" spans="1:6" x14ac:dyDescent="0.25">
      <c r="A2227" s="109">
        <v>3934</v>
      </c>
      <c r="B2227" t="s">
        <v>2853</v>
      </c>
      <c r="C2227" t="s">
        <v>1991</v>
      </c>
      <c r="D2227" s="110">
        <v>-38</v>
      </c>
      <c r="E2227" t="str">
        <f t="shared" si="88"/>
        <v>4</v>
      </c>
      <c r="F2227" t="str">
        <f t="shared" si="89"/>
        <v>1.6</v>
      </c>
    </row>
    <row r="2228" spans="1:6" x14ac:dyDescent="0.25">
      <c r="A2228" s="109">
        <v>3936</v>
      </c>
      <c r="B2228" t="s">
        <v>2854</v>
      </c>
      <c r="C2228" t="s">
        <v>1991</v>
      </c>
      <c r="D2228" s="110">
        <v>-38</v>
      </c>
      <c r="E2228" t="str">
        <f t="shared" si="88"/>
        <v>4</v>
      </c>
      <c r="F2228" t="str">
        <f t="shared" si="89"/>
        <v>1.6</v>
      </c>
    </row>
    <row r="2229" spans="1:6" x14ac:dyDescent="0.25">
      <c r="A2229" s="109">
        <v>3937</v>
      </c>
      <c r="B2229" t="s">
        <v>2855</v>
      </c>
      <c r="C2229" t="s">
        <v>1991</v>
      </c>
      <c r="D2229" s="110">
        <v>-38</v>
      </c>
      <c r="E2229" t="str">
        <f t="shared" si="88"/>
        <v>4</v>
      </c>
      <c r="F2229" t="str">
        <f t="shared" si="89"/>
        <v>1.6</v>
      </c>
    </row>
    <row r="2230" spans="1:6" x14ac:dyDescent="0.25">
      <c r="A2230" s="109">
        <v>3938</v>
      </c>
      <c r="B2230" t="s">
        <v>2856</v>
      </c>
      <c r="C2230" t="s">
        <v>1991</v>
      </c>
      <c r="D2230" s="110">
        <v>-38</v>
      </c>
      <c r="E2230" t="str">
        <f t="shared" si="88"/>
        <v>4</v>
      </c>
      <c r="F2230" t="str">
        <f t="shared" si="89"/>
        <v>1.6</v>
      </c>
    </row>
    <row r="2231" spans="1:6" x14ac:dyDescent="0.25">
      <c r="A2231" s="109">
        <v>3939</v>
      </c>
      <c r="B2231" t="s">
        <v>2857</v>
      </c>
      <c r="C2231" t="s">
        <v>1991</v>
      </c>
      <c r="D2231" s="110">
        <v>-38</v>
      </c>
      <c r="E2231" t="str">
        <f t="shared" si="88"/>
        <v>4</v>
      </c>
      <c r="F2231" t="str">
        <f t="shared" si="89"/>
        <v>1.6</v>
      </c>
    </row>
    <row r="2232" spans="1:6" x14ac:dyDescent="0.25">
      <c r="A2232" s="109">
        <v>3940</v>
      </c>
      <c r="B2232" t="s">
        <v>2858</v>
      </c>
      <c r="C2232" t="s">
        <v>1991</v>
      </c>
      <c r="D2232" s="110">
        <v>-38</v>
      </c>
      <c r="E2232" t="str">
        <f t="shared" ref="E2232:E2295" si="90">IF(D2232&lt;-34,"4",IF(D2232&lt;-26,"3",IF(D2232&lt;-18,"2",IF(D2232&lt;-8,"1","lits"))))</f>
        <v>4</v>
      </c>
      <c r="F2232" t="str">
        <f t="shared" si="89"/>
        <v>1.6</v>
      </c>
    </row>
    <row r="2233" spans="1:6" x14ac:dyDescent="0.25">
      <c r="A2233" s="109">
        <v>3941</v>
      </c>
      <c r="B2233" t="s">
        <v>2859</v>
      </c>
      <c r="C2233" t="s">
        <v>1991</v>
      </c>
      <c r="D2233" s="110">
        <v>-38</v>
      </c>
      <c r="E2233" t="str">
        <f t="shared" si="90"/>
        <v>4</v>
      </c>
      <c r="F2233" t="str">
        <f t="shared" si="89"/>
        <v>1.6</v>
      </c>
    </row>
    <row r="2234" spans="1:6" x14ac:dyDescent="0.25">
      <c r="A2234" s="109">
        <v>3942</v>
      </c>
      <c r="B2234" t="s">
        <v>2860</v>
      </c>
      <c r="C2234" t="s">
        <v>1991</v>
      </c>
      <c r="D2234" s="110">
        <v>-38</v>
      </c>
      <c r="E2234" t="str">
        <f t="shared" si="90"/>
        <v>4</v>
      </c>
      <c r="F2234" t="str">
        <f t="shared" si="89"/>
        <v>1.6</v>
      </c>
    </row>
    <row r="2235" spans="1:6" x14ac:dyDescent="0.25">
      <c r="A2235" s="109">
        <v>3943</v>
      </c>
      <c r="B2235" t="s">
        <v>2861</v>
      </c>
      <c r="C2235" t="s">
        <v>1991</v>
      </c>
      <c r="D2235" s="110">
        <v>-38</v>
      </c>
      <c r="E2235" t="str">
        <f t="shared" si="90"/>
        <v>4</v>
      </c>
      <c r="F2235" t="str">
        <f t="shared" si="89"/>
        <v>1.6</v>
      </c>
    </row>
    <row r="2236" spans="1:6" x14ac:dyDescent="0.25">
      <c r="A2236" s="109">
        <v>3944</v>
      </c>
      <c r="B2236" t="s">
        <v>2862</v>
      </c>
      <c r="C2236" t="s">
        <v>1991</v>
      </c>
      <c r="D2236" s="110">
        <v>-38</v>
      </c>
      <c r="E2236" t="str">
        <f t="shared" si="90"/>
        <v>4</v>
      </c>
      <c r="F2236" t="str">
        <f t="shared" si="89"/>
        <v>1.6</v>
      </c>
    </row>
    <row r="2237" spans="1:6" x14ac:dyDescent="0.25">
      <c r="A2237" s="109">
        <v>3945</v>
      </c>
      <c r="B2237" t="s">
        <v>2863</v>
      </c>
      <c r="C2237" t="s">
        <v>1991</v>
      </c>
      <c r="D2237" s="110">
        <v>-38</v>
      </c>
      <c r="E2237" t="str">
        <f t="shared" si="90"/>
        <v>4</v>
      </c>
      <c r="F2237" t="str">
        <f t="shared" si="89"/>
        <v>1.6</v>
      </c>
    </row>
    <row r="2238" spans="1:6" x14ac:dyDescent="0.25">
      <c r="A2238" s="109">
        <v>3950</v>
      </c>
      <c r="B2238" t="s">
        <v>2864</v>
      </c>
      <c r="C2238" t="s">
        <v>1991</v>
      </c>
      <c r="D2238" s="110">
        <v>-38</v>
      </c>
      <c r="E2238" t="str">
        <f t="shared" si="90"/>
        <v>4</v>
      </c>
      <c r="F2238" t="str">
        <f t="shared" si="89"/>
        <v>1.6</v>
      </c>
    </row>
    <row r="2239" spans="1:6" x14ac:dyDescent="0.25">
      <c r="A2239" s="109">
        <v>3951</v>
      </c>
      <c r="B2239" t="s">
        <v>2865</v>
      </c>
      <c r="C2239" t="s">
        <v>1991</v>
      </c>
      <c r="D2239" s="110">
        <v>-38</v>
      </c>
      <c r="E2239" t="str">
        <f t="shared" si="90"/>
        <v>4</v>
      </c>
      <c r="F2239" t="str">
        <f t="shared" si="89"/>
        <v>1.6</v>
      </c>
    </row>
    <row r="2240" spans="1:6" x14ac:dyDescent="0.25">
      <c r="A2240" s="109">
        <v>3953</v>
      </c>
      <c r="B2240" t="s">
        <v>2866</v>
      </c>
      <c r="C2240" t="s">
        <v>1991</v>
      </c>
      <c r="D2240" s="110">
        <v>-38</v>
      </c>
      <c r="E2240" t="str">
        <f t="shared" si="90"/>
        <v>4</v>
      </c>
      <c r="F2240" t="str">
        <f t="shared" si="89"/>
        <v>1.6</v>
      </c>
    </row>
    <row r="2241" spans="1:6" x14ac:dyDescent="0.25">
      <c r="A2241" s="109">
        <v>3956</v>
      </c>
      <c r="B2241" t="s">
        <v>2867</v>
      </c>
      <c r="C2241" t="s">
        <v>1991</v>
      </c>
      <c r="D2241" s="110">
        <v>-38</v>
      </c>
      <c r="E2241" t="str">
        <f t="shared" si="90"/>
        <v>4</v>
      </c>
      <c r="F2241" t="str">
        <f t="shared" si="89"/>
        <v>1.6</v>
      </c>
    </row>
    <row r="2242" spans="1:6" x14ac:dyDescent="0.25">
      <c r="A2242" s="109">
        <v>3957</v>
      </c>
      <c r="B2242" t="s">
        <v>2868</v>
      </c>
      <c r="C2242" t="s">
        <v>1991</v>
      </c>
      <c r="D2242" s="110">
        <v>-38</v>
      </c>
      <c r="E2242" t="str">
        <f t="shared" si="90"/>
        <v>4</v>
      </c>
      <c r="F2242" t="str">
        <f t="shared" si="89"/>
        <v>1.6</v>
      </c>
    </row>
    <row r="2243" spans="1:6" x14ac:dyDescent="0.25">
      <c r="A2243" s="109">
        <v>3959</v>
      </c>
      <c r="B2243" t="s">
        <v>2869</v>
      </c>
      <c r="C2243" t="s">
        <v>1991</v>
      </c>
      <c r="D2243" s="110">
        <v>-38</v>
      </c>
      <c r="E2243" t="str">
        <f t="shared" si="90"/>
        <v>4</v>
      </c>
      <c r="F2243" t="str">
        <f t="shared" ref="F2243:F2306" si="91">IF(D2243&lt;-34,"1.6",IF(D2243&lt;-26,"1.4",IF(D2243&lt;-18,"1.2",IF(D2243&lt;-8,"1","lits"))))</f>
        <v>1.6</v>
      </c>
    </row>
    <row r="2244" spans="1:6" x14ac:dyDescent="0.25">
      <c r="A2244" s="109">
        <v>3960</v>
      </c>
      <c r="B2244" t="s">
        <v>2870</v>
      </c>
      <c r="C2244" t="s">
        <v>1991</v>
      </c>
      <c r="D2244" s="110">
        <v>-38</v>
      </c>
      <c r="E2244" t="str">
        <f t="shared" si="90"/>
        <v>4</v>
      </c>
      <c r="F2244" t="str">
        <f t="shared" si="91"/>
        <v>1.6</v>
      </c>
    </row>
    <row r="2245" spans="1:6" x14ac:dyDescent="0.25">
      <c r="A2245" s="109">
        <v>3962</v>
      </c>
      <c r="B2245" t="s">
        <v>2871</v>
      </c>
      <c r="C2245" t="s">
        <v>1991</v>
      </c>
      <c r="D2245" s="110">
        <v>-38</v>
      </c>
      <c r="E2245" t="str">
        <f t="shared" si="90"/>
        <v>4</v>
      </c>
      <c r="F2245" t="str">
        <f t="shared" si="91"/>
        <v>1.6</v>
      </c>
    </row>
    <row r="2246" spans="1:6" x14ac:dyDescent="0.25">
      <c r="A2246" s="109">
        <v>3965</v>
      </c>
      <c r="B2246" t="s">
        <v>2872</v>
      </c>
      <c r="C2246" t="s">
        <v>1991</v>
      </c>
      <c r="D2246" s="110">
        <v>-38</v>
      </c>
      <c r="E2246" t="str">
        <f t="shared" si="90"/>
        <v>4</v>
      </c>
      <c r="F2246" t="str">
        <f t="shared" si="91"/>
        <v>1.6</v>
      </c>
    </row>
    <row r="2247" spans="1:6" x14ac:dyDescent="0.25">
      <c r="A2247" s="109">
        <v>3966</v>
      </c>
      <c r="B2247" t="s">
        <v>1385</v>
      </c>
      <c r="C2247" t="s">
        <v>1991</v>
      </c>
      <c r="D2247" s="110">
        <v>-38</v>
      </c>
      <c r="E2247" t="str">
        <f t="shared" si="90"/>
        <v>4</v>
      </c>
      <c r="F2247" t="str">
        <f t="shared" si="91"/>
        <v>1.6</v>
      </c>
    </row>
    <row r="2248" spans="1:6" x14ac:dyDescent="0.25">
      <c r="A2248" s="109">
        <v>3971</v>
      </c>
      <c r="B2248" t="s">
        <v>2873</v>
      </c>
      <c r="C2248" t="s">
        <v>1991</v>
      </c>
      <c r="D2248" s="110">
        <v>-38</v>
      </c>
      <c r="E2248" t="str">
        <f t="shared" si="90"/>
        <v>4</v>
      </c>
      <c r="F2248" t="str">
        <f t="shared" si="91"/>
        <v>1.6</v>
      </c>
    </row>
    <row r="2249" spans="1:6" x14ac:dyDescent="0.25">
      <c r="A2249" s="109">
        <v>3975</v>
      </c>
      <c r="B2249" t="s">
        <v>1169</v>
      </c>
      <c r="C2249" t="s">
        <v>1991</v>
      </c>
      <c r="D2249" s="110">
        <v>-38</v>
      </c>
      <c r="E2249" t="str">
        <f t="shared" si="90"/>
        <v>4</v>
      </c>
      <c r="F2249" t="str">
        <f t="shared" si="91"/>
        <v>1.6</v>
      </c>
    </row>
    <row r="2250" spans="1:6" x14ac:dyDescent="0.25">
      <c r="A2250" s="109">
        <v>3976</v>
      </c>
      <c r="B2250" t="s">
        <v>2874</v>
      </c>
      <c r="C2250" t="s">
        <v>1991</v>
      </c>
      <c r="D2250" s="110">
        <v>-38</v>
      </c>
      <c r="E2250" t="str">
        <f t="shared" si="90"/>
        <v>4</v>
      </c>
      <c r="F2250" t="str">
        <f t="shared" si="91"/>
        <v>1.6</v>
      </c>
    </row>
    <row r="2251" spans="1:6" x14ac:dyDescent="0.25">
      <c r="A2251" s="109">
        <v>3977</v>
      </c>
      <c r="B2251" t="s">
        <v>2875</v>
      </c>
      <c r="C2251" t="s">
        <v>1991</v>
      </c>
      <c r="D2251" s="110">
        <v>-38</v>
      </c>
      <c r="E2251" t="str">
        <f t="shared" si="90"/>
        <v>4</v>
      </c>
      <c r="F2251" t="str">
        <f t="shared" si="91"/>
        <v>1.6</v>
      </c>
    </row>
    <row r="2252" spans="1:6" x14ac:dyDescent="0.25">
      <c r="A2252" s="109">
        <v>3978</v>
      </c>
      <c r="B2252" t="s">
        <v>2876</v>
      </c>
      <c r="C2252" t="s">
        <v>1991</v>
      </c>
      <c r="D2252" s="110">
        <v>-38</v>
      </c>
      <c r="E2252" t="str">
        <f t="shared" si="90"/>
        <v>4</v>
      </c>
      <c r="F2252" t="str">
        <f t="shared" si="91"/>
        <v>1.6</v>
      </c>
    </row>
    <row r="2253" spans="1:6" x14ac:dyDescent="0.25">
      <c r="A2253" s="109">
        <v>3979</v>
      </c>
      <c r="B2253" t="s">
        <v>2877</v>
      </c>
      <c r="C2253" t="s">
        <v>1991</v>
      </c>
      <c r="D2253" s="110">
        <v>-38</v>
      </c>
      <c r="E2253" t="str">
        <f t="shared" si="90"/>
        <v>4</v>
      </c>
      <c r="F2253" t="str">
        <f t="shared" si="91"/>
        <v>1.6</v>
      </c>
    </row>
    <row r="2254" spans="1:6" x14ac:dyDescent="0.25">
      <c r="A2254" s="109">
        <v>3980</v>
      </c>
      <c r="B2254" t="s">
        <v>2878</v>
      </c>
      <c r="C2254" t="s">
        <v>1991</v>
      </c>
      <c r="D2254" s="110">
        <v>-38</v>
      </c>
      <c r="E2254" t="str">
        <f t="shared" si="90"/>
        <v>4</v>
      </c>
      <c r="F2254" t="str">
        <f t="shared" si="91"/>
        <v>1.6</v>
      </c>
    </row>
    <row r="2255" spans="1:6" x14ac:dyDescent="0.25">
      <c r="A2255" s="109">
        <v>3981</v>
      </c>
      <c r="B2255" t="s">
        <v>2879</v>
      </c>
      <c r="C2255" t="s">
        <v>1991</v>
      </c>
      <c r="D2255" s="110">
        <v>-38</v>
      </c>
      <c r="E2255" t="str">
        <f t="shared" si="90"/>
        <v>4</v>
      </c>
      <c r="F2255" t="str">
        <f t="shared" si="91"/>
        <v>1.6</v>
      </c>
    </row>
    <row r="2256" spans="1:6" x14ac:dyDescent="0.25">
      <c r="A2256" s="109">
        <v>3984</v>
      </c>
      <c r="B2256" t="s">
        <v>2880</v>
      </c>
      <c r="C2256" t="s">
        <v>1991</v>
      </c>
      <c r="D2256" s="110">
        <v>-38</v>
      </c>
      <c r="E2256" t="str">
        <f t="shared" si="90"/>
        <v>4</v>
      </c>
      <c r="F2256" t="str">
        <f t="shared" si="91"/>
        <v>1.6</v>
      </c>
    </row>
    <row r="2257" spans="1:6" x14ac:dyDescent="0.25">
      <c r="A2257" s="109">
        <v>3987</v>
      </c>
      <c r="B2257" t="s">
        <v>2881</v>
      </c>
      <c r="C2257" t="s">
        <v>1991</v>
      </c>
      <c r="D2257" s="110">
        <v>-38</v>
      </c>
      <c r="E2257" t="str">
        <f t="shared" si="90"/>
        <v>4</v>
      </c>
      <c r="F2257" t="str">
        <f t="shared" si="91"/>
        <v>1.6</v>
      </c>
    </row>
    <row r="2258" spans="1:6" x14ac:dyDescent="0.25">
      <c r="A2258" s="109">
        <v>3988</v>
      </c>
      <c r="B2258" t="s">
        <v>2882</v>
      </c>
      <c r="C2258" t="s">
        <v>1991</v>
      </c>
      <c r="D2258" s="110">
        <v>-38</v>
      </c>
      <c r="E2258" t="str">
        <f t="shared" si="90"/>
        <v>4</v>
      </c>
      <c r="F2258" t="str">
        <f t="shared" si="91"/>
        <v>1.6</v>
      </c>
    </row>
    <row r="2259" spans="1:6" x14ac:dyDescent="0.25">
      <c r="A2259" s="109">
        <v>3991</v>
      </c>
      <c r="B2259" t="s">
        <v>2883</v>
      </c>
      <c r="C2259" t="s">
        <v>1991</v>
      </c>
      <c r="D2259" s="110">
        <v>-38</v>
      </c>
      <c r="E2259" t="str">
        <f t="shared" si="90"/>
        <v>4</v>
      </c>
      <c r="F2259" t="str">
        <f t="shared" si="91"/>
        <v>1.6</v>
      </c>
    </row>
    <row r="2260" spans="1:6" x14ac:dyDescent="0.25">
      <c r="A2260" s="109">
        <v>3992</v>
      </c>
      <c r="B2260" t="s">
        <v>2884</v>
      </c>
      <c r="C2260" t="s">
        <v>1991</v>
      </c>
      <c r="D2260" s="110">
        <v>-38</v>
      </c>
      <c r="E2260" t="str">
        <f t="shared" si="90"/>
        <v>4</v>
      </c>
      <c r="F2260" t="str">
        <f t="shared" si="91"/>
        <v>1.6</v>
      </c>
    </row>
    <row r="2261" spans="1:6" x14ac:dyDescent="0.25">
      <c r="A2261" s="109">
        <v>3995</v>
      </c>
      <c r="B2261" t="s">
        <v>2885</v>
      </c>
      <c r="C2261" t="s">
        <v>1991</v>
      </c>
      <c r="D2261" s="110">
        <v>-38</v>
      </c>
      <c r="E2261" t="str">
        <f t="shared" si="90"/>
        <v>4</v>
      </c>
      <c r="F2261" t="str">
        <f t="shared" si="91"/>
        <v>1.6</v>
      </c>
    </row>
    <row r="2262" spans="1:6" x14ac:dyDescent="0.25">
      <c r="A2262" s="109">
        <v>3996</v>
      </c>
      <c r="B2262" t="s">
        <v>2886</v>
      </c>
      <c r="C2262" t="s">
        <v>1991</v>
      </c>
      <c r="D2262" s="110">
        <v>-38</v>
      </c>
      <c r="E2262" t="str">
        <f t="shared" si="90"/>
        <v>4</v>
      </c>
      <c r="F2262" t="str">
        <f t="shared" si="91"/>
        <v>1.6</v>
      </c>
    </row>
    <row r="2263" spans="1:6" x14ac:dyDescent="0.25">
      <c r="A2263" s="109">
        <v>7255</v>
      </c>
      <c r="B2263" t="s">
        <v>2887</v>
      </c>
      <c r="C2263" t="s">
        <v>2888</v>
      </c>
      <c r="D2263" s="110">
        <v>-39</v>
      </c>
      <c r="E2263" t="str">
        <f t="shared" si="90"/>
        <v>4</v>
      </c>
      <c r="F2263" t="str">
        <f t="shared" si="91"/>
        <v>1.6</v>
      </c>
    </row>
    <row r="2264" spans="1:6" x14ac:dyDescent="0.25">
      <c r="A2264" s="109">
        <v>7777</v>
      </c>
      <c r="B2264" t="s">
        <v>2889</v>
      </c>
      <c r="C2264" t="s">
        <v>2888</v>
      </c>
      <c r="D2264" s="111">
        <v>-39</v>
      </c>
      <c r="E2264" t="str">
        <f t="shared" si="90"/>
        <v>4</v>
      </c>
      <c r="F2264" t="str">
        <f t="shared" si="91"/>
        <v>1.6</v>
      </c>
    </row>
    <row r="2265" spans="1:6" x14ac:dyDescent="0.25">
      <c r="A2265" s="109">
        <v>7256</v>
      </c>
      <c r="B2265" t="s">
        <v>2890</v>
      </c>
      <c r="C2265" t="s">
        <v>2888</v>
      </c>
      <c r="D2265" s="110">
        <v>-40</v>
      </c>
      <c r="E2265" t="str">
        <f t="shared" si="90"/>
        <v>4</v>
      </c>
      <c r="F2265" t="str">
        <f t="shared" si="91"/>
        <v>1.6</v>
      </c>
    </row>
    <row r="2266" spans="1:6" x14ac:dyDescent="0.25">
      <c r="A2266" s="109">
        <v>7257</v>
      </c>
      <c r="B2266" t="s">
        <v>2891</v>
      </c>
      <c r="C2266" t="s">
        <v>2888</v>
      </c>
      <c r="D2266" s="110">
        <v>-40</v>
      </c>
      <c r="E2266" t="str">
        <f t="shared" si="90"/>
        <v>4</v>
      </c>
      <c r="F2266" t="str">
        <f t="shared" si="91"/>
        <v>1.6</v>
      </c>
    </row>
    <row r="2267" spans="1:6" x14ac:dyDescent="0.25">
      <c r="A2267" s="109">
        <v>7262</v>
      </c>
      <c r="B2267" t="s">
        <v>2892</v>
      </c>
      <c r="C2267" t="s">
        <v>2888</v>
      </c>
      <c r="D2267" s="110">
        <v>-40</v>
      </c>
      <c r="E2267" t="str">
        <f t="shared" si="90"/>
        <v>4</v>
      </c>
      <c r="F2267" t="str">
        <f t="shared" si="91"/>
        <v>1.6</v>
      </c>
    </row>
    <row r="2268" spans="1:6" x14ac:dyDescent="0.25">
      <c r="A2268" s="109">
        <v>7264</v>
      </c>
      <c r="B2268" t="s">
        <v>2893</v>
      </c>
      <c r="C2268" t="s">
        <v>2888</v>
      </c>
      <c r="D2268" s="110">
        <v>-40</v>
      </c>
      <c r="E2268" t="str">
        <f t="shared" si="90"/>
        <v>4</v>
      </c>
      <c r="F2268" t="str">
        <f t="shared" si="91"/>
        <v>1.6</v>
      </c>
    </row>
    <row r="2269" spans="1:6" x14ac:dyDescent="0.25">
      <c r="A2269" s="109">
        <v>7325</v>
      </c>
      <c r="B2269" t="s">
        <v>2894</v>
      </c>
      <c r="C2269" t="s">
        <v>2888</v>
      </c>
      <c r="D2269" s="110">
        <v>-40</v>
      </c>
      <c r="E2269" t="str">
        <f t="shared" si="90"/>
        <v>4</v>
      </c>
      <c r="F2269" t="str">
        <f t="shared" si="91"/>
        <v>1.6</v>
      </c>
    </row>
    <row r="2270" spans="1:6" x14ac:dyDescent="0.25">
      <c r="A2270" s="109">
        <v>7330</v>
      </c>
      <c r="B2270" t="s">
        <v>2895</v>
      </c>
      <c r="C2270" t="s">
        <v>2888</v>
      </c>
      <c r="D2270" s="110">
        <v>-40</v>
      </c>
      <c r="E2270" t="str">
        <f t="shared" si="90"/>
        <v>4</v>
      </c>
      <c r="F2270" t="str">
        <f t="shared" si="91"/>
        <v>1.6</v>
      </c>
    </row>
    <row r="2271" spans="1:6" x14ac:dyDescent="0.25">
      <c r="A2271" s="109">
        <v>7331</v>
      </c>
      <c r="B2271" t="s">
        <v>2896</v>
      </c>
      <c r="C2271" t="s">
        <v>2888</v>
      </c>
      <c r="D2271" s="110">
        <v>-40</v>
      </c>
      <c r="E2271" t="str">
        <f t="shared" si="90"/>
        <v>4</v>
      </c>
      <c r="F2271" t="str">
        <f t="shared" si="91"/>
        <v>1.6</v>
      </c>
    </row>
    <row r="2272" spans="1:6" x14ac:dyDescent="0.25">
      <c r="A2272" s="109">
        <v>7210</v>
      </c>
      <c r="B2272" t="s">
        <v>2897</v>
      </c>
      <c r="C2272" t="s">
        <v>2888</v>
      </c>
      <c r="D2272" s="110">
        <v>-41</v>
      </c>
      <c r="E2272" t="str">
        <f t="shared" si="90"/>
        <v>4</v>
      </c>
      <c r="F2272" t="str">
        <f t="shared" si="91"/>
        <v>1.6</v>
      </c>
    </row>
    <row r="2273" spans="1:6" x14ac:dyDescent="0.25">
      <c r="A2273" s="109">
        <v>7211</v>
      </c>
      <c r="B2273" t="s">
        <v>2898</v>
      </c>
      <c r="C2273" t="s">
        <v>2888</v>
      </c>
      <c r="D2273" s="110">
        <v>-41</v>
      </c>
      <c r="E2273" t="str">
        <f t="shared" si="90"/>
        <v>4</v>
      </c>
      <c r="F2273" t="str">
        <f t="shared" si="91"/>
        <v>1.6</v>
      </c>
    </row>
    <row r="2274" spans="1:6" x14ac:dyDescent="0.25">
      <c r="A2274" s="109">
        <v>7212</v>
      </c>
      <c r="B2274" t="s">
        <v>2899</v>
      </c>
      <c r="C2274" t="s">
        <v>2888</v>
      </c>
      <c r="D2274" s="110">
        <v>-41</v>
      </c>
      <c r="E2274" t="str">
        <f t="shared" si="90"/>
        <v>4</v>
      </c>
      <c r="F2274" t="str">
        <f t="shared" si="91"/>
        <v>1.6</v>
      </c>
    </row>
    <row r="2275" spans="1:6" x14ac:dyDescent="0.25">
      <c r="A2275" s="109">
        <v>7213</v>
      </c>
      <c r="B2275" t="s">
        <v>2900</v>
      </c>
      <c r="C2275" t="s">
        <v>2888</v>
      </c>
      <c r="D2275" s="110">
        <v>-41</v>
      </c>
      <c r="E2275" t="str">
        <f t="shared" si="90"/>
        <v>4</v>
      </c>
      <c r="F2275" t="str">
        <f t="shared" si="91"/>
        <v>1.6</v>
      </c>
    </row>
    <row r="2276" spans="1:6" x14ac:dyDescent="0.25">
      <c r="A2276" s="109">
        <v>7214</v>
      </c>
      <c r="B2276" t="s">
        <v>2901</v>
      </c>
      <c r="C2276" t="s">
        <v>2888</v>
      </c>
      <c r="D2276" s="110">
        <v>-41</v>
      </c>
      <c r="E2276" t="str">
        <f t="shared" si="90"/>
        <v>4</v>
      </c>
      <c r="F2276" t="str">
        <f t="shared" si="91"/>
        <v>1.6</v>
      </c>
    </row>
    <row r="2277" spans="1:6" x14ac:dyDescent="0.25">
      <c r="A2277" s="109">
        <v>7215</v>
      </c>
      <c r="B2277" t="s">
        <v>1780</v>
      </c>
      <c r="C2277" t="s">
        <v>2888</v>
      </c>
      <c r="D2277" s="110">
        <v>-41</v>
      </c>
      <c r="E2277" t="str">
        <f t="shared" si="90"/>
        <v>4</v>
      </c>
      <c r="F2277" t="str">
        <f t="shared" si="91"/>
        <v>1.6</v>
      </c>
    </row>
    <row r="2278" spans="1:6" x14ac:dyDescent="0.25">
      <c r="A2278" s="109">
        <v>7216</v>
      </c>
      <c r="B2278" t="s">
        <v>2902</v>
      </c>
      <c r="C2278" t="s">
        <v>2888</v>
      </c>
      <c r="D2278" s="110">
        <v>-41</v>
      </c>
      <c r="E2278" t="str">
        <f t="shared" si="90"/>
        <v>4</v>
      </c>
      <c r="F2278" t="str">
        <f t="shared" si="91"/>
        <v>1.6</v>
      </c>
    </row>
    <row r="2279" spans="1:6" x14ac:dyDescent="0.25">
      <c r="A2279" s="109">
        <v>7248</v>
      </c>
      <c r="B2279" t="s">
        <v>2903</v>
      </c>
      <c r="C2279" t="s">
        <v>2888</v>
      </c>
      <c r="D2279" s="110">
        <v>-41</v>
      </c>
      <c r="E2279" t="str">
        <f t="shared" si="90"/>
        <v>4</v>
      </c>
      <c r="F2279" t="str">
        <f t="shared" si="91"/>
        <v>1.6</v>
      </c>
    </row>
    <row r="2280" spans="1:6" x14ac:dyDescent="0.25">
      <c r="A2280" s="109">
        <v>7249</v>
      </c>
      <c r="B2280" t="s">
        <v>2904</v>
      </c>
      <c r="C2280" t="s">
        <v>2888</v>
      </c>
      <c r="D2280" s="110">
        <v>-41</v>
      </c>
      <c r="E2280" t="str">
        <f t="shared" si="90"/>
        <v>4</v>
      </c>
      <c r="F2280" t="str">
        <f t="shared" si="91"/>
        <v>1.6</v>
      </c>
    </row>
    <row r="2281" spans="1:6" x14ac:dyDescent="0.25">
      <c r="A2281" s="109">
        <v>7250</v>
      </c>
      <c r="B2281" t="s">
        <v>2905</v>
      </c>
      <c r="C2281" t="s">
        <v>2888</v>
      </c>
      <c r="D2281" s="110">
        <v>-41</v>
      </c>
      <c r="E2281" t="str">
        <f t="shared" si="90"/>
        <v>4</v>
      </c>
      <c r="F2281" t="str">
        <f t="shared" si="91"/>
        <v>1.6</v>
      </c>
    </row>
    <row r="2282" spans="1:6" x14ac:dyDescent="0.25">
      <c r="A2282" s="109">
        <v>7252</v>
      </c>
      <c r="B2282" t="s">
        <v>2906</v>
      </c>
      <c r="C2282" t="s">
        <v>2888</v>
      </c>
      <c r="D2282" s="110">
        <v>-41</v>
      </c>
      <c r="E2282" t="str">
        <f t="shared" si="90"/>
        <v>4</v>
      </c>
      <c r="F2282" t="str">
        <f t="shared" si="91"/>
        <v>1.6</v>
      </c>
    </row>
    <row r="2283" spans="1:6" x14ac:dyDescent="0.25">
      <c r="A2283" s="109">
        <v>7253</v>
      </c>
      <c r="B2283" t="s">
        <v>2907</v>
      </c>
      <c r="C2283" t="s">
        <v>2888</v>
      </c>
      <c r="D2283" s="110">
        <v>-41</v>
      </c>
      <c r="E2283" t="str">
        <f t="shared" si="90"/>
        <v>4</v>
      </c>
      <c r="F2283" t="str">
        <f t="shared" si="91"/>
        <v>1.6</v>
      </c>
    </row>
    <row r="2284" spans="1:6" x14ac:dyDescent="0.25">
      <c r="A2284" s="109">
        <v>7254</v>
      </c>
      <c r="B2284" t="s">
        <v>2908</v>
      </c>
      <c r="C2284" t="s">
        <v>2888</v>
      </c>
      <c r="D2284" s="110">
        <v>-41</v>
      </c>
      <c r="E2284" t="str">
        <f t="shared" si="90"/>
        <v>4</v>
      </c>
      <c r="F2284" t="str">
        <f t="shared" si="91"/>
        <v>1.6</v>
      </c>
    </row>
    <row r="2285" spans="1:6" x14ac:dyDescent="0.25">
      <c r="A2285" s="109">
        <v>7258</v>
      </c>
      <c r="B2285" t="s">
        <v>2360</v>
      </c>
      <c r="C2285" t="s">
        <v>2888</v>
      </c>
      <c r="D2285" s="110">
        <v>-41</v>
      </c>
      <c r="E2285" t="str">
        <f t="shared" si="90"/>
        <v>4</v>
      </c>
      <c r="F2285" t="str">
        <f t="shared" si="91"/>
        <v>1.6</v>
      </c>
    </row>
    <row r="2286" spans="1:6" x14ac:dyDescent="0.25">
      <c r="A2286" s="109">
        <v>7259</v>
      </c>
      <c r="B2286" t="s">
        <v>2909</v>
      </c>
      <c r="C2286" t="s">
        <v>2888</v>
      </c>
      <c r="D2286" s="110">
        <v>-41</v>
      </c>
      <c r="E2286" t="str">
        <f t="shared" si="90"/>
        <v>4</v>
      </c>
      <c r="F2286" t="str">
        <f t="shared" si="91"/>
        <v>1.6</v>
      </c>
    </row>
    <row r="2287" spans="1:6" x14ac:dyDescent="0.25">
      <c r="A2287" s="109">
        <v>7260</v>
      </c>
      <c r="B2287" t="s">
        <v>2910</v>
      </c>
      <c r="C2287" t="s">
        <v>2888</v>
      </c>
      <c r="D2287" s="110">
        <v>-41</v>
      </c>
      <c r="E2287" t="str">
        <f t="shared" si="90"/>
        <v>4</v>
      </c>
      <c r="F2287" t="str">
        <f t="shared" si="91"/>
        <v>1.6</v>
      </c>
    </row>
    <row r="2288" spans="1:6" x14ac:dyDescent="0.25">
      <c r="A2288" s="109">
        <v>7261</v>
      </c>
      <c r="B2288" t="s">
        <v>2911</v>
      </c>
      <c r="C2288" t="s">
        <v>2888</v>
      </c>
      <c r="D2288" s="110">
        <v>-41</v>
      </c>
      <c r="E2288" t="str">
        <f t="shared" si="90"/>
        <v>4</v>
      </c>
      <c r="F2288" t="str">
        <f t="shared" si="91"/>
        <v>1.6</v>
      </c>
    </row>
    <row r="2289" spans="1:6" x14ac:dyDescent="0.25">
      <c r="A2289" s="109">
        <v>7263</v>
      </c>
      <c r="B2289" t="s">
        <v>2912</v>
      </c>
      <c r="C2289" t="s">
        <v>2888</v>
      </c>
      <c r="D2289" s="110">
        <v>-41</v>
      </c>
      <c r="E2289" t="str">
        <f t="shared" si="90"/>
        <v>4</v>
      </c>
      <c r="F2289" t="str">
        <f t="shared" si="91"/>
        <v>1.6</v>
      </c>
    </row>
    <row r="2290" spans="1:6" x14ac:dyDescent="0.25">
      <c r="A2290" s="109">
        <v>7265</v>
      </c>
      <c r="B2290" t="s">
        <v>2913</v>
      </c>
      <c r="C2290" t="s">
        <v>2888</v>
      </c>
      <c r="D2290" s="110">
        <v>-41</v>
      </c>
      <c r="E2290" t="str">
        <f t="shared" si="90"/>
        <v>4</v>
      </c>
      <c r="F2290" t="str">
        <f t="shared" si="91"/>
        <v>1.6</v>
      </c>
    </row>
    <row r="2291" spans="1:6" x14ac:dyDescent="0.25">
      <c r="A2291" s="109">
        <v>7267</v>
      </c>
      <c r="B2291" t="s">
        <v>2914</v>
      </c>
      <c r="C2291" t="s">
        <v>2888</v>
      </c>
      <c r="D2291" s="110">
        <v>-41</v>
      </c>
      <c r="E2291" t="str">
        <f t="shared" si="90"/>
        <v>4</v>
      </c>
      <c r="F2291" t="str">
        <f t="shared" si="91"/>
        <v>1.6</v>
      </c>
    </row>
    <row r="2292" spans="1:6" x14ac:dyDescent="0.25">
      <c r="A2292" s="109">
        <v>7268</v>
      </c>
      <c r="B2292" t="s">
        <v>999</v>
      </c>
      <c r="C2292" t="s">
        <v>2888</v>
      </c>
      <c r="D2292" s="110">
        <v>-41</v>
      </c>
      <c r="E2292" t="str">
        <f t="shared" si="90"/>
        <v>4</v>
      </c>
      <c r="F2292" t="str">
        <f t="shared" si="91"/>
        <v>1.6</v>
      </c>
    </row>
    <row r="2293" spans="1:6" x14ac:dyDescent="0.25">
      <c r="A2293" s="109">
        <v>7270</v>
      </c>
      <c r="B2293" t="s">
        <v>2915</v>
      </c>
      <c r="C2293" t="s">
        <v>2888</v>
      </c>
      <c r="D2293" s="110">
        <v>-41</v>
      </c>
      <c r="E2293" t="str">
        <f t="shared" si="90"/>
        <v>4</v>
      </c>
      <c r="F2293" t="str">
        <f t="shared" si="91"/>
        <v>1.6</v>
      </c>
    </row>
    <row r="2294" spans="1:6" x14ac:dyDescent="0.25">
      <c r="A2294" s="109">
        <v>7275</v>
      </c>
      <c r="B2294" t="s">
        <v>2916</v>
      </c>
      <c r="C2294" t="s">
        <v>2888</v>
      </c>
      <c r="D2294" s="110">
        <v>-41</v>
      </c>
      <c r="E2294" t="str">
        <f t="shared" si="90"/>
        <v>4</v>
      </c>
      <c r="F2294" t="str">
        <f t="shared" si="91"/>
        <v>1.6</v>
      </c>
    </row>
    <row r="2295" spans="1:6" x14ac:dyDescent="0.25">
      <c r="A2295" s="109">
        <v>7276</v>
      </c>
      <c r="B2295" t="s">
        <v>2917</v>
      </c>
      <c r="C2295" t="s">
        <v>2888</v>
      </c>
      <c r="D2295" s="110">
        <v>-41</v>
      </c>
      <c r="E2295" t="str">
        <f t="shared" si="90"/>
        <v>4</v>
      </c>
      <c r="F2295" t="str">
        <f t="shared" si="91"/>
        <v>1.6</v>
      </c>
    </row>
    <row r="2296" spans="1:6" x14ac:dyDescent="0.25">
      <c r="A2296" s="109">
        <v>7277</v>
      </c>
      <c r="B2296" t="s">
        <v>2918</v>
      </c>
      <c r="C2296" t="s">
        <v>2888</v>
      </c>
      <c r="D2296" s="110">
        <v>-41</v>
      </c>
      <c r="E2296" t="str">
        <f t="shared" ref="E2296:E2359" si="92">IF(D2296&lt;-34,"4",IF(D2296&lt;-26,"3",IF(D2296&lt;-18,"2",IF(D2296&lt;-8,"1","lits"))))</f>
        <v>4</v>
      </c>
      <c r="F2296" t="str">
        <f t="shared" si="91"/>
        <v>1.6</v>
      </c>
    </row>
    <row r="2297" spans="1:6" x14ac:dyDescent="0.25">
      <c r="A2297" s="109">
        <v>7290</v>
      </c>
      <c r="B2297" t="s">
        <v>2919</v>
      </c>
      <c r="C2297" t="s">
        <v>2888</v>
      </c>
      <c r="D2297" s="110">
        <v>-41</v>
      </c>
      <c r="E2297" t="str">
        <f t="shared" si="92"/>
        <v>4</v>
      </c>
      <c r="F2297" t="str">
        <f t="shared" si="91"/>
        <v>1.6</v>
      </c>
    </row>
    <row r="2298" spans="1:6" x14ac:dyDescent="0.25">
      <c r="A2298" s="109">
        <v>7291</v>
      </c>
      <c r="B2298" t="s">
        <v>2920</v>
      </c>
      <c r="C2298" t="s">
        <v>2888</v>
      </c>
      <c r="D2298" s="110">
        <v>-41</v>
      </c>
      <c r="E2298" t="str">
        <f t="shared" si="92"/>
        <v>4</v>
      </c>
      <c r="F2298" t="str">
        <f t="shared" si="91"/>
        <v>1.6</v>
      </c>
    </row>
    <row r="2299" spans="1:6" x14ac:dyDescent="0.25">
      <c r="A2299" s="109">
        <v>7292</v>
      </c>
      <c r="B2299" t="s">
        <v>2921</v>
      </c>
      <c r="C2299" t="s">
        <v>2888</v>
      </c>
      <c r="D2299" s="110">
        <v>-41</v>
      </c>
      <c r="E2299" t="str">
        <f t="shared" si="92"/>
        <v>4</v>
      </c>
      <c r="F2299" t="str">
        <f t="shared" si="91"/>
        <v>1.6</v>
      </c>
    </row>
    <row r="2300" spans="1:6" x14ac:dyDescent="0.25">
      <c r="A2300" s="109">
        <v>7300</v>
      </c>
      <c r="B2300" t="s">
        <v>2922</v>
      </c>
      <c r="C2300" t="s">
        <v>2888</v>
      </c>
      <c r="D2300" s="110">
        <v>-41</v>
      </c>
      <c r="E2300" t="str">
        <f t="shared" si="92"/>
        <v>4</v>
      </c>
      <c r="F2300" t="str">
        <f t="shared" si="91"/>
        <v>1.6</v>
      </c>
    </row>
    <row r="2301" spans="1:6" x14ac:dyDescent="0.25">
      <c r="A2301" s="109">
        <v>7301</v>
      </c>
      <c r="B2301" t="s">
        <v>2923</v>
      </c>
      <c r="C2301" t="s">
        <v>2888</v>
      </c>
      <c r="D2301" s="110">
        <v>-41</v>
      </c>
      <c r="E2301" t="str">
        <f t="shared" si="92"/>
        <v>4</v>
      </c>
      <c r="F2301" t="str">
        <f t="shared" si="91"/>
        <v>1.6</v>
      </c>
    </row>
    <row r="2302" spans="1:6" x14ac:dyDescent="0.25">
      <c r="A2302" s="109">
        <v>7302</v>
      </c>
      <c r="B2302" t="s">
        <v>2924</v>
      </c>
      <c r="C2302" t="s">
        <v>2888</v>
      </c>
      <c r="D2302" s="110">
        <v>-41</v>
      </c>
      <c r="E2302" t="str">
        <f t="shared" si="92"/>
        <v>4</v>
      </c>
      <c r="F2302" t="str">
        <f t="shared" si="91"/>
        <v>1.6</v>
      </c>
    </row>
    <row r="2303" spans="1:6" x14ac:dyDescent="0.25">
      <c r="A2303" s="109">
        <v>7303</v>
      </c>
      <c r="B2303" t="s">
        <v>2925</v>
      </c>
      <c r="C2303" t="s">
        <v>2888</v>
      </c>
      <c r="D2303" s="110">
        <v>-41</v>
      </c>
      <c r="E2303" t="str">
        <f t="shared" si="92"/>
        <v>4</v>
      </c>
      <c r="F2303" t="str">
        <f t="shared" si="91"/>
        <v>1.6</v>
      </c>
    </row>
    <row r="2304" spans="1:6" x14ac:dyDescent="0.25">
      <c r="A2304" s="109">
        <v>7304</v>
      </c>
      <c r="B2304" t="s">
        <v>2926</v>
      </c>
      <c r="C2304" t="s">
        <v>2888</v>
      </c>
      <c r="D2304" s="110">
        <v>-41</v>
      </c>
      <c r="E2304" t="str">
        <f t="shared" si="92"/>
        <v>4</v>
      </c>
      <c r="F2304" t="str">
        <f t="shared" si="91"/>
        <v>1.6</v>
      </c>
    </row>
    <row r="2305" spans="1:6" x14ac:dyDescent="0.25">
      <c r="A2305" s="109">
        <v>7305</v>
      </c>
      <c r="B2305" t="s">
        <v>2927</v>
      </c>
      <c r="C2305" t="s">
        <v>2888</v>
      </c>
      <c r="D2305" s="110">
        <v>-41</v>
      </c>
      <c r="E2305" t="str">
        <f t="shared" si="92"/>
        <v>4</v>
      </c>
      <c r="F2305" t="str">
        <f t="shared" si="91"/>
        <v>1.6</v>
      </c>
    </row>
    <row r="2306" spans="1:6" x14ac:dyDescent="0.25">
      <c r="A2306" s="109">
        <v>7306</v>
      </c>
      <c r="B2306" t="s">
        <v>2928</v>
      </c>
      <c r="C2306" t="s">
        <v>2888</v>
      </c>
      <c r="D2306" s="110">
        <v>-41</v>
      </c>
      <c r="E2306" t="str">
        <f t="shared" si="92"/>
        <v>4</v>
      </c>
      <c r="F2306" t="str">
        <f t="shared" si="91"/>
        <v>1.6</v>
      </c>
    </row>
    <row r="2307" spans="1:6" x14ac:dyDescent="0.25">
      <c r="A2307" s="109">
        <v>7307</v>
      </c>
      <c r="B2307" t="s">
        <v>2929</v>
      </c>
      <c r="C2307" t="s">
        <v>2888</v>
      </c>
      <c r="D2307" s="110">
        <v>-41</v>
      </c>
      <c r="E2307" t="str">
        <f t="shared" si="92"/>
        <v>4</v>
      </c>
      <c r="F2307" t="str">
        <f t="shared" ref="F2307:F2370" si="93">IF(D2307&lt;-34,"1.6",IF(D2307&lt;-26,"1.4",IF(D2307&lt;-18,"1.2",IF(D2307&lt;-8,"1","lits"))))</f>
        <v>1.6</v>
      </c>
    </row>
    <row r="2308" spans="1:6" x14ac:dyDescent="0.25">
      <c r="A2308" s="109">
        <v>7310</v>
      </c>
      <c r="B2308" t="s">
        <v>2930</v>
      </c>
      <c r="C2308" t="s">
        <v>2888</v>
      </c>
      <c r="D2308" s="110">
        <v>-41</v>
      </c>
      <c r="E2308" t="str">
        <f t="shared" si="92"/>
        <v>4</v>
      </c>
      <c r="F2308" t="str">
        <f t="shared" si="93"/>
        <v>1.6</v>
      </c>
    </row>
    <row r="2309" spans="1:6" x14ac:dyDescent="0.25">
      <c r="A2309" s="109">
        <v>7315</v>
      </c>
      <c r="B2309" t="s">
        <v>2931</v>
      </c>
      <c r="C2309" t="s">
        <v>2888</v>
      </c>
      <c r="D2309" s="110">
        <v>-41</v>
      </c>
      <c r="E2309" t="str">
        <f t="shared" si="92"/>
        <v>4</v>
      </c>
      <c r="F2309" t="str">
        <f t="shared" si="93"/>
        <v>1.6</v>
      </c>
    </row>
    <row r="2310" spans="1:6" x14ac:dyDescent="0.25">
      <c r="A2310" s="109">
        <v>7316</v>
      </c>
      <c r="B2310" t="s">
        <v>2932</v>
      </c>
      <c r="C2310" t="s">
        <v>2888</v>
      </c>
      <c r="D2310" s="110">
        <v>-41</v>
      </c>
      <c r="E2310" t="str">
        <f t="shared" si="92"/>
        <v>4</v>
      </c>
      <c r="F2310" t="str">
        <f t="shared" si="93"/>
        <v>1.6</v>
      </c>
    </row>
    <row r="2311" spans="1:6" x14ac:dyDescent="0.25">
      <c r="A2311" s="109">
        <v>7320</v>
      </c>
      <c r="B2311" t="s">
        <v>2933</v>
      </c>
      <c r="C2311" t="s">
        <v>2888</v>
      </c>
      <c r="D2311" s="110">
        <v>-41</v>
      </c>
      <c r="E2311" t="str">
        <f t="shared" si="92"/>
        <v>4</v>
      </c>
      <c r="F2311" t="str">
        <f t="shared" si="93"/>
        <v>1.6</v>
      </c>
    </row>
    <row r="2312" spans="1:6" x14ac:dyDescent="0.25">
      <c r="A2312" s="109">
        <v>7321</v>
      </c>
      <c r="B2312" t="s">
        <v>2934</v>
      </c>
      <c r="C2312" t="s">
        <v>2888</v>
      </c>
      <c r="D2312" s="110">
        <v>-41</v>
      </c>
      <c r="E2312" t="str">
        <f t="shared" si="92"/>
        <v>4</v>
      </c>
      <c r="F2312" t="str">
        <f t="shared" si="93"/>
        <v>1.6</v>
      </c>
    </row>
    <row r="2313" spans="1:6" x14ac:dyDescent="0.25">
      <c r="A2313" s="109">
        <v>7322</v>
      </c>
      <c r="B2313" t="s">
        <v>2935</v>
      </c>
      <c r="C2313" t="s">
        <v>2888</v>
      </c>
      <c r="D2313" s="110">
        <v>-41</v>
      </c>
      <c r="E2313" t="str">
        <f t="shared" si="92"/>
        <v>4</v>
      </c>
      <c r="F2313" t="str">
        <f t="shared" si="93"/>
        <v>1.6</v>
      </c>
    </row>
    <row r="2314" spans="1:6" x14ac:dyDescent="0.25">
      <c r="A2314" s="109">
        <v>7469</v>
      </c>
      <c r="B2314" t="s">
        <v>2936</v>
      </c>
      <c r="C2314" t="s">
        <v>2888</v>
      </c>
      <c r="D2314" s="110">
        <v>-41</v>
      </c>
      <c r="E2314" t="str">
        <f t="shared" si="92"/>
        <v>4</v>
      </c>
      <c r="F2314" t="str">
        <f t="shared" si="93"/>
        <v>1.6</v>
      </c>
    </row>
    <row r="2315" spans="1:6" x14ac:dyDescent="0.25">
      <c r="A2315" s="109">
        <v>7470</v>
      </c>
      <c r="B2315" t="s">
        <v>695</v>
      </c>
      <c r="C2315" t="s">
        <v>2888</v>
      </c>
      <c r="D2315" s="110">
        <v>-41</v>
      </c>
      <c r="E2315" t="str">
        <f t="shared" si="92"/>
        <v>4</v>
      </c>
      <c r="F2315" t="str">
        <f t="shared" si="93"/>
        <v>1.6</v>
      </c>
    </row>
    <row r="2316" spans="1:6" x14ac:dyDescent="0.25">
      <c r="A2316" s="109">
        <v>7000</v>
      </c>
      <c r="B2316" t="s">
        <v>2937</v>
      </c>
      <c r="C2316" t="s">
        <v>2888</v>
      </c>
      <c r="D2316" s="110">
        <v>-42</v>
      </c>
      <c r="E2316" t="str">
        <f t="shared" si="92"/>
        <v>4</v>
      </c>
      <c r="F2316" t="str">
        <f t="shared" si="93"/>
        <v>1.6</v>
      </c>
    </row>
    <row r="2317" spans="1:6" x14ac:dyDescent="0.25">
      <c r="A2317" s="109">
        <v>7004</v>
      </c>
      <c r="B2317" t="s">
        <v>2938</v>
      </c>
      <c r="C2317" t="s">
        <v>2888</v>
      </c>
      <c r="D2317" s="110">
        <v>-42</v>
      </c>
      <c r="E2317" t="str">
        <f t="shared" si="92"/>
        <v>4</v>
      </c>
      <c r="F2317" t="str">
        <f t="shared" si="93"/>
        <v>1.6</v>
      </c>
    </row>
    <row r="2318" spans="1:6" x14ac:dyDescent="0.25">
      <c r="A2318" s="109">
        <v>7005</v>
      </c>
      <c r="B2318" t="s">
        <v>2939</v>
      </c>
      <c r="C2318" t="s">
        <v>2888</v>
      </c>
      <c r="D2318" s="110">
        <v>-42</v>
      </c>
      <c r="E2318" t="str">
        <f t="shared" si="92"/>
        <v>4</v>
      </c>
      <c r="F2318" t="str">
        <f t="shared" si="93"/>
        <v>1.6</v>
      </c>
    </row>
    <row r="2319" spans="1:6" x14ac:dyDescent="0.25">
      <c r="A2319" s="109">
        <v>7007</v>
      </c>
      <c r="B2319" t="s">
        <v>2940</v>
      </c>
      <c r="C2319" t="s">
        <v>2888</v>
      </c>
      <c r="D2319" s="110">
        <v>-42</v>
      </c>
      <c r="E2319" t="str">
        <f t="shared" si="92"/>
        <v>4</v>
      </c>
      <c r="F2319" t="str">
        <f t="shared" si="93"/>
        <v>1.6</v>
      </c>
    </row>
    <row r="2320" spans="1:6" x14ac:dyDescent="0.25">
      <c r="A2320" s="109">
        <v>7008</v>
      </c>
      <c r="B2320" t="s">
        <v>2941</v>
      </c>
      <c r="C2320" t="s">
        <v>2888</v>
      </c>
      <c r="D2320" s="110">
        <v>-42</v>
      </c>
      <c r="E2320" t="str">
        <f t="shared" si="92"/>
        <v>4</v>
      </c>
      <c r="F2320" t="str">
        <f t="shared" si="93"/>
        <v>1.6</v>
      </c>
    </row>
    <row r="2321" spans="1:6" x14ac:dyDescent="0.25">
      <c r="A2321" s="109">
        <v>7009</v>
      </c>
      <c r="B2321" t="s">
        <v>2942</v>
      </c>
      <c r="C2321" t="s">
        <v>2888</v>
      </c>
      <c r="D2321" s="110">
        <v>-42</v>
      </c>
      <c r="E2321" t="str">
        <f t="shared" si="92"/>
        <v>4</v>
      </c>
      <c r="F2321" t="str">
        <f t="shared" si="93"/>
        <v>1.6</v>
      </c>
    </row>
    <row r="2322" spans="1:6" x14ac:dyDescent="0.25">
      <c r="A2322" s="109">
        <v>7010</v>
      </c>
      <c r="B2322" t="s">
        <v>2943</v>
      </c>
      <c r="C2322" t="s">
        <v>2888</v>
      </c>
      <c r="D2322" s="110">
        <v>-42</v>
      </c>
      <c r="E2322" t="str">
        <f t="shared" si="92"/>
        <v>4</v>
      </c>
      <c r="F2322" t="str">
        <f t="shared" si="93"/>
        <v>1.6</v>
      </c>
    </row>
    <row r="2323" spans="1:6" x14ac:dyDescent="0.25">
      <c r="A2323" s="109">
        <v>7011</v>
      </c>
      <c r="B2323" t="s">
        <v>2944</v>
      </c>
      <c r="C2323" t="s">
        <v>2888</v>
      </c>
      <c r="D2323" s="110">
        <v>-42</v>
      </c>
      <c r="E2323" t="str">
        <f t="shared" si="92"/>
        <v>4</v>
      </c>
      <c r="F2323" t="str">
        <f t="shared" si="93"/>
        <v>1.6</v>
      </c>
    </row>
    <row r="2324" spans="1:6" x14ac:dyDescent="0.25">
      <c r="A2324" s="109">
        <v>7012</v>
      </c>
      <c r="B2324" t="s">
        <v>2945</v>
      </c>
      <c r="C2324" t="s">
        <v>2888</v>
      </c>
      <c r="D2324" s="110">
        <v>-42</v>
      </c>
      <c r="E2324" t="str">
        <f t="shared" si="92"/>
        <v>4</v>
      </c>
      <c r="F2324" t="str">
        <f t="shared" si="93"/>
        <v>1.6</v>
      </c>
    </row>
    <row r="2325" spans="1:6" x14ac:dyDescent="0.25">
      <c r="A2325" s="109">
        <v>7015</v>
      </c>
      <c r="B2325" t="s">
        <v>1586</v>
      </c>
      <c r="C2325" t="s">
        <v>2888</v>
      </c>
      <c r="D2325" s="110">
        <v>-42</v>
      </c>
      <c r="E2325" t="str">
        <f t="shared" si="92"/>
        <v>4</v>
      </c>
      <c r="F2325" t="str">
        <f t="shared" si="93"/>
        <v>1.6</v>
      </c>
    </row>
    <row r="2326" spans="1:6" x14ac:dyDescent="0.25">
      <c r="A2326" s="109">
        <v>7016</v>
      </c>
      <c r="B2326" t="s">
        <v>2946</v>
      </c>
      <c r="C2326" t="s">
        <v>2888</v>
      </c>
      <c r="D2326" s="110">
        <v>-42</v>
      </c>
      <c r="E2326" t="str">
        <f t="shared" si="92"/>
        <v>4</v>
      </c>
      <c r="F2326" t="str">
        <f t="shared" si="93"/>
        <v>1.6</v>
      </c>
    </row>
    <row r="2327" spans="1:6" x14ac:dyDescent="0.25">
      <c r="A2327" s="109">
        <v>7017</v>
      </c>
      <c r="B2327" t="s">
        <v>2947</v>
      </c>
      <c r="C2327" t="s">
        <v>2888</v>
      </c>
      <c r="D2327" s="110">
        <v>-42</v>
      </c>
      <c r="E2327" t="str">
        <f t="shared" si="92"/>
        <v>4</v>
      </c>
      <c r="F2327" t="str">
        <f t="shared" si="93"/>
        <v>1.6</v>
      </c>
    </row>
    <row r="2328" spans="1:6" x14ac:dyDescent="0.25">
      <c r="A2328" s="109">
        <v>7018</v>
      </c>
      <c r="B2328" t="s">
        <v>2948</v>
      </c>
      <c r="C2328" t="s">
        <v>2888</v>
      </c>
      <c r="D2328" s="110">
        <v>-42</v>
      </c>
      <c r="E2328" t="str">
        <f t="shared" si="92"/>
        <v>4</v>
      </c>
      <c r="F2328" t="str">
        <f t="shared" si="93"/>
        <v>1.6</v>
      </c>
    </row>
    <row r="2329" spans="1:6" x14ac:dyDescent="0.25">
      <c r="A2329" s="109">
        <v>7019</v>
      </c>
      <c r="B2329" t="s">
        <v>2719</v>
      </c>
      <c r="C2329" t="s">
        <v>2888</v>
      </c>
      <c r="D2329" s="110">
        <v>-42</v>
      </c>
      <c r="E2329" t="str">
        <f t="shared" si="92"/>
        <v>4</v>
      </c>
      <c r="F2329" t="str">
        <f t="shared" si="93"/>
        <v>1.6</v>
      </c>
    </row>
    <row r="2330" spans="1:6" x14ac:dyDescent="0.25">
      <c r="A2330" s="109">
        <v>7020</v>
      </c>
      <c r="B2330" t="s">
        <v>2949</v>
      </c>
      <c r="C2330" t="s">
        <v>2888</v>
      </c>
      <c r="D2330" s="110">
        <v>-42</v>
      </c>
      <c r="E2330" t="str">
        <f t="shared" si="92"/>
        <v>4</v>
      </c>
      <c r="F2330" t="str">
        <f t="shared" si="93"/>
        <v>1.6</v>
      </c>
    </row>
    <row r="2331" spans="1:6" x14ac:dyDescent="0.25">
      <c r="A2331" s="109">
        <v>7021</v>
      </c>
      <c r="B2331" t="s">
        <v>2950</v>
      </c>
      <c r="C2331" t="s">
        <v>2888</v>
      </c>
      <c r="D2331" s="110">
        <v>-42</v>
      </c>
      <c r="E2331" t="str">
        <f t="shared" si="92"/>
        <v>4</v>
      </c>
      <c r="F2331" t="str">
        <f t="shared" si="93"/>
        <v>1.6</v>
      </c>
    </row>
    <row r="2332" spans="1:6" x14ac:dyDescent="0.25">
      <c r="A2332" s="109">
        <v>7023</v>
      </c>
      <c r="B2332" t="s">
        <v>2951</v>
      </c>
      <c r="C2332" t="s">
        <v>2888</v>
      </c>
      <c r="D2332" s="110">
        <v>-42</v>
      </c>
      <c r="E2332" t="str">
        <f t="shared" si="92"/>
        <v>4</v>
      </c>
      <c r="F2332" t="str">
        <f t="shared" si="93"/>
        <v>1.6</v>
      </c>
    </row>
    <row r="2333" spans="1:6" x14ac:dyDescent="0.25">
      <c r="A2333" s="109">
        <v>7025</v>
      </c>
      <c r="B2333" t="s">
        <v>1775</v>
      </c>
      <c r="C2333" t="s">
        <v>2888</v>
      </c>
      <c r="D2333" s="110">
        <v>-42</v>
      </c>
      <c r="E2333" t="str">
        <f t="shared" si="92"/>
        <v>4</v>
      </c>
      <c r="F2333" t="str">
        <f t="shared" si="93"/>
        <v>1.6</v>
      </c>
    </row>
    <row r="2334" spans="1:6" x14ac:dyDescent="0.25">
      <c r="A2334" s="109">
        <v>7026</v>
      </c>
      <c r="B2334" t="s">
        <v>2952</v>
      </c>
      <c r="C2334" t="s">
        <v>2888</v>
      </c>
      <c r="D2334" s="110">
        <v>-42</v>
      </c>
      <c r="E2334" t="str">
        <f t="shared" si="92"/>
        <v>4</v>
      </c>
      <c r="F2334" t="str">
        <f t="shared" si="93"/>
        <v>1.6</v>
      </c>
    </row>
    <row r="2335" spans="1:6" x14ac:dyDescent="0.25">
      <c r="A2335" s="109">
        <v>7027</v>
      </c>
      <c r="B2335" t="s">
        <v>2953</v>
      </c>
      <c r="C2335" t="s">
        <v>2888</v>
      </c>
      <c r="D2335" s="110">
        <v>-42</v>
      </c>
      <c r="E2335" t="str">
        <f t="shared" si="92"/>
        <v>4</v>
      </c>
      <c r="F2335" t="str">
        <f t="shared" si="93"/>
        <v>1.6</v>
      </c>
    </row>
    <row r="2336" spans="1:6" x14ac:dyDescent="0.25">
      <c r="A2336" s="109">
        <v>7030</v>
      </c>
      <c r="B2336" t="s">
        <v>2954</v>
      </c>
      <c r="C2336" t="s">
        <v>2888</v>
      </c>
      <c r="D2336" s="110">
        <v>-42</v>
      </c>
      <c r="E2336" t="str">
        <f t="shared" si="92"/>
        <v>4</v>
      </c>
      <c r="F2336" t="str">
        <f t="shared" si="93"/>
        <v>1.6</v>
      </c>
    </row>
    <row r="2337" spans="1:6" x14ac:dyDescent="0.25">
      <c r="A2337" s="109">
        <v>7050</v>
      </c>
      <c r="B2337" t="s">
        <v>2955</v>
      </c>
      <c r="C2337" t="s">
        <v>2888</v>
      </c>
      <c r="D2337" s="110">
        <v>-42</v>
      </c>
      <c r="E2337" t="str">
        <f t="shared" si="92"/>
        <v>4</v>
      </c>
      <c r="F2337" t="str">
        <f t="shared" si="93"/>
        <v>1.6</v>
      </c>
    </row>
    <row r="2338" spans="1:6" x14ac:dyDescent="0.25">
      <c r="A2338" s="109">
        <v>7053</v>
      </c>
      <c r="B2338" t="s">
        <v>2956</v>
      </c>
      <c r="C2338" t="s">
        <v>2888</v>
      </c>
      <c r="D2338" s="110">
        <v>-42</v>
      </c>
      <c r="E2338" t="str">
        <f t="shared" si="92"/>
        <v>4</v>
      </c>
      <c r="F2338" t="str">
        <f t="shared" si="93"/>
        <v>1.6</v>
      </c>
    </row>
    <row r="2339" spans="1:6" x14ac:dyDescent="0.25">
      <c r="A2339" s="109">
        <v>7054</v>
      </c>
      <c r="B2339" t="s">
        <v>2957</v>
      </c>
      <c r="C2339" t="s">
        <v>2888</v>
      </c>
      <c r="D2339" s="110">
        <v>-42</v>
      </c>
      <c r="E2339" t="str">
        <f t="shared" si="92"/>
        <v>4</v>
      </c>
      <c r="F2339" t="str">
        <f t="shared" si="93"/>
        <v>1.6</v>
      </c>
    </row>
    <row r="2340" spans="1:6" x14ac:dyDescent="0.25">
      <c r="A2340" s="109">
        <v>7120</v>
      </c>
      <c r="B2340" t="s">
        <v>2958</v>
      </c>
      <c r="C2340" t="s">
        <v>2888</v>
      </c>
      <c r="D2340" s="110">
        <v>-42</v>
      </c>
      <c r="E2340" t="str">
        <f t="shared" si="92"/>
        <v>4</v>
      </c>
      <c r="F2340" t="str">
        <f t="shared" si="93"/>
        <v>1.6</v>
      </c>
    </row>
    <row r="2341" spans="1:6" x14ac:dyDescent="0.25">
      <c r="A2341" s="109">
        <v>7139</v>
      </c>
      <c r="B2341" t="s">
        <v>2959</v>
      </c>
      <c r="C2341" t="s">
        <v>2888</v>
      </c>
      <c r="D2341" s="110">
        <v>-42</v>
      </c>
      <c r="E2341" t="str">
        <f t="shared" si="92"/>
        <v>4</v>
      </c>
      <c r="F2341" t="str">
        <f t="shared" si="93"/>
        <v>1.6</v>
      </c>
    </row>
    <row r="2342" spans="1:6" x14ac:dyDescent="0.25">
      <c r="A2342" s="109">
        <v>7140</v>
      </c>
      <c r="B2342" t="s">
        <v>2960</v>
      </c>
      <c r="C2342" t="s">
        <v>2888</v>
      </c>
      <c r="D2342" s="110">
        <v>-42</v>
      </c>
      <c r="E2342" t="str">
        <f t="shared" si="92"/>
        <v>4</v>
      </c>
      <c r="F2342" t="str">
        <f t="shared" si="93"/>
        <v>1.6</v>
      </c>
    </row>
    <row r="2343" spans="1:6" x14ac:dyDescent="0.25">
      <c r="A2343" s="109">
        <v>7170</v>
      </c>
      <c r="B2343" t="s">
        <v>2961</v>
      </c>
      <c r="C2343" t="s">
        <v>2888</v>
      </c>
      <c r="D2343" s="110">
        <v>-42</v>
      </c>
      <c r="E2343" t="str">
        <f t="shared" si="92"/>
        <v>4</v>
      </c>
      <c r="F2343" t="str">
        <f t="shared" si="93"/>
        <v>1.6</v>
      </c>
    </row>
    <row r="2344" spans="1:6" x14ac:dyDescent="0.25">
      <c r="A2344" s="109">
        <v>7171</v>
      </c>
      <c r="B2344" t="s">
        <v>2962</v>
      </c>
      <c r="C2344" t="s">
        <v>2888</v>
      </c>
      <c r="D2344" s="110">
        <v>-42</v>
      </c>
      <c r="E2344" t="str">
        <f t="shared" si="92"/>
        <v>4</v>
      </c>
      <c r="F2344" t="str">
        <f t="shared" si="93"/>
        <v>1.6</v>
      </c>
    </row>
    <row r="2345" spans="1:6" x14ac:dyDescent="0.25">
      <c r="A2345" s="109">
        <v>7172</v>
      </c>
      <c r="B2345" t="s">
        <v>2963</v>
      </c>
      <c r="C2345" t="s">
        <v>2888</v>
      </c>
      <c r="D2345" s="110">
        <v>-42</v>
      </c>
      <c r="E2345" t="str">
        <f t="shared" si="92"/>
        <v>4</v>
      </c>
      <c r="F2345" t="str">
        <f t="shared" si="93"/>
        <v>1.6</v>
      </c>
    </row>
    <row r="2346" spans="1:6" x14ac:dyDescent="0.25">
      <c r="A2346" s="109">
        <v>7173</v>
      </c>
      <c r="B2346" t="s">
        <v>2964</v>
      </c>
      <c r="C2346" t="s">
        <v>2888</v>
      </c>
      <c r="D2346" s="110">
        <v>-42</v>
      </c>
      <c r="E2346" t="str">
        <f t="shared" si="92"/>
        <v>4</v>
      </c>
      <c r="F2346" t="str">
        <f t="shared" si="93"/>
        <v>1.6</v>
      </c>
    </row>
    <row r="2347" spans="1:6" x14ac:dyDescent="0.25">
      <c r="A2347" s="109">
        <v>7175</v>
      </c>
      <c r="B2347" t="s">
        <v>2965</v>
      </c>
      <c r="C2347" t="s">
        <v>2888</v>
      </c>
      <c r="D2347" s="110">
        <v>-42</v>
      </c>
      <c r="E2347" t="str">
        <f t="shared" si="92"/>
        <v>4</v>
      </c>
      <c r="F2347" t="str">
        <f t="shared" si="93"/>
        <v>1.6</v>
      </c>
    </row>
    <row r="2348" spans="1:6" x14ac:dyDescent="0.25">
      <c r="A2348" s="109">
        <v>7177</v>
      </c>
      <c r="B2348" t="s">
        <v>2966</v>
      </c>
      <c r="C2348" t="s">
        <v>2888</v>
      </c>
      <c r="D2348" s="110">
        <v>-42</v>
      </c>
      <c r="E2348" t="str">
        <f t="shared" si="92"/>
        <v>4</v>
      </c>
      <c r="F2348" t="str">
        <f t="shared" si="93"/>
        <v>1.6</v>
      </c>
    </row>
    <row r="2349" spans="1:6" x14ac:dyDescent="0.25">
      <c r="A2349" s="109">
        <v>7190</v>
      </c>
      <c r="B2349" t="s">
        <v>2967</v>
      </c>
      <c r="C2349" t="s">
        <v>2888</v>
      </c>
      <c r="D2349" s="110">
        <v>-42</v>
      </c>
      <c r="E2349" t="str">
        <f t="shared" si="92"/>
        <v>4</v>
      </c>
      <c r="F2349" t="str">
        <f t="shared" si="93"/>
        <v>1.6</v>
      </c>
    </row>
    <row r="2350" spans="1:6" x14ac:dyDescent="0.25">
      <c r="A2350" s="109">
        <v>7209</v>
      </c>
      <c r="B2350" t="s">
        <v>2968</v>
      </c>
      <c r="C2350" t="s">
        <v>2888</v>
      </c>
      <c r="D2350" s="110">
        <v>-42</v>
      </c>
      <c r="E2350" t="str">
        <f t="shared" si="92"/>
        <v>4</v>
      </c>
      <c r="F2350" t="str">
        <f t="shared" si="93"/>
        <v>1.6</v>
      </c>
    </row>
    <row r="2351" spans="1:6" x14ac:dyDescent="0.25">
      <c r="A2351" s="109">
        <v>7467</v>
      </c>
      <c r="B2351" t="s">
        <v>2969</v>
      </c>
      <c r="C2351" t="s">
        <v>2888</v>
      </c>
      <c r="D2351" s="110">
        <v>-42</v>
      </c>
      <c r="E2351" t="str">
        <f t="shared" si="92"/>
        <v>4</v>
      </c>
      <c r="F2351" t="str">
        <f t="shared" si="93"/>
        <v>1.6</v>
      </c>
    </row>
    <row r="2352" spans="1:6" x14ac:dyDescent="0.25">
      <c r="A2352" s="109">
        <v>7468</v>
      </c>
      <c r="B2352" t="s">
        <v>2970</v>
      </c>
      <c r="C2352" t="s">
        <v>2888</v>
      </c>
      <c r="D2352" s="110">
        <v>-42</v>
      </c>
      <c r="E2352" t="str">
        <f t="shared" si="92"/>
        <v>4</v>
      </c>
      <c r="F2352" t="str">
        <f t="shared" si="93"/>
        <v>1.6</v>
      </c>
    </row>
    <row r="2353" spans="1:6" x14ac:dyDescent="0.25">
      <c r="A2353" s="109">
        <v>7001</v>
      </c>
      <c r="B2353" t="s">
        <v>2971</v>
      </c>
      <c r="C2353" t="s">
        <v>2888</v>
      </c>
      <c r="D2353" s="110">
        <v>-43</v>
      </c>
      <c r="E2353" t="str">
        <f t="shared" si="92"/>
        <v>4</v>
      </c>
      <c r="F2353" t="str">
        <f t="shared" si="93"/>
        <v>1.6</v>
      </c>
    </row>
    <row r="2354" spans="1:6" x14ac:dyDescent="0.25">
      <c r="A2354" s="109">
        <v>7022</v>
      </c>
      <c r="B2354" t="s">
        <v>2972</v>
      </c>
      <c r="C2354" t="s">
        <v>2888</v>
      </c>
      <c r="D2354" s="110">
        <v>-43</v>
      </c>
      <c r="E2354" t="str">
        <f t="shared" si="92"/>
        <v>4</v>
      </c>
      <c r="F2354" t="str">
        <f t="shared" si="93"/>
        <v>1.6</v>
      </c>
    </row>
    <row r="2355" spans="1:6" x14ac:dyDescent="0.25">
      <c r="A2355" s="109">
        <v>7052</v>
      </c>
      <c r="B2355" t="s">
        <v>2973</v>
      </c>
      <c r="C2355" t="s">
        <v>2888</v>
      </c>
      <c r="D2355" s="110">
        <v>-43</v>
      </c>
      <c r="E2355" t="str">
        <f t="shared" si="92"/>
        <v>4</v>
      </c>
      <c r="F2355" t="str">
        <f t="shared" si="93"/>
        <v>1.6</v>
      </c>
    </row>
    <row r="2356" spans="1:6" x14ac:dyDescent="0.25">
      <c r="A2356" s="109">
        <v>7109</v>
      </c>
      <c r="B2356" t="s">
        <v>742</v>
      </c>
      <c r="C2356" t="s">
        <v>2888</v>
      </c>
      <c r="D2356" s="110">
        <v>-43</v>
      </c>
      <c r="E2356" t="str">
        <f t="shared" si="92"/>
        <v>4</v>
      </c>
      <c r="F2356" t="str">
        <f t="shared" si="93"/>
        <v>1.6</v>
      </c>
    </row>
    <row r="2357" spans="1:6" x14ac:dyDescent="0.25">
      <c r="A2357" s="109">
        <v>7112</v>
      </c>
      <c r="B2357" t="s">
        <v>2974</v>
      </c>
      <c r="C2357" t="s">
        <v>2888</v>
      </c>
      <c r="D2357" s="110">
        <v>-43</v>
      </c>
      <c r="E2357" t="str">
        <f t="shared" si="92"/>
        <v>4</v>
      </c>
      <c r="F2357" t="str">
        <f t="shared" si="93"/>
        <v>1.6</v>
      </c>
    </row>
    <row r="2358" spans="1:6" x14ac:dyDescent="0.25">
      <c r="A2358" s="109">
        <v>7113</v>
      </c>
      <c r="B2358" t="s">
        <v>2975</v>
      </c>
      <c r="C2358" t="s">
        <v>2888</v>
      </c>
      <c r="D2358" s="110">
        <v>-43</v>
      </c>
      <c r="E2358" t="str">
        <f t="shared" si="92"/>
        <v>4</v>
      </c>
      <c r="F2358" t="str">
        <f t="shared" si="93"/>
        <v>1.6</v>
      </c>
    </row>
    <row r="2359" spans="1:6" x14ac:dyDescent="0.25">
      <c r="A2359" s="109">
        <v>7116</v>
      </c>
      <c r="B2359" t="s">
        <v>2976</v>
      </c>
      <c r="C2359" t="s">
        <v>2888</v>
      </c>
      <c r="D2359" s="110">
        <v>-43</v>
      </c>
      <c r="E2359" t="str">
        <f t="shared" si="92"/>
        <v>4</v>
      </c>
      <c r="F2359" t="str">
        <f t="shared" si="93"/>
        <v>1.6</v>
      </c>
    </row>
    <row r="2360" spans="1:6" x14ac:dyDescent="0.25">
      <c r="A2360" s="109">
        <v>7117</v>
      </c>
      <c r="B2360" t="s">
        <v>2977</v>
      </c>
      <c r="C2360" t="s">
        <v>2888</v>
      </c>
      <c r="D2360" s="110">
        <v>-43</v>
      </c>
      <c r="E2360" t="str">
        <f t="shared" ref="E2360:E2370" si="94">IF(D2360&lt;-34,"4",IF(D2360&lt;-26,"3",IF(D2360&lt;-18,"2",IF(D2360&lt;-8,"1","lits"))))</f>
        <v>4</v>
      </c>
      <c r="F2360" t="str">
        <f t="shared" si="93"/>
        <v>1.6</v>
      </c>
    </row>
    <row r="2361" spans="1:6" x14ac:dyDescent="0.25">
      <c r="A2361" s="109">
        <v>7150</v>
      </c>
      <c r="B2361" t="s">
        <v>2978</v>
      </c>
      <c r="C2361" t="s">
        <v>2888</v>
      </c>
      <c r="D2361" s="110">
        <v>-43</v>
      </c>
      <c r="E2361" t="str">
        <f t="shared" si="94"/>
        <v>4</v>
      </c>
      <c r="F2361" t="str">
        <f t="shared" si="93"/>
        <v>1.6</v>
      </c>
    </row>
    <row r="2362" spans="1:6" x14ac:dyDescent="0.25">
      <c r="A2362" s="109">
        <v>7155</v>
      </c>
      <c r="B2362" t="s">
        <v>2979</v>
      </c>
      <c r="C2362" t="s">
        <v>2888</v>
      </c>
      <c r="D2362" s="110">
        <v>-43</v>
      </c>
      <c r="E2362" t="str">
        <f t="shared" si="94"/>
        <v>4</v>
      </c>
      <c r="F2362" t="str">
        <f t="shared" si="93"/>
        <v>1.6</v>
      </c>
    </row>
    <row r="2363" spans="1:6" x14ac:dyDescent="0.25">
      <c r="A2363" s="109">
        <v>7162</v>
      </c>
      <c r="B2363" t="s">
        <v>1363</v>
      </c>
      <c r="C2363" t="s">
        <v>2888</v>
      </c>
      <c r="D2363" s="110">
        <v>-43</v>
      </c>
      <c r="E2363" t="str">
        <f t="shared" si="94"/>
        <v>4</v>
      </c>
      <c r="F2363" t="str">
        <f t="shared" si="93"/>
        <v>1.6</v>
      </c>
    </row>
    <row r="2364" spans="1:6" x14ac:dyDescent="0.25">
      <c r="A2364" s="109">
        <v>7163</v>
      </c>
      <c r="B2364" t="s">
        <v>2980</v>
      </c>
      <c r="C2364" t="s">
        <v>2888</v>
      </c>
      <c r="D2364" s="110">
        <v>-43</v>
      </c>
      <c r="E2364" t="str">
        <f t="shared" si="94"/>
        <v>4</v>
      </c>
      <c r="F2364" t="str">
        <f t="shared" si="93"/>
        <v>1.6</v>
      </c>
    </row>
    <row r="2365" spans="1:6" x14ac:dyDescent="0.25">
      <c r="A2365" s="109">
        <v>7179</v>
      </c>
      <c r="B2365" t="s">
        <v>2981</v>
      </c>
      <c r="C2365" t="s">
        <v>2888</v>
      </c>
      <c r="D2365" s="110">
        <v>-43</v>
      </c>
      <c r="E2365" t="str">
        <f t="shared" si="94"/>
        <v>4</v>
      </c>
      <c r="F2365" t="str">
        <f t="shared" si="93"/>
        <v>1.6</v>
      </c>
    </row>
    <row r="2366" spans="1:6" x14ac:dyDescent="0.25">
      <c r="A2366" s="109">
        <v>7180</v>
      </c>
      <c r="B2366" t="s">
        <v>2982</v>
      </c>
      <c r="C2366" t="s">
        <v>2888</v>
      </c>
      <c r="D2366" s="110">
        <v>-43</v>
      </c>
      <c r="E2366" t="str">
        <f t="shared" si="94"/>
        <v>4</v>
      </c>
      <c r="F2366" t="str">
        <f t="shared" si="93"/>
        <v>1.6</v>
      </c>
    </row>
    <row r="2367" spans="1:6" x14ac:dyDescent="0.25">
      <c r="A2367" s="109">
        <v>7182</v>
      </c>
      <c r="B2367" t="s">
        <v>2983</v>
      </c>
      <c r="C2367" t="s">
        <v>2888</v>
      </c>
      <c r="D2367" s="110">
        <v>-43</v>
      </c>
      <c r="E2367" t="str">
        <f t="shared" si="94"/>
        <v>4</v>
      </c>
      <c r="F2367" t="str">
        <f t="shared" si="93"/>
        <v>1.6</v>
      </c>
    </row>
    <row r="2368" spans="1:6" x14ac:dyDescent="0.25">
      <c r="A2368" s="109">
        <v>7183</v>
      </c>
      <c r="B2368" t="s">
        <v>2984</v>
      </c>
      <c r="C2368" t="s">
        <v>2888</v>
      </c>
      <c r="D2368" s="110">
        <v>-43</v>
      </c>
      <c r="E2368" t="str">
        <f t="shared" si="94"/>
        <v>4</v>
      </c>
      <c r="F2368" t="str">
        <f t="shared" si="93"/>
        <v>1.6</v>
      </c>
    </row>
    <row r="2369" spans="1:6" x14ac:dyDescent="0.25">
      <c r="A2369" s="109">
        <v>7184</v>
      </c>
      <c r="B2369" t="s">
        <v>2985</v>
      </c>
      <c r="C2369" t="s">
        <v>2888</v>
      </c>
      <c r="D2369" s="110">
        <v>-43</v>
      </c>
      <c r="E2369" t="str">
        <f t="shared" si="94"/>
        <v>4</v>
      </c>
      <c r="F2369" t="str">
        <f t="shared" si="93"/>
        <v>1.6</v>
      </c>
    </row>
    <row r="2370" spans="1:6" x14ac:dyDescent="0.25">
      <c r="A2370" s="109">
        <v>7187</v>
      </c>
      <c r="B2370" t="s">
        <v>2986</v>
      </c>
      <c r="C2370" t="s">
        <v>2888</v>
      </c>
      <c r="D2370" s="110">
        <v>-43</v>
      </c>
      <c r="E2370" t="str">
        <f t="shared" si="94"/>
        <v>4</v>
      </c>
      <c r="F2370" t="str">
        <f t="shared" si="93"/>
        <v>1.6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"/>
  <sheetViews>
    <sheetView workbookViewId="0">
      <selection activeCell="D15" sqref="D15"/>
    </sheetView>
  </sheetViews>
  <sheetFormatPr defaultRowHeight="15" x14ac:dyDescent="0.25"/>
  <cols>
    <col min="2" max="2" width="17.5703125" customWidth="1"/>
    <col min="4" max="4" width="34" customWidth="1"/>
    <col min="5" max="5" width="12.28515625" customWidth="1"/>
    <col min="6" max="6" width="12.85546875" customWidth="1"/>
    <col min="19" max="19" width="13.5703125" customWidth="1"/>
    <col min="20" max="20" width="32.42578125" customWidth="1"/>
    <col min="21" max="21" width="38.7109375" customWidth="1"/>
    <col min="22" max="22" width="54.42578125" customWidth="1"/>
    <col min="23" max="23" width="77.7109375" customWidth="1"/>
    <col min="24" max="24" width="9.42578125" customWidth="1"/>
    <col min="26" max="26" width="9.28515625" customWidth="1"/>
    <col min="27" max="27" width="11.5703125" customWidth="1"/>
    <col min="28" max="28" width="16.5703125" customWidth="1"/>
    <col min="29" max="29" width="8.28515625" customWidth="1"/>
  </cols>
  <sheetData>
    <row r="1" spans="1:39" s="6" customFormat="1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4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3" t="s">
        <v>28</v>
      </c>
      <c r="AD1" s="3" t="s">
        <v>29</v>
      </c>
      <c r="AE1" s="5"/>
      <c r="AF1"/>
      <c r="AG1"/>
      <c r="AH1"/>
      <c r="AM1"/>
    </row>
    <row r="2" spans="1:39" x14ac:dyDescent="0.25">
      <c r="A2" s="7" t="s">
        <v>30</v>
      </c>
      <c r="B2" s="8" t="str">
        <f>VLOOKUP($A2, [6]Products!$A$2:$Y$10689, 2,FALSE )</f>
        <v>Batteries</v>
      </c>
      <c r="C2" s="8" t="str">
        <f>VLOOKUP($A2, [6]Products!$A$2:$Y$10689, 3,FALSE )</f>
        <v>BAE</v>
      </c>
      <c r="D2" s="8">
        <f>VLOOKUP($A2, [6]Products!$A$2:$Y$10689, 15,FALSE )</f>
        <v>0</v>
      </c>
      <c r="E2" s="8" t="s">
        <v>2</v>
      </c>
      <c r="F2" s="8" t="str">
        <f>VLOOKUP($A2, [6]Products!$A$2:$Y$10689, 3,FALSE )</f>
        <v>BAE</v>
      </c>
      <c r="G2" s="9">
        <v>1</v>
      </c>
      <c r="H2" s="9">
        <v>1</v>
      </c>
      <c r="I2" s="10" t="s">
        <v>31</v>
      </c>
      <c r="J2" s="8" t="str">
        <f>VLOOKUP($A2, [6]Products!$A$2:$Y$10689, 6,FALSE )</f>
        <v>MPN (Part #)</v>
      </c>
      <c r="K2" s="9">
        <v>1</v>
      </c>
      <c r="L2" s="9">
        <v>1</v>
      </c>
      <c r="M2" s="8">
        <f>VLOOKUP($A2, [6]Products!$A$2:$Y$10689, 7,FALSE )</f>
        <v>404.40000000000003</v>
      </c>
      <c r="N2" s="8">
        <f>VLOOKUP($A2, [6]Products!$A$2:$Y$10689, 9,FALSE )</f>
        <v>0</v>
      </c>
      <c r="O2" s="8">
        <f>VLOOKUP($A2, [6]Products!$A$2:$Y$10689, 10,FALSE )</f>
        <v>19.399999999999999</v>
      </c>
      <c r="P2" s="8">
        <f>VLOOKUP($A2, [6]Products!$A$2:$Y$10689, 11,FALSE )</f>
        <v>42</v>
      </c>
      <c r="Q2" s="8">
        <f>VLOOKUP($A2, [6]Products!$A$2:$Y$10689, 12,FALSE )</f>
        <v>21</v>
      </c>
      <c r="R2" s="8">
        <f>VLOOKUP($A2, [6]Products!$A$2:$Y$10689, 13,FALSE )</f>
        <v>10.5</v>
      </c>
      <c r="S2" s="8" t="str">
        <f>VLOOKUP($A2, [6]Products!$A$2:$Y$10689, 14,FALSE )</f>
        <v>2-Krannich</v>
      </c>
      <c r="T2" s="8">
        <f>VLOOKUP($A2, [6]Products!$A$2:$Y$10689, 15,FALSE )</f>
        <v>0</v>
      </c>
      <c r="U2" s="8">
        <f>VLOOKUP($A2, [6]Products!$A$2:$Y$10689, 17,FALSE )</f>
        <v>0</v>
      </c>
      <c r="V2" s="8" t="str">
        <f>IF(LEN(VLOOKUP($A2, [6]Products!$A$2:$Y$10689, 18,FALSE ))-LEN(SUBSTITUTE(VLOOKUP($A2, [6]Products!$A$2:$Y$10689, 18,FALSE ),".",""))=2, "https://www.energy-offgrid.com.au/store/images/"&amp;A2&amp;".jpg, https://www.energy-offgrid.com.au/store/images/"&amp;A2&amp;"_2.jpg", "https://www.energy-offgrid.com.au/store/images/"&amp;VLOOKUP($A2, [6]Products!$A$2:$Y$10689, 18,FALSE))</f>
        <v>https://www.energy-offgrid.com.au/store/images/</v>
      </c>
      <c r="W2" s="8">
        <f>VLOOKUP($A2, [6]Products!$A$2:$Y$10689, 19,FALSE )</f>
        <v>0</v>
      </c>
      <c r="X2" s="8">
        <f>VLOOKUP($A2, [6]Products!$A$2:$Y$10689, 20,FALSE )</f>
        <v>0</v>
      </c>
      <c r="Y2" s="8">
        <f>VLOOKUP($A2, [6]Products!$A$2:$Y$10689, 21,FALSE )</f>
        <v>0</v>
      </c>
      <c r="Z2" s="8">
        <f>VLOOKUP($A2, [6]Products!$A$2:$Y$10689, 22,FALSE )</f>
        <v>0</v>
      </c>
      <c r="AA2" s="11" t="s">
        <v>32</v>
      </c>
      <c r="AB2" s="11" t="s">
        <v>33</v>
      </c>
      <c r="AC2" s="11">
        <v>1</v>
      </c>
      <c r="AD2" s="11">
        <v>1</v>
      </c>
      <c r="AE2" s="5"/>
      <c r="AG2" s="12"/>
    </row>
    <row r="3" spans="1:39" x14ac:dyDescent="0.25">
      <c r="A3" s="7" t="s">
        <v>34</v>
      </c>
      <c r="B3" s="8" t="str">
        <f>VLOOKUP($A3, [6]Products!$A$2:$Y$10689, 2,FALSE )</f>
        <v>Batteries</v>
      </c>
      <c r="C3" s="8" t="str">
        <f>VLOOKUP($A3, [6]Products!$A$2:$Y$10689, 3,FALSE )</f>
        <v>BAE</v>
      </c>
      <c r="D3" s="8">
        <f>VLOOKUP($A3, [6]Products!$A$2:$Y$10689, 15,FALSE )</f>
        <v>0</v>
      </c>
      <c r="E3" s="8" t="s">
        <v>2</v>
      </c>
      <c r="F3" s="8" t="str">
        <f>VLOOKUP($A3, [6]Products!$A$2:$Y$10689, 3,FALSE )</f>
        <v>BAE</v>
      </c>
      <c r="G3" s="9">
        <v>1</v>
      </c>
      <c r="H3" s="9">
        <v>1</v>
      </c>
      <c r="I3" s="10" t="s">
        <v>31</v>
      </c>
      <c r="J3" s="8" t="str">
        <f>VLOOKUP($A3, [6]Products!$A$2:$Y$10689, 6,FALSE )</f>
        <v>MPN (Part #)</v>
      </c>
      <c r="K3" s="9">
        <v>1</v>
      </c>
      <c r="L3" s="9">
        <v>1</v>
      </c>
      <c r="M3" s="8">
        <f>VLOOKUP($A3, [6]Products!$A$2:$Y$10689, 7,FALSE )</f>
        <v>469.1</v>
      </c>
      <c r="N3" s="8">
        <f>VLOOKUP($A3, [6]Products!$A$2:$Y$10689, 9,FALSE )</f>
        <v>0</v>
      </c>
      <c r="O3" s="8">
        <f>VLOOKUP($A3, [6]Products!$A$2:$Y$10689, 10,FALSE )</f>
        <v>23.3</v>
      </c>
      <c r="P3" s="8">
        <f>VLOOKUP($A3, [6]Products!$A$2:$Y$10689, 11,FALSE )</f>
        <v>42</v>
      </c>
      <c r="Q3" s="8">
        <f>VLOOKUP($A3, [6]Products!$A$2:$Y$10689, 12,FALSE )</f>
        <v>21</v>
      </c>
      <c r="R3" s="8">
        <f>VLOOKUP($A3, [6]Products!$A$2:$Y$10689, 13,FALSE )</f>
        <v>12.6</v>
      </c>
      <c r="S3" s="8" t="str">
        <f>VLOOKUP($A3, [6]Products!$A$2:$Y$10689, 14,FALSE )</f>
        <v>2-Krannich</v>
      </c>
      <c r="T3" s="8">
        <f>VLOOKUP($A3, [6]Products!$A$2:$Y$10689, 15,FALSE )</f>
        <v>0</v>
      </c>
      <c r="U3" s="8">
        <f>VLOOKUP($A3, [6]Products!$A$2:$Y$10689, 17,FALSE )</f>
        <v>0</v>
      </c>
      <c r="V3" s="8" t="str">
        <f>IF(LEN(VLOOKUP($A3, [6]Products!$A$2:$Y$10689, 18,FALSE ))-LEN(SUBSTITUTE(VLOOKUP($A3, [6]Products!$A$2:$Y$10689, 18,FALSE ),".",""))=2, "https://www.energy-offgrid.com.au/store/images/"&amp;A3&amp;".jpg, https://www.energy-offgrid.com.au/store/images/"&amp;A3&amp;"_2.jpg", "https://www.energy-offgrid.com.au/store/images/"&amp;VLOOKUP($A3, [6]Products!$A$2:$Y$10689, 18,FALSE))</f>
        <v>https://www.energy-offgrid.com.au/store/images/</v>
      </c>
      <c r="W3" s="8">
        <f>VLOOKUP($A3, [6]Products!$A$2:$Y$10689, 19,FALSE )</f>
        <v>0</v>
      </c>
      <c r="X3" s="8">
        <f>VLOOKUP($A3, [6]Products!$A$2:$Y$10689, 20,FALSE )</f>
        <v>0</v>
      </c>
      <c r="Y3" s="8">
        <f>VLOOKUP($A3, [6]Products!$A$2:$Y$10689, 21,FALSE )</f>
        <v>0</v>
      </c>
      <c r="Z3" s="8">
        <f>VLOOKUP($A3, [6]Products!$A$2:$Y$10689, 22,FALSE )</f>
        <v>0</v>
      </c>
      <c r="AA3" s="11" t="s">
        <v>32</v>
      </c>
      <c r="AB3" s="11" t="s">
        <v>33</v>
      </c>
      <c r="AC3" s="11">
        <v>1</v>
      </c>
      <c r="AD3" s="11">
        <v>1</v>
      </c>
      <c r="AE3" s="5"/>
    </row>
    <row r="4" spans="1:39" x14ac:dyDescent="0.25">
      <c r="A4" s="7" t="s">
        <v>35</v>
      </c>
      <c r="B4" s="8" t="str">
        <f>VLOOKUP($A4, [6]Products!$A$2:$Y$10689, 2,FALSE )</f>
        <v>Batteries</v>
      </c>
      <c r="C4" s="8" t="str">
        <f>VLOOKUP($A4, [6]Products!$A$2:$Y$10689, 3,FALSE )</f>
        <v>BAE</v>
      </c>
      <c r="D4" s="8">
        <f>VLOOKUP($A4, [6]Products!$A$2:$Y$10689, 15,FALSE )</f>
        <v>0</v>
      </c>
      <c r="E4" s="8" t="s">
        <v>2</v>
      </c>
      <c r="F4" s="8" t="str">
        <f>VLOOKUP($A4, [6]Products!$A$2:$Y$10689, 3,FALSE )</f>
        <v>BAE</v>
      </c>
      <c r="G4" s="9">
        <v>1</v>
      </c>
      <c r="H4" s="9">
        <v>1</v>
      </c>
      <c r="I4" s="10" t="s">
        <v>31</v>
      </c>
      <c r="J4" s="8" t="str">
        <f>VLOOKUP($A4, [6]Products!$A$2:$Y$10689, 6,FALSE )</f>
        <v>MPN (Part #)</v>
      </c>
      <c r="K4" s="9">
        <v>1</v>
      </c>
      <c r="L4" s="9">
        <v>1</v>
      </c>
      <c r="M4" s="8">
        <f>VLOOKUP($A4, [6]Products!$A$2:$Y$10689, 7,FALSE )</f>
        <v>541.9</v>
      </c>
      <c r="N4" s="8">
        <f>VLOOKUP($A4, [6]Products!$A$2:$Y$10689, 9,FALSE )</f>
        <v>0</v>
      </c>
      <c r="O4" s="8">
        <f>VLOOKUP($A4, [6]Products!$A$2:$Y$10689, 10,FALSE )</f>
        <v>27.4</v>
      </c>
      <c r="P4" s="8">
        <f>VLOOKUP($A4, [6]Products!$A$2:$Y$10689, 11,FALSE )</f>
        <v>42</v>
      </c>
      <c r="Q4" s="8">
        <f>VLOOKUP($A4, [6]Products!$A$2:$Y$10689, 12,FALSE )</f>
        <v>21</v>
      </c>
      <c r="R4" s="8">
        <f>VLOOKUP($A4, [6]Products!$A$2:$Y$10689, 13,FALSE )</f>
        <v>14.7</v>
      </c>
      <c r="S4" s="8" t="str">
        <f>VLOOKUP($A4, [6]Products!$A$2:$Y$10689, 14,FALSE )</f>
        <v>2-Krannich</v>
      </c>
      <c r="T4" s="8">
        <f>VLOOKUP($A4, [6]Products!$A$2:$Y$10689, 15,FALSE )</f>
        <v>0</v>
      </c>
      <c r="U4" s="8">
        <f>VLOOKUP($A4, [6]Products!$A$2:$Y$10689, 17,FALSE )</f>
        <v>0</v>
      </c>
      <c r="V4" s="8" t="str">
        <f>IF(LEN(VLOOKUP($A4, [6]Products!$A$2:$Y$10689, 18,FALSE ))-LEN(SUBSTITUTE(VLOOKUP($A4, [6]Products!$A$2:$Y$10689, 18,FALSE ),".",""))=2, "https://www.energy-offgrid.com.au/store/images/"&amp;A4&amp;".jpg, https://www.energy-offgrid.com.au/store/images/"&amp;A4&amp;"_2.jpg", "https://www.energy-offgrid.com.au/store/images/"&amp;VLOOKUP($A4, [6]Products!$A$2:$Y$10689, 18,FALSE))</f>
        <v>https://www.energy-offgrid.com.au/store/images/</v>
      </c>
      <c r="W4" s="8">
        <f>VLOOKUP($A4, [6]Products!$A$2:$Y$10689, 19,FALSE )</f>
        <v>0</v>
      </c>
      <c r="X4" s="8">
        <f>VLOOKUP($A4, [6]Products!$A$2:$Y$10689, 20,FALSE )</f>
        <v>0</v>
      </c>
      <c r="Y4" s="8">
        <f>VLOOKUP($A4, [6]Products!$A$2:$Y$10689, 21,FALSE )</f>
        <v>0</v>
      </c>
      <c r="Z4" s="8">
        <f>VLOOKUP($A4, [6]Products!$A$2:$Y$10689, 22,FALSE )</f>
        <v>0</v>
      </c>
      <c r="AA4" s="11" t="s">
        <v>32</v>
      </c>
      <c r="AB4" s="11" t="s">
        <v>33</v>
      </c>
      <c r="AC4" s="11">
        <v>1</v>
      </c>
      <c r="AD4" s="11">
        <v>1</v>
      </c>
      <c r="AE4" s="5"/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29FC2-5BB3-40FC-9E61-D242B20F200D}">
  <sheetPr>
    <tabColor rgb="FFFFFF00"/>
  </sheetPr>
  <dimension ref="C1:CT452"/>
  <sheetViews>
    <sheetView topLeftCell="A52" zoomScale="85" zoomScaleNormal="85" workbookViewId="0">
      <selection activeCell="D2" sqref="D2"/>
    </sheetView>
  </sheetViews>
  <sheetFormatPr defaultRowHeight="15" x14ac:dyDescent="0.25"/>
  <cols>
    <col min="3" max="3" width="17.140625" customWidth="1"/>
    <col min="15" max="15" width="14.7109375" customWidth="1"/>
    <col min="16" max="16" width="10.5703125" customWidth="1"/>
    <col min="22" max="22" width="14.28515625" customWidth="1"/>
    <col min="29" max="29" width="14.7109375" customWidth="1"/>
    <col min="36" max="36" width="15.42578125" customWidth="1"/>
    <col min="43" max="43" width="14.85546875" customWidth="1"/>
    <col min="50" max="50" width="14.5703125" customWidth="1"/>
    <col min="57" max="57" width="14.7109375" customWidth="1"/>
    <col min="64" max="64" width="15.28515625" customWidth="1"/>
    <col min="71" max="71" width="16.28515625" customWidth="1"/>
    <col min="78" max="78" width="15.28515625" customWidth="1"/>
    <col min="85" max="85" width="14" customWidth="1"/>
    <col min="92" max="92" width="14.140625" customWidth="1"/>
  </cols>
  <sheetData>
    <row r="1" spans="3:46" x14ac:dyDescent="0.25">
      <c r="O1" s="60" t="s">
        <v>3546</v>
      </c>
    </row>
    <row r="2" spans="3:46" x14ac:dyDescent="0.25">
      <c r="C2" s="467" t="s">
        <v>3547</v>
      </c>
      <c r="D2" s="468" t="s">
        <v>3451</v>
      </c>
      <c r="E2" s="468" t="s">
        <v>3548</v>
      </c>
      <c r="F2" s="468" t="s">
        <v>3549</v>
      </c>
      <c r="G2" s="468" t="s">
        <v>3550</v>
      </c>
      <c r="H2" s="468" t="s">
        <v>3551</v>
      </c>
      <c r="I2" s="468" t="s">
        <v>3552</v>
      </c>
      <c r="J2" s="468" t="s">
        <v>3553</v>
      </c>
      <c r="K2" s="468" t="s">
        <v>3554</v>
      </c>
      <c r="L2" s="468" t="s">
        <v>3555</v>
      </c>
      <c r="M2" s="468" t="s">
        <v>3556</v>
      </c>
      <c r="O2" s="53" t="s">
        <v>3451</v>
      </c>
      <c r="P2" s="53" t="s">
        <v>3557</v>
      </c>
    </row>
    <row r="3" spans="3:46" x14ac:dyDescent="0.25">
      <c r="C3" s="469" t="s">
        <v>3558</v>
      </c>
      <c r="D3" s="469"/>
      <c r="E3" s="469"/>
      <c r="F3" s="469"/>
      <c r="G3" s="469"/>
      <c r="H3" s="469"/>
      <c r="I3" s="469"/>
      <c r="J3" s="469"/>
      <c r="K3" s="469"/>
      <c r="L3" s="469"/>
      <c r="M3" s="469"/>
      <c r="O3" s="53" t="s">
        <v>3548</v>
      </c>
      <c r="P3" s="53" t="s">
        <v>3559</v>
      </c>
      <c r="Q3" s="470"/>
      <c r="R3" s="471" t="s">
        <v>3560</v>
      </c>
      <c r="S3" s="472"/>
      <c r="T3" s="472"/>
      <c r="U3" s="472"/>
      <c r="V3" s="472"/>
      <c r="W3" s="472"/>
      <c r="X3" s="472"/>
      <c r="Y3" s="472"/>
      <c r="Z3" s="472"/>
      <c r="AA3" s="472"/>
    </row>
    <row r="4" spans="3:46" x14ac:dyDescent="0.25">
      <c r="C4" s="469" t="s">
        <v>3561</v>
      </c>
      <c r="D4" s="469"/>
      <c r="E4" s="469"/>
      <c r="F4" s="469"/>
      <c r="G4" s="469"/>
      <c r="H4" s="469"/>
      <c r="I4" s="469"/>
      <c r="J4" s="469"/>
      <c r="K4" s="469"/>
      <c r="L4" s="469"/>
      <c r="M4" s="469"/>
      <c r="O4" s="53" t="s">
        <v>3549</v>
      </c>
      <c r="P4" s="53" t="s">
        <v>3562</v>
      </c>
      <c r="R4" t="s">
        <v>3563</v>
      </c>
    </row>
    <row r="5" spans="3:46" x14ac:dyDescent="0.25">
      <c r="C5" s="473" t="s">
        <v>3477</v>
      </c>
      <c r="D5" s="294"/>
      <c r="E5" s="294"/>
      <c r="F5" s="294"/>
      <c r="G5" s="294"/>
      <c r="H5" s="294"/>
      <c r="I5" s="294"/>
      <c r="J5" s="294"/>
      <c r="K5" s="294"/>
      <c r="L5" s="294"/>
      <c r="M5" s="294"/>
      <c r="O5" s="53" t="s">
        <v>3550</v>
      </c>
      <c r="P5" s="53" t="s">
        <v>3564</v>
      </c>
      <c r="R5" s="474" t="s">
        <v>3451</v>
      </c>
      <c r="S5" s="475" t="s">
        <v>3565</v>
      </c>
      <c r="U5" s="476" t="s">
        <v>3548</v>
      </c>
      <c r="X5" s="476" t="s">
        <v>3549</v>
      </c>
      <c r="AA5" s="476" t="s">
        <v>3550</v>
      </c>
      <c r="AD5" s="476" t="s">
        <v>3551</v>
      </c>
      <c r="AG5" s="476" t="s">
        <v>3552</v>
      </c>
      <c r="AJ5" s="476" t="s">
        <v>3553</v>
      </c>
      <c r="AM5" s="476" t="s">
        <v>3554</v>
      </c>
      <c r="AP5" s="476" t="s">
        <v>3555</v>
      </c>
      <c r="AS5" s="476" t="s">
        <v>3556</v>
      </c>
    </row>
    <row r="6" spans="3:46" x14ac:dyDescent="0.25">
      <c r="C6" s="477" t="s">
        <v>3566</v>
      </c>
      <c r="D6" s="294">
        <v>6.6</v>
      </c>
      <c r="E6" s="294">
        <v>7.1</v>
      </c>
      <c r="F6" s="294">
        <v>5.2</v>
      </c>
      <c r="G6" s="294">
        <v>6.4</v>
      </c>
      <c r="H6" s="294">
        <v>6.4</v>
      </c>
      <c r="I6" s="294">
        <v>6.8</v>
      </c>
      <c r="J6" s="294">
        <v>7.6</v>
      </c>
      <c r="K6" s="478">
        <v>7.5</v>
      </c>
      <c r="L6" s="294">
        <v>8.1</v>
      </c>
      <c r="M6" s="294">
        <v>5.9</v>
      </c>
      <c r="O6" s="53" t="s">
        <v>3551</v>
      </c>
      <c r="P6" s="53" t="s">
        <v>3567</v>
      </c>
      <c r="R6" s="479" t="s">
        <v>2995</v>
      </c>
      <c r="S6" s="53" t="s">
        <v>3568</v>
      </c>
      <c r="U6" s="479" t="s">
        <v>2995</v>
      </c>
      <c r="V6" s="53" t="s">
        <v>3569</v>
      </c>
      <c r="X6" s="479" t="s">
        <v>2995</v>
      </c>
      <c r="Y6" s="53" t="s">
        <v>3570</v>
      </c>
      <c r="AA6" s="479" t="s">
        <v>2995</v>
      </c>
      <c r="AB6" s="53" t="s">
        <v>3571</v>
      </c>
      <c r="AD6" s="479" t="s">
        <v>2995</v>
      </c>
      <c r="AE6" s="53" t="s">
        <v>3572</v>
      </c>
      <c r="AG6" s="479" t="s">
        <v>2995</v>
      </c>
      <c r="AH6" s="53" t="s">
        <v>3573</v>
      </c>
      <c r="AJ6" s="479" t="s">
        <v>2995</v>
      </c>
      <c r="AK6" s="53" t="s">
        <v>3574</v>
      </c>
      <c r="AM6" s="479" t="s">
        <v>2995</v>
      </c>
      <c r="AN6" s="53" t="s">
        <v>3575</v>
      </c>
      <c r="AP6" s="479" t="s">
        <v>2995</v>
      </c>
      <c r="AQ6" s="53" t="s">
        <v>3576</v>
      </c>
      <c r="AS6" s="479" t="s">
        <v>2995</v>
      </c>
      <c r="AT6" s="53" t="s">
        <v>3577</v>
      </c>
    </row>
    <row r="7" spans="3:46" x14ac:dyDescent="0.25">
      <c r="C7" s="477" t="s">
        <v>3578</v>
      </c>
      <c r="D7" s="294">
        <v>5.9</v>
      </c>
      <c r="E7" s="294">
        <v>6.1</v>
      </c>
      <c r="F7" s="294">
        <v>5.4</v>
      </c>
      <c r="G7" s="294">
        <v>5.0999999999999996</v>
      </c>
      <c r="H7" s="294">
        <v>5.6</v>
      </c>
      <c r="I7" s="294">
        <v>5.9</v>
      </c>
      <c r="J7" s="294">
        <v>6.8</v>
      </c>
      <c r="K7" s="478">
        <v>7.1</v>
      </c>
      <c r="L7" s="294">
        <v>7.1</v>
      </c>
      <c r="M7" s="294">
        <v>5.6</v>
      </c>
      <c r="O7" s="53" t="s">
        <v>3552</v>
      </c>
      <c r="P7" s="53" t="s">
        <v>3579</v>
      </c>
      <c r="R7" s="479" t="s">
        <v>2996</v>
      </c>
      <c r="S7" s="53" t="s">
        <v>3580</v>
      </c>
      <c r="U7" s="479" t="s">
        <v>2996</v>
      </c>
      <c r="V7" s="53" t="s">
        <v>3581</v>
      </c>
      <c r="X7" s="479" t="s">
        <v>2996</v>
      </c>
      <c r="Y7" s="53" t="s">
        <v>3582</v>
      </c>
      <c r="AA7" s="479" t="s">
        <v>2996</v>
      </c>
      <c r="AB7" s="53" t="s">
        <v>3583</v>
      </c>
      <c r="AD7" s="479" t="s">
        <v>2996</v>
      </c>
      <c r="AE7" s="53" t="s">
        <v>3584</v>
      </c>
      <c r="AG7" s="479" t="s">
        <v>2996</v>
      </c>
      <c r="AH7" s="53" t="s">
        <v>3585</v>
      </c>
      <c r="AJ7" s="479" t="s">
        <v>2996</v>
      </c>
      <c r="AK7" s="53" t="s">
        <v>3586</v>
      </c>
      <c r="AM7" s="479" t="s">
        <v>2996</v>
      </c>
      <c r="AN7" s="53" t="s">
        <v>3587</v>
      </c>
      <c r="AP7" s="479" t="s">
        <v>2996</v>
      </c>
      <c r="AQ7" s="53" t="s">
        <v>3588</v>
      </c>
      <c r="AS7" s="479" t="s">
        <v>2996</v>
      </c>
      <c r="AT7" s="53" t="s">
        <v>3589</v>
      </c>
    </row>
    <row r="8" spans="3:46" x14ac:dyDescent="0.25">
      <c r="C8" s="477" t="s">
        <v>3590</v>
      </c>
      <c r="D8" s="294">
        <v>5.2</v>
      </c>
      <c r="E8" s="294">
        <v>5.0999999999999996</v>
      </c>
      <c r="F8" s="294">
        <v>5.9</v>
      </c>
      <c r="G8" s="294">
        <v>3.6</v>
      </c>
      <c r="H8" s="294">
        <v>4.8</v>
      </c>
      <c r="I8" s="294">
        <v>4.5999999999999996</v>
      </c>
      <c r="J8" s="294">
        <v>5.4</v>
      </c>
      <c r="K8" s="478">
        <v>6.6</v>
      </c>
      <c r="L8" s="294">
        <v>5.8</v>
      </c>
      <c r="M8" s="294">
        <v>5.3</v>
      </c>
      <c r="O8" s="53" t="s">
        <v>3553</v>
      </c>
      <c r="P8" s="53" t="s">
        <v>3591</v>
      </c>
      <c r="R8" s="479" t="s">
        <v>2997</v>
      </c>
      <c r="S8" s="53" t="s">
        <v>3592</v>
      </c>
      <c r="U8" s="479" t="s">
        <v>2997</v>
      </c>
      <c r="V8" s="53" t="s">
        <v>3593</v>
      </c>
      <c r="X8" s="479" t="s">
        <v>2997</v>
      </c>
      <c r="Y8" s="53" t="s">
        <v>3594</v>
      </c>
      <c r="AA8" s="479" t="s">
        <v>2997</v>
      </c>
      <c r="AB8" s="53" t="s">
        <v>3595</v>
      </c>
      <c r="AD8" s="479" t="s">
        <v>2997</v>
      </c>
      <c r="AE8" s="53" t="s">
        <v>3596</v>
      </c>
      <c r="AG8" s="479" t="s">
        <v>2997</v>
      </c>
      <c r="AH8" s="53" t="s">
        <v>3597</v>
      </c>
      <c r="AJ8" s="479" t="s">
        <v>2997</v>
      </c>
      <c r="AK8" s="53" t="s">
        <v>3598</v>
      </c>
      <c r="AM8" s="479" t="s">
        <v>2997</v>
      </c>
      <c r="AN8" s="53" t="s">
        <v>3599</v>
      </c>
      <c r="AP8" s="479" t="s">
        <v>2997</v>
      </c>
      <c r="AQ8" s="53" t="s">
        <v>3600</v>
      </c>
      <c r="AS8" s="479" t="s">
        <v>2997</v>
      </c>
      <c r="AT8" s="53" t="s">
        <v>3601</v>
      </c>
    </row>
    <row r="9" spans="3:46" x14ac:dyDescent="0.25">
      <c r="C9" s="477" t="s">
        <v>3602</v>
      </c>
      <c r="D9" s="294">
        <v>4.5</v>
      </c>
      <c r="E9" s="294">
        <v>3.8</v>
      </c>
      <c r="F9" s="294">
        <v>6.1</v>
      </c>
      <c r="G9" s="294">
        <v>2.6</v>
      </c>
      <c r="H9" s="294">
        <v>3.8</v>
      </c>
      <c r="I9" s="294">
        <v>3.1</v>
      </c>
      <c r="J9" s="294">
        <v>3.8</v>
      </c>
      <c r="K9" s="478">
        <v>5.6</v>
      </c>
      <c r="L9" s="294">
        <v>4.2</v>
      </c>
      <c r="M9" s="294">
        <v>5</v>
      </c>
      <c r="O9" s="53" t="s">
        <v>3554</v>
      </c>
      <c r="P9" s="53" t="s">
        <v>3603</v>
      </c>
      <c r="R9" s="479" t="s">
        <v>2998</v>
      </c>
      <c r="S9" s="53" t="s">
        <v>3604</v>
      </c>
      <c r="U9" s="479" t="s">
        <v>2998</v>
      </c>
      <c r="V9" s="53" t="s">
        <v>3605</v>
      </c>
      <c r="X9" s="479" t="s">
        <v>2998</v>
      </c>
      <c r="Y9" s="53" t="s">
        <v>3606</v>
      </c>
      <c r="AA9" s="479" t="s">
        <v>2998</v>
      </c>
      <c r="AB9" s="53" t="s">
        <v>3607</v>
      </c>
      <c r="AD9" s="479" t="s">
        <v>2998</v>
      </c>
      <c r="AE9" s="53" t="s">
        <v>3608</v>
      </c>
      <c r="AG9" s="479" t="s">
        <v>2998</v>
      </c>
      <c r="AH9" s="53" t="s">
        <v>3609</v>
      </c>
      <c r="AJ9" s="479" t="s">
        <v>2998</v>
      </c>
      <c r="AK9" s="53" t="s">
        <v>3610</v>
      </c>
      <c r="AM9" s="479" t="s">
        <v>2998</v>
      </c>
      <c r="AN9" s="53" t="s">
        <v>3611</v>
      </c>
      <c r="AP9" s="479" t="s">
        <v>2998</v>
      </c>
      <c r="AQ9" s="53" t="s">
        <v>3612</v>
      </c>
      <c r="AS9" s="479" t="s">
        <v>2998</v>
      </c>
      <c r="AT9" s="53" t="s">
        <v>3613</v>
      </c>
    </row>
    <row r="10" spans="3:46" x14ac:dyDescent="0.25">
      <c r="C10" s="477" t="s">
        <v>2999</v>
      </c>
      <c r="D10" s="294">
        <v>3.7</v>
      </c>
      <c r="E10" s="294">
        <v>2.8</v>
      </c>
      <c r="F10" s="294">
        <v>5.7</v>
      </c>
      <c r="G10" s="294">
        <v>1.6</v>
      </c>
      <c r="H10" s="294">
        <v>2.9</v>
      </c>
      <c r="I10" s="294">
        <v>2.1</v>
      </c>
      <c r="J10" s="294">
        <v>2.6</v>
      </c>
      <c r="K10" s="478">
        <v>4.5</v>
      </c>
      <c r="L10" s="294">
        <v>3.1</v>
      </c>
      <c r="M10" s="294">
        <v>4.5</v>
      </c>
      <c r="O10" s="53" t="s">
        <v>3555</v>
      </c>
      <c r="P10" s="53" t="s">
        <v>3614</v>
      </c>
      <c r="R10" s="479" t="s">
        <v>2999</v>
      </c>
      <c r="S10" s="53" t="s">
        <v>3615</v>
      </c>
      <c r="U10" s="479" t="s">
        <v>2999</v>
      </c>
      <c r="V10" s="53" t="s">
        <v>3616</v>
      </c>
      <c r="X10" s="479" t="s">
        <v>2999</v>
      </c>
      <c r="Y10" s="53" t="s">
        <v>3617</v>
      </c>
      <c r="AA10" s="479" t="s">
        <v>2999</v>
      </c>
      <c r="AB10" s="53" t="s">
        <v>3618</v>
      </c>
      <c r="AD10" s="479" t="s">
        <v>2999</v>
      </c>
      <c r="AE10" s="53" t="s">
        <v>3619</v>
      </c>
      <c r="AG10" s="479" t="s">
        <v>2999</v>
      </c>
      <c r="AH10" s="53" t="s">
        <v>3620</v>
      </c>
      <c r="AJ10" s="479" t="s">
        <v>2999</v>
      </c>
      <c r="AK10" s="53" t="s">
        <v>3621</v>
      </c>
      <c r="AM10" s="479" t="s">
        <v>2999</v>
      </c>
      <c r="AN10" s="53" t="s">
        <v>3622</v>
      </c>
      <c r="AP10" s="479" t="s">
        <v>2999</v>
      </c>
      <c r="AQ10" s="53" t="s">
        <v>3623</v>
      </c>
      <c r="AS10" s="479" t="s">
        <v>2999</v>
      </c>
      <c r="AT10" s="53" t="s">
        <v>3624</v>
      </c>
    </row>
    <row r="11" spans="3:46" x14ac:dyDescent="0.25">
      <c r="C11" s="477" t="s">
        <v>3625</v>
      </c>
      <c r="D11" s="294">
        <v>3.3</v>
      </c>
      <c r="E11" s="294">
        <v>2.2000000000000002</v>
      </c>
      <c r="F11" s="294">
        <v>5.5</v>
      </c>
      <c r="G11" s="294">
        <v>1.3</v>
      </c>
      <c r="H11" s="294">
        <v>2.4</v>
      </c>
      <c r="I11" s="294">
        <v>1.7</v>
      </c>
      <c r="J11" s="294">
        <v>2.2000000000000002</v>
      </c>
      <c r="K11" s="478">
        <v>4.0999999999999996</v>
      </c>
      <c r="L11" s="294">
        <v>2.6</v>
      </c>
      <c r="M11" s="294">
        <v>4.2</v>
      </c>
      <c r="O11" s="53" t="s">
        <v>3556</v>
      </c>
      <c r="P11" s="53" t="s">
        <v>3626</v>
      </c>
      <c r="R11" s="479" t="s">
        <v>3000</v>
      </c>
      <c r="S11" s="53" t="s">
        <v>3627</v>
      </c>
      <c r="U11" s="479" t="s">
        <v>3000</v>
      </c>
      <c r="V11" s="53" t="s">
        <v>3628</v>
      </c>
      <c r="X11" s="479" t="s">
        <v>3000</v>
      </c>
      <c r="Y11" s="53" t="s">
        <v>3629</v>
      </c>
      <c r="AA11" s="479" t="s">
        <v>3000</v>
      </c>
      <c r="AB11" s="53" t="s">
        <v>3630</v>
      </c>
      <c r="AD11" s="479" t="s">
        <v>3000</v>
      </c>
      <c r="AE11" s="53" t="s">
        <v>3631</v>
      </c>
      <c r="AG11" s="479" t="s">
        <v>3000</v>
      </c>
      <c r="AH11" s="53" t="s">
        <v>3632</v>
      </c>
      <c r="AJ11" s="479" t="s">
        <v>3000</v>
      </c>
      <c r="AK11" s="53" t="s">
        <v>3633</v>
      </c>
      <c r="AM11" s="479" t="s">
        <v>3000</v>
      </c>
      <c r="AN11" s="53" t="s">
        <v>3634</v>
      </c>
      <c r="AP11" s="479" t="s">
        <v>3000</v>
      </c>
      <c r="AQ11" s="53" t="s">
        <v>3635</v>
      </c>
      <c r="AS11" s="479" t="s">
        <v>3000</v>
      </c>
      <c r="AT11" s="53" t="s">
        <v>3636</v>
      </c>
    </row>
    <row r="12" spans="3:46" x14ac:dyDescent="0.25">
      <c r="C12" s="477" t="s">
        <v>3637</v>
      </c>
      <c r="D12" s="294">
        <v>3.6</v>
      </c>
      <c r="E12" s="294">
        <v>2.5</v>
      </c>
      <c r="F12" s="294">
        <v>5.7</v>
      </c>
      <c r="G12" s="294">
        <v>1.5</v>
      </c>
      <c r="H12" s="294">
        <v>2.7</v>
      </c>
      <c r="I12" s="294">
        <v>1.9</v>
      </c>
      <c r="J12" s="294">
        <v>2.4</v>
      </c>
      <c r="K12" s="478">
        <v>4.4000000000000004</v>
      </c>
      <c r="L12" s="294">
        <v>2.8</v>
      </c>
      <c r="M12" s="294">
        <v>4.5</v>
      </c>
      <c r="O12" s="480" t="s">
        <v>3638</v>
      </c>
      <c r="P12" s="481"/>
      <c r="R12" s="479" t="s">
        <v>3001</v>
      </c>
      <c r="S12" s="53" t="s">
        <v>3639</v>
      </c>
      <c r="U12" s="479" t="s">
        <v>3001</v>
      </c>
      <c r="V12" s="53" t="s">
        <v>3640</v>
      </c>
      <c r="X12" s="479" t="s">
        <v>3001</v>
      </c>
      <c r="Y12" s="53" t="s">
        <v>3641</v>
      </c>
      <c r="AA12" s="479" t="s">
        <v>3001</v>
      </c>
      <c r="AB12" s="53" t="s">
        <v>3642</v>
      </c>
      <c r="AD12" s="479" t="s">
        <v>3001</v>
      </c>
      <c r="AE12" s="53" t="s">
        <v>3643</v>
      </c>
      <c r="AG12" s="479" t="s">
        <v>3001</v>
      </c>
      <c r="AH12" s="53" t="s">
        <v>3644</v>
      </c>
      <c r="AJ12" s="479" t="s">
        <v>3001</v>
      </c>
      <c r="AK12" s="53" t="s">
        <v>3645</v>
      </c>
      <c r="AM12" s="479" t="s">
        <v>3001</v>
      </c>
      <c r="AN12" s="53" t="s">
        <v>3646</v>
      </c>
      <c r="AP12" s="479" t="s">
        <v>3001</v>
      </c>
      <c r="AQ12" s="53" t="s">
        <v>3647</v>
      </c>
      <c r="AS12" s="479" t="s">
        <v>3001</v>
      </c>
      <c r="AT12" s="53" t="s">
        <v>3648</v>
      </c>
    </row>
    <row r="13" spans="3:46" x14ac:dyDescent="0.25">
      <c r="C13" s="477" t="s">
        <v>3649</v>
      </c>
      <c r="D13" s="294">
        <v>4.4000000000000004</v>
      </c>
      <c r="E13" s="294">
        <v>3.4</v>
      </c>
      <c r="F13" s="294">
        <v>6.3</v>
      </c>
      <c r="G13" s="294">
        <v>2.2000000000000002</v>
      </c>
      <c r="H13" s="294">
        <v>3.6</v>
      </c>
      <c r="I13" s="294">
        <v>2.7</v>
      </c>
      <c r="J13" s="294">
        <v>3.3</v>
      </c>
      <c r="K13" s="478">
        <v>5.3</v>
      </c>
      <c r="L13" s="294">
        <v>3.6</v>
      </c>
      <c r="M13" s="294">
        <v>5.2</v>
      </c>
      <c r="O13" s="482" t="s">
        <v>3451</v>
      </c>
      <c r="P13" s="53" t="s">
        <v>3650</v>
      </c>
      <c r="R13" s="479" t="s">
        <v>3002</v>
      </c>
      <c r="S13" s="53" t="s">
        <v>3651</v>
      </c>
      <c r="U13" s="479" t="s">
        <v>3002</v>
      </c>
      <c r="V13" s="53" t="s">
        <v>3652</v>
      </c>
      <c r="X13" s="479" t="s">
        <v>3002</v>
      </c>
      <c r="Y13" s="53" t="s">
        <v>3653</v>
      </c>
      <c r="AA13" s="479" t="s">
        <v>3002</v>
      </c>
      <c r="AB13" s="53" t="s">
        <v>3654</v>
      </c>
      <c r="AD13" s="479" t="s">
        <v>3002</v>
      </c>
      <c r="AE13" s="53" t="s">
        <v>3655</v>
      </c>
      <c r="AG13" s="479" t="s">
        <v>3002</v>
      </c>
      <c r="AH13" s="53" t="s">
        <v>3656</v>
      </c>
      <c r="AJ13" s="479" t="s">
        <v>3002</v>
      </c>
      <c r="AK13" s="53" t="s">
        <v>3657</v>
      </c>
      <c r="AM13" s="479" t="s">
        <v>3002</v>
      </c>
      <c r="AN13" s="53" t="s">
        <v>3658</v>
      </c>
      <c r="AP13" s="479" t="s">
        <v>3002</v>
      </c>
      <c r="AQ13" s="53" t="s">
        <v>3659</v>
      </c>
      <c r="AS13" s="479" t="s">
        <v>3002</v>
      </c>
      <c r="AT13" s="53" t="s">
        <v>3660</v>
      </c>
    </row>
    <row r="14" spans="3:46" x14ac:dyDescent="0.25">
      <c r="C14" s="477" t="s">
        <v>3661</v>
      </c>
      <c r="D14" s="294">
        <v>5.4</v>
      </c>
      <c r="E14" s="294">
        <v>4.5999999999999996</v>
      </c>
      <c r="F14" s="294">
        <v>6.6</v>
      </c>
      <c r="G14" s="294">
        <v>3.3</v>
      </c>
      <c r="H14" s="294">
        <v>4.7</v>
      </c>
      <c r="I14" s="294">
        <v>3.7</v>
      </c>
      <c r="J14" s="294">
        <v>4.4000000000000004</v>
      </c>
      <c r="K14" s="478">
        <v>6.2</v>
      </c>
      <c r="L14" s="294">
        <v>4.7</v>
      </c>
      <c r="M14" s="294">
        <v>6.1</v>
      </c>
      <c r="O14" s="482" t="s">
        <v>3548</v>
      </c>
      <c r="P14" s="53" t="s">
        <v>3662</v>
      </c>
      <c r="R14" s="479" t="s">
        <v>3003</v>
      </c>
      <c r="S14" s="53" t="s">
        <v>3663</v>
      </c>
      <c r="U14" s="479" t="s">
        <v>3003</v>
      </c>
      <c r="V14" s="53" t="s">
        <v>3664</v>
      </c>
      <c r="X14" s="479" t="s">
        <v>3003</v>
      </c>
      <c r="Y14" s="53" t="s">
        <v>3665</v>
      </c>
      <c r="AA14" s="479" t="s">
        <v>3003</v>
      </c>
      <c r="AB14" s="53" t="s">
        <v>3666</v>
      </c>
      <c r="AD14" s="479" t="s">
        <v>3003</v>
      </c>
      <c r="AE14" s="53" t="s">
        <v>3667</v>
      </c>
      <c r="AG14" s="479" t="s">
        <v>3003</v>
      </c>
      <c r="AH14" s="53" t="s">
        <v>3668</v>
      </c>
      <c r="AJ14" s="479" t="s">
        <v>3003</v>
      </c>
      <c r="AK14" s="53" t="s">
        <v>3669</v>
      </c>
      <c r="AM14" s="479" t="s">
        <v>3003</v>
      </c>
      <c r="AN14" s="53" t="s">
        <v>3670</v>
      </c>
      <c r="AP14" s="479" t="s">
        <v>3003</v>
      </c>
      <c r="AQ14" s="53" t="s">
        <v>3671</v>
      </c>
      <c r="AS14" s="479" t="s">
        <v>3003</v>
      </c>
      <c r="AT14" s="53" t="s">
        <v>3672</v>
      </c>
    </row>
    <row r="15" spans="3:46" x14ac:dyDescent="0.25">
      <c r="C15" s="477" t="s">
        <v>3673</v>
      </c>
      <c r="D15" s="294">
        <v>6</v>
      </c>
      <c r="E15" s="294">
        <v>5.8</v>
      </c>
      <c r="F15" s="294">
        <v>6.7</v>
      </c>
      <c r="G15" s="294">
        <v>4.7</v>
      </c>
      <c r="H15" s="294">
        <v>5.6</v>
      </c>
      <c r="I15" s="294">
        <v>5</v>
      </c>
      <c r="J15" s="294">
        <v>5.8</v>
      </c>
      <c r="K15" s="478">
        <v>7</v>
      </c>
      <c r="L15" s="294">
        <v>6.3</v>
      </c>
      <c r="M15" s="294">
        <v>6.5</v>
      </c>
      <c r="O15" s="482" t="s">
        <v>3549</v>
      </c>
      <c r="P15" s="53" t="s">
        <v>3674</v>
      </c>
      <c r="R15" s="479" t="s">
        <v>3004</v>
      </c>
      <c r="S15" s="53" t="s">
        <v>3675</v>
      </c>
      <c r="U15" s="479" t="s">
        <v>3004</v>
      </c>
      <c r="V15" s="53" t="s">
        <v>3676</v>
      </c>
      <c r="X15" s="479" t="s">
        <v>3004</v>
      </c>
      <c r="Y15" s="53" t="s">
        <v>3677</v>
      </c>
      <c r="AA15" s="479" t="s">
        <v>3004</v>
      </c>
      <c r="AB15" s="53" t="s">
        <v>3678</v>
      </c>
      <c r="AD15" s="479" t="s">
        <v>3004</v>
      </c>
      <c r="AE15" s="53" t="s">
        <v>3679</v>
      </c>
      <c r="AG15" s="479" t="s">
        <v>3004</v>
      </c>
      <c r="AH15" s="53" t="s">
        <v>3680</v>
      </c>
      <c r="AJ15" s="479" t="s">
        <v>3004</v>
      </c>
      <c r="AK15" s="53" t="s">
        <v>3681</v>
      </c>
      <c r="AM15" s="479" t="s">
        <v>3004</v>
      </c>
      <c r="AN15" s="53" t="s">
        <v>3682</v>
      </c>
      <c r="AP15" s="479" t="s">
        <v>3004</v>
      </c>
      <c r="AQ15" s="53" t="s">
        <v>3683</v>
      </c>
      <c r="AS15" s="479" t="s">
        <v>3004</v>
      </c>
      <c r="AT15" s="53" t="s">
        <v>3684</v>
      </c>
    </row>
    <row r="16" spans="3:46" x14ac:dyDescent="0.25">
      <c r="C16" s="477" t="s">
        <v>3685</v>
      </c>
      <c r="D16" s="294">
        <v>6.6</v>
      </c>
      <c r="E16" s="294">
        <v>6.6</v>
      </c>
      <c r="F16" s="294">
        <v>6.3</v>
      </c>
      <c r="G16" s="294">
        <v>5.4</v>
      </c>
      <c r="H16" s="294">
        <v>6</v>
      </c>
      <c r="I16" s="294">
        <v>5.9</v>
      </c>
      <c r="J16" s="294">
        <v>7</v>
      </c>
      <c r="K16" s="478">
        <v>7.3</v>
      </c>
      <c r="L16" s="294">
        <v>7.5</v>
      </c>
      <c r="M16" s="294">
        <v>6.5</v>
      </c>
      <c r="O16" s="482" t="s">
        <v>3550</v>
      </c>
      <c r="P16" s="53" t="s">
        <v>3686</v>
      </c>
      <c r="R16" s="479" t="s">
        <v>3005</v>
      </c>
      <c r="S16" s="53" t="s">
        <v>3687</v>
      </c>
      <c r="U16" s="479" t="s">
        <v>3005</v>
      </c>
      <c r="V16" s="53" t="s">
        <v>3688</v>
      </c>
      <c r="X16" s="479" t="s">
        <v>3005</v>
      </c>
      <c r="Y16" s="53" t="s">
        <v>3689</v>
      </c>
      <c r="AA16" s="479" t="s">
        <v>3005</v>
      </c>
      <c r="AB16" s="53" t="s">
        <v>3690</v>
      </c>
      <c r="AD16" s="479" t="s">
        <v>3005</v>
      </c>
      <c r="AE16" s="53" t="s">
        <v>3691</v>
      </c>
      <c r="AG16" s="479" t="s">
        <v>3005</v>
      </c>
      <c r="AH16" s="53" t="s">
        <v>3692</v>
      </c>
      <c r="AJ16" s="479" t="s">
        <v>3005</v>
      </c>
      <c r="AK16" s="53" t="s">
        <v>3693</v>
      </c>
      <c r="AM16" s="479" t="s">
        <v>3005</v>
      </c>
      <c r="AN16" s="53" t="s">
        <v>3694</v>
      </c>
      <c r="AP16" s="479" t="s">
        <v>3005</v>
      </c>
      <c r="AQ16" s="53" t="s">
        <v>3695</v>
      </c>
      <c r="AS16" s="479" t="s">
        <v>3005</v>
      </c>
      <c r="AT16" s="53" t="s">
        <v>3696</v>
      </c>
    </row>
    <row r="17" spans="3:97" x14ac:dyDescent="0.25">
      <c r="C17" s="477" t="s">
        <v>3697</v>
      </c>
      <c r="D17" s="294">
        <v>6.7</v>
      </c>
      <c r="E17" s="294">
        <v>7.2</v>
      </c>
      <c r="F17" s="294">
        <v>5.6</v>
      </c>
      <c r="G17" s="294">
        <v>6.3</v>
      </c>
      <c r="H17" s="294">
        <v>6.5</v>
      </c>
      <c r="I17" s="294">
        <v>6.7</v>
      </c>
      <c r="J17" s="294">
        <v>7.5</v>
      </c>
      <c r="K17" s="478">
        <v>7.4</v>
      </c>
      <c r="L17" s="294">
        <v>8.3000000000000007</v>
      </c>
      <c r="M17" s="294">
        <v>6.3</v>
      </c>
      <c r="O17" s="482" t="s">
        <v>3551</v>
      </c>
      <c r="P17" s="53" t="s">
        <v>3698</v>
      </c>
      <c r="R17" s="479" t="s">
        <v>3006</v>
      </c>
      <c r="S17" s="53" t="s">
        <v>3699</v>
      </c>
      <c r="U17" s="479" t="s">
        <v>3006</v>
      </c>
      <c r="V17" s="53" t="s">
        <v>3700</v>
      </c>
      <c r="X17" s="479" t="s">
        <v>3006</v>
      </c>
      <c r="Y17" s="53" t="s">
        <v>3701</v>
      </c>
      <c r="AA17" s="479" t="s">
        <v>3006</v>
      </c>
      <c r="AB17" s="53" t="s">
        <v>3702</v>
      </c>
      <c r="AD17" s="479" t="s">
        <v>3006</v>
      </c>
      <c r="AE17" s="53" t="s">
        <v>3703</v>
      </c>
      <c r="AG17" s="479" t="s">
        <v>3006</v>
      </c>
      <c r="AH17" s="53" t="s">
        <v>3704</v>
      </c>
      <c r="AJ17" s="479" t="s">
        <v>3006</v>
      </c>
      <c r="AK17" s="53" t="s">
        <v>3705</v>
      </c>
      <c r="AM17" s="479" t="s">
        <v>3006</v>
      </c>
      <c r="AN17" s="53" t="s">
        <v>3706</v>
      </c>
      <c r="AP17" s="479" t="s">
        <v>3006</v>
      </c>
      <c r="AQ17" s="53" t="s">
        <v>3707</v>
      </c>
      <c r="AS17" s="479" t="s">
        <v>3006</v>
      </c>
      <c r="AT17" s="53" t="s">
        <v>3708</v>
      </c>
    </row>
    <row r="18" spans="3:97" x14ac:dyDescent="0.25">
      <c r="C18" s="473" t="s">
        <v>3709</v>
      </c>
      <c r="D18" s="483">
        <f t="shared" ref="D18:M18" si="0">ROUND(AVERAGE(D6:D17), 1)</f>
        <v>5.2</v>
      </c>
      <c r="E18" s="483">
        <f t="shared" si="0"/>
        <v>4.8</v>
      </c>
      <c r="F18" s="483">
        <f t="shared" si="0"/>
        <v>5.9</v>
      </c>
      <c r="G18" s="483">
        <f t="shared" si="0"/>
        <v>3.7</v>
      </c>
      <c r="H18" s="483">
        <f t="shared" si="0"/>
        <v>4.5999999999999996</v>
      </c>
      <c r="I18" s="483">
        <f t="shared" si="0"/>
        <v>4.2</v>
      </c>
      <c r="J18" s="483">
        <f t="shared" si="0"/>
        <v>4.9000000000000004</v>
      </c>
      <c r="K18" s="483">
        <f t="shared" si="0"/>
        <v>6.1</v>
      </c>
      <c r="L18" s="483">
        <f t="shared" si="0"/>
        <v>5.3</v>
      </c>
      <c r="M18" s="483">
        <f t="shared" si="0"/>
        <v>5.5</v>
      </c>
      <c r="O18" s="482" t="s">
        <v>3552</v>
      </c>
      <c r="P18" s="53" t="s">
        <v>3710</v>
      </c>
    </row>
    <row r="19" spans="3:97" ht="15.75" customHeight="1" x14ac:dyDescent="0.25"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O19" s="482" t="s">
        <v>3553</v>
      </c>
      <c r="P19" s="53" t="s">
        <v>3711</v>
      </c>
    </row>
    <row r="20" spans="3:97" x14ac:dyDescent="0.25">
      <c r="C20" s="53" t="s">
        <v>3712</v>
      </c>
      <c r="D20" s="53">
        <v>1971</v>
      </c>
      <c r="E20" s="53">
        <v>1789</v>
      </c>
      <c r="F20" s="53">
        <v>2117</v>
      </c>
      <c r="G20" s="53">
        <v>1424</v>
      </c>
      <c r="H20" s="53">
        <v>1862</v>
      </c>
      <c r="I20" s="53">
        <v>1679</v>
      </c>
      <c r="J20" s="53">
        <v>2060</v>
      </c>
      <c r="K20" s="53">
        <v>2224</v>
      </c>
      <c r="L20" s="53">
        <v>1935</v>
      </c>
      <c r="M20" s="53">
        <f>5.6*365</f>
        <v>2043.9999999999998</v>
      </c>
      <c r="O20" s="482" t="s">
        <v>3554</v>
      </c>
      <c r="P20" s="53" t="s">
        <v>3713</v>
      </c>
    </row>
    <row r="21" spans="3:97" x14ac:dyDescent="0.25">
      <c r="O21" s="482" t="s">
        <v>3555</v>
      </c>
      <c r="P21" s="53" t="s">
        <v>3714</v>
      </c>
    </row>
    <row r="22" spans="3:97" ht="18.75" x14ac:dyDescent="0.3">
      <c r="C22" s="484" t="s">
        <v>3715</v>
      </c>
      <c r="O22" s="482" t="s">
        <v>3556</v>
      </c>
      <c r="P22" s="53" t="s">
        <v>3716</v>
      </c>
    </row>
    <row r="23" spans="3:97" x14ac:dyDescent="0.25">
      <c r="C23" t="s">
        <v>3717</v>
      </c>
    </row>
    <row r="24" spans="3:97" ht="15.75" thickBot="1" x14ac:dyDescent="0.3"/>
    <row r="25" spans="3:97" ht="16.5" thickBot="1" x14ac:dyDescent="0.3">
      <c r="C25" s="784" t="s">
        <v>3718</v>
      </c>
      <c r="D25" s="785"/>
      <c r="E25" s="785"/>
      <c r="F25" s="785"/>
      <c r="G25" s="785"/>
      <c r="H25" s="785"/>
      <c r="I25" s="785"/>
      <c r="J25" s="785"/>
      <c r="K25" s="785"/>
      <c r="L25" s="785"/>
      <c r="M25" s="485"/>
      <c r="O25" s="486" t="s">
        <v>3719</v>
      </c>
    </row>
    <row r="26" spans="3:97" ht="16.5" customHeight="1" thickBot="1" x14ac:dyDescent="0.3">
      <c r="C26" s="780" t="s">
        <v>3720</v>
      </c>
      <c r="D26" s="781" t="s">
        <v>3721</v>
      </c>
      <c r="E26" s="782"/>
      <c r="F26" s="782"/>
      <c r="G26" s="782"/>
      <c r="H26" s="782"/>
      <c r="I26" s="782"/>
      <c r="J26" s="782"/>
      <c r="K26" s="782"/>
      <c r="L26" s="782"/>
      <c r="M26" s="487"/>
      <c r="O26" s="777" t="str">
        <f>O25&amp;" - Janurary"</f>
        <v>BRISBANE - Janurary</v>
      </c>
      <c r="P26" s="778"/>
      <c r="Q26" s="778"/>
      <c r="R26" s="778"/>
      <c r="S26" s="778"/>
      <c r="T26" s="779"/>
      <c r="V26" s="777" t="str">
        <f>O25&amp;" - February"</f>
        <v>BRISBANE - February</v>
      </c>
      <c r="W26" s="778"/>
      <c r="X26" s="778"/>
      <c r="Y26" s="778"/>
      <c r="Z26" s="778"/>
      <c r="AA26" s="779"/>
      <c r="AC26" s="777" t="str">
        <f>O25&amp;" - March"</f>
        <v>BRISBANE - March</v>
      </c>
      <c r="AD26" s="778"/>
      <c r="AE26" s="778"/>
      <c r="AF26" s="778"/>
      <c r="AG26" s="778"/>
      <c r="AH26" s="779"/>
      <c r="AJ26" s="777" t="str">
        <f>O25&amp;" - April"</f>
        <v>BRISBANE - April</v>
      </c>
      <c r="AK26" s="778"/>
      <c r="AL26" s="778"/>
      <c r="AM26" s="778"/>
      <c r="AN26" s="778"/>
      <c r="AO26" s="779"/>
      <c r="AQ26" s="777" t="str">
        <f>O25&amp;" - May"</f>
        <v>BRISBANE - May</v>
      </c>
      <c r="AR26" s="778"/>
      <c r="AS26" s="778"/>
      <c r="AT26" s="778"/>
      <c r="AU26" s="778"/>
      <c r="AV26" s="779"/>
      <c r="AX26" s="777" t="str">
        <f>O25&amp;" - June"</f>
        <v>BRISBANE - June</v>
      </c>
      <c r="AY26" s="778"/>
      <c r="AZ26" s="778"/>
      <c r="BA26" s="778"/>
      <c r="BB26" s="778"/>
      <c r="BC26" s="779"/>
      <c r="BE26" s="777" t="str">
        <f>O25&amp;" - July"</f>
        <v>BRISBANE - July</v>
      </c>
      <c r="BF26" s="778"/>
      <c r="BG26" s="778"/>
      <c r="BH26" s="778"/>
      <c r="BI26" s="778"/>
      <c r="BJ26" s="779"/>
      <c r="BL26" s="777" t="str">
        <f>O25&amp;" - August"</f>
        <v>BRISBANE - August</v>
      </c>
      <c r="BM26" s="778"/>
      <c r="BN26" s="778"/>
      <c r="BO26" s="778"/>
      <c r="BP26" s="778"/>
      <c r="BQ26" s="779"/>
      <c r="BS26" s="777" t="str">
        <f>O25&amp;" - September"</f>
        <v>BRISBANE - September</v>
      </c>
      <c r="BT26" s="778"/>
      <c r="BU26" s="778"/>
      <c r="BV26" s="778"/>
      <c r="BW26" s="778"/>
      <c r="BX26" s="779"/>
      <c r="BZ26" s="777" t="str">
        <f>O25&amp;" - October"</f>
        <v>BRISBANE - October</v>
      </c>
      <c r="CA26" s="778"/>
      <c r="CB26" s="778"/>
      <c r="CC26" s="778"/>
      <c r="CD26" s="778"/>
      <c r="CE26" s="779"/>
      <c r="CG26" s="777" t="str">
        <f>O25&amp;" - November"</f>
        <v>BRISBANE - November</v>
      </c>
      <c r="CH26" s="778"/>
      <c r="CI26" s="778"/>
      <c r="CJ26" s="778"/>
      <c r="CK26" s="778"/>
      <c r="CL26" s="779"/>
      <c r="CN26" s="777" t="str">
        <f>O25&amp;" - December"</f>
        <v>BRISBANE - December</v>
      </c>
      <c r="CO26" s="778"/>
      <c r="CP26" s="778"/>
      <c r="CQ26" s="778"/>
      <c r="CR26" s="778"/>
      <c r="CS26" s="779"/>
    </row>
    <row r="27" spans="3:97" ht="15.75" thickBot="1" x14ac:dyDescent="0.3">
      <c r="C27" s="773"/>
      <c r="D27" s="488">
        <v>0</v>
      </c>
      <c r="E27" s="488">
        <v>10</v>
      </c>
      <c r="F27" s="488">
        <v>20</v>
      </c>
      <c r="G27" s="488">
        <v>30</v>
      </c>
      <c r="H27" s="488">
        <v>40</v>
      </c>
      <c r="I27" s="488">
        <v>50</v>
      </c>
      <c r="J27" s="488">
        <v>60</v>
      </c>
      <c r="K27" s="488">
        <v>70</v>
      </c>
      <c r="L27" s="488">
        <v>80</v>
      </c>
      <c r="M27" s="488">
        <v>90</v>
      </c>
      <c r="O27" s="772" t="s">
        <v>3720</v>
      </c>
      <c r="P27" s="774" t="s">
        <v>3721</v>
      </c>
      <c r="Q27" s="775"/>
      <c r="R27" s="775"/>
      <c r="S27" s="775"/>
      <c r="T27" s="776"/>
      <c r="V27" s="772" t="s">
        <v>3720</v>
      </c>
      <c r="W27" s="774" t="s">
        <v>3721</v>
      </c>
      <c r="X27" s="775"/>
      <c r="Y27" s="775"/>
      <c r="Z27" s="775"/>
      <c r="AA27" s="776"/>
      <c r="AC27" s="772" t="s">
        <v>3720</v>
      </c>
      <c r="AD27" s="774" t="s">
        <v>3721</v>
      </c>
      <c r="AE27" s="775"/>
      <c r="AF27" s="775"/>
      <c r="AG27" s="775"/>
      <c r="AH27" s="776"/>
      <c r="AJ27" s="772" t="s">
        <v>3720</v>
      </c>
      <c r="AK27" s="774" t="s">
        <v>3721</v>
      </c>
      <c r="AL27" s="775"/>
      <c r="AM27" s="775"/>
      <c r="AN27" s="775"/>
      <c r="AO27" s="776"/>
      <c r="AQ27" s="772" t="s">
        <v>3720</v>
      </c>
      <c r="AR27" s="774" t="s">
        <v>3721</v>
      </c>
      <c r="AS27" s="775"/>
      <c r="AT27" s="775"/>
      <c r="AU27" s="775"/>
      <c r="AV27" s="776"/>
      <c r="AX27" s="772" t="s">
        <v>3720</v>
      </c>
      <c r="AY27" s="774" t="s">
        <v>3721</v>
      </c>
      <c r="AZ27" s="775"/>
      <c r="BA27" s="775"/>
      <c r="BB27" s="775"/>
      <c r="BC27" s="776"/>
      <c r="BE27" s="772" t="s">
        <v>3720</v>
      </c>
      <c r="BF27" s="774" t="s">
        <v>3721</v>
      </c>
      <c r="BG27" s="775"/>
      <c r="BH27" s="775"/>
      <c r="BI27" s="775"/>
      <c r="BJ27" s="776"/>
      <c r="BL27" s="772" t="s">
        <v>3720</v>
      </c>
      <c r="BM27" s="774" t="s">
        <v>3721</v>
      </c>
      <c r="BN27" s="775"/>
      <c r="BO27" s="775"/>
      <c r="BP27" s="775"/>
      <c r="BQ27" s="776"/>
      <c r="BS27" s="772" t="s">
        <v>3720</v>
      </c>
      <c r="BT27" s="774" t="s">
        <v>3721</v>
      </c>
      <c r="BU27" s="775"/>
      <c r="BV27" s="775"/>
      <c r="BW27" s="775"/>
      <c r="BX27" s="776"/>
      <c r="BZ27" s="772" t="s">
        <v>3720</v>
      </c>
      <c r="CA27" s="774" t="s">
        <v>3721</v>
      </c>
      <c r="CB27" s="775"/>
      <c r="CC27" s="775"/>
      <c r="CD27" s="775"/>
      <c r="CE27" s="776"/>
      <c r="CG27" s="772" t="s">
        <v>3720</v>
      </c>
      <c r="CH27" s="774" t="s">
        <v>3721</v>
      </c>
      <c r="CI27" s="775"/>
      <c r="CJ27" s="775"/>
      <c r="CK27" s="775"/>
      <c r="CL27" s="776"/>
      <c r="CN27" s="772" t="s">
        <v>3720</v>
      </c>
      <c r="CO27" s="774" t="s">
        <v>3721</v>
      </c>
      <c r="CP27" s="775"/>
      <c r="CQ27" s="775"/>
      <c r="CR27" s="775"/>
      <c r="CS27" s="776"/>
    </row>
    <row r="28" spans="3:97" ht="15.75" thickBot="1" x14ac:dyDescent="0.3">
      <c r="C28" s="489">
        <v>0</v>
      </c>
      <c r="D28" s="490">
        <v>0.9</v>
      </c>
      <c r="E28" s="490">
        <v>0.95</v>
      </c>
      <c r="F28" s="490">
        <v>0.99</v>
      </c>
      <c r="G28" s="491">
        <v>1</v>
      </c>
      <c r="H28" s="490">
        <v>0.98</v>
      </c>
      <c r="I28" s="490">
        <v>0.94</v>
      </c>
      <c r="J28" s="490">
        <v>0.88</v>
      </c>
      <c r="K28" s="490">
        <v>0.8</v>
      </c>
      <c r="L28" s="490">
        <v>0.7</v>
      </c>
      <c r="M28" s="490">
        <v>0.59</v>
      </c>
      <c r="O28" s="773"/>
      <c r="P28" s="488">
        <v>0</v>
      </c>
      <c r="Q28" s="488">
        <v>10</v>
      </c>
      <c r="R28" s="488">
        <v>20</v>
      </c>
      <c r="S28" s="488">
        <v>30</v>
      </c>
      <c r="T28" s="488">
        <v>40</v>
      </c>
      <c r="V28" s="773"/>
      <c r="W28" s="488">
        <v>0</v>
      </c>
      <c r="X28" s="488">
        <v>10</v>
      </c>
      <c r="Y28" s="488">
        <v>20</v>
      </c>
      <c r="Z28" s="488">
        <v>30</v>
      </c>
      <c r="AA28" s="488">
        <v>40</v>
      </c>
      <c r="AC28" s="773"/>
      <c r="AD28" s="488">
        <v>0</v>
      </c>
      <c r="AE28" s="488">
        <v>10</v>
      </c>
      <c r="AF28" s="488">
        <v>20</v>
      </c>
      <c r="AG28" s="488">
        <v>30</v>
      </c>
      <c r="AH28" s="488">
        <v>40</v>
      </c>
      <c r="AJ28" s="773"/>
      <c r="AK28" s="488">
        <v>0</v>
      </c>
      <c r="AL28" s="488">
        <v>10</v>
      </c>
      <c r="AM28" s="488">
        <v>20</v>
      </c>
      <c r="AN28" s="488">
        <v>30</v>
      </c>
      <c r="AO28" s="488">
        <v>40</v>
      </c>
      <c r="AQ28" s="773"/>
      <c r="AR28" s="488">
        <v>0</v>
      </c>
      <c r="AS28" s="488">
        <v>10</v>
      </c>
      <c r="AT28" s="488">
        <v>20</v>
      </c>
      <c r="AU28" s="488">
        <v>30</v>
      </c>
      <c r="AV28" s="488">
        <v>40</v>
      </c>
      <c r="AX28" s="773"/>
      <c r="AY28" s="488">
        <v>0</v>
      </c>
      <c r="AZ28" s="488">
        <v>10</v>
      </c>
      <c r="BA28" s="488">
        <v>20</v>
      </c>
      <c r="BB28" s="488">
        <v>30</v>
      </c>
      <c r="BC28" s="488">
        <v>40</v>
      </c>
      <c r="BE28" s="773"/>
      <c r="BF28" s="488">
        <v>0</v>
      </c>
      <c r="BG28" s="488">
        <v>10</v>
      </c>
      <c r="BH28" s="488">
        <v>20</v>
      </c>
      <c r="BI28" s="488">
        <v>30</v>
      </c>
      <c r="BJ28" s="488">
        <v>40</v>
      </c>
      <c r="BL28" s="773"/>
      <c r="BM28" s="488">
        <v>0</v>
      </c>
      <c r="BN28" s="488">
        <v>10</v>
      </c>
      <c r="BO28" s="488">
        <v>20</v>
      </c>
      <c r="BP28" s="488">
        <v>30</v>
      </c>
      <c r="BQ28" s="488">
        <v>40</v>
      </c>
      <c r="BS28" s="773"/>
      <c r="BT28" s="488">
        <v>0</v>
      </c>
      <c r="BU28" s="488">
        <v>10</v>
      </c>
      <c r="BV28" s="488">
        <v>20</v>
      </c>
      <c r="BW28" s="488">
        <v>30</v>
      </c>
      <c r="BX28" s="488">
        <v>40</v>
      </c>
      <c r="BZ28" s="773"/>
      <c r="CA28" s="488">
        <v>0</v>
      </c>
      <c r="CB28" s="488">
        <v>10</v>
      </c>
      <c r="CC28" s="488">
        <v>20</v>
      </c>
      <c r="CD28" s="488">
        <v>30</v>
      </c>
      <c r="CE28" s="488">
        <v>40</v>
      </c>
      <c r="CG28" s="773"/>
      <c r="CH28" s="488">
        <v>0</v>
      </c>
      <c r="CI28" s="488">
        <v>10</v>
      </c>
      <c r="CJ28" s="488">
        <v>20</v>
      </c>
      <c r="CK28" s="488">
        <v>30</v>
      </c>
      <c r="CL28" s="488">
        <v>40</v>
      </c>
      <c r="CN28" s="773"/>
      <c r="CO28" s="488">
        <v>0</v>
      </c>
      <c r="CP28" s="488">
        <v>10</v>
      </c>
      <c r="CQ28" s="488">
        <v>20</v>
      </c>
      <c r="CR28" s="488">
        <v>30</v>
      </c>
      <c r="CS28" s="488">
        <v>40</v>
      </c>
    </row>
    <row r="29" spans="3:97" ht="15.75" thickBot="1" x14ac:dyDescent="0.3">
      <c r="C29" s="489">
        <v>10</v>
      </c>
      <c r="D29" s="490">
        <v>0.9</v>
      </c>
      <c r="E29" s="490">
        <v>0.95</v>
      </c>
      <c r="F29" s="490">
        <v>0.99</v>
      </c>
      <c r="G29" s="491">
        <v>1</v>
      </c>
      <c r="H29" s="490">
        <v>0.98</v>
      </c>
      <c r="I29" s="490">
        <v>0.94</v>
      </c>
      <c r="J29" s="490">
        <v>0.88</v>
      </c>
      <c r="K29" s="490">
        <v>0.8</v>
      </c>
      <c r="L29" s="490">
        <v>0.71</v>
      </c>
      <c r="M29" s="490">
        <v>0.6</v>
      </c>
      <c r="O29" s="489">
        <v>270</v>
      </c>
      <c r="P29" s="490">
        <v>1</v>
      </c>
      <c r="Q29" s="490">
        <v>1</v>
      </c>
      <c r="R29" s="490">
        <v>0.99</v>
      </c>
      <c r="S29" s="490">
        <v>0.97</v>
      </c>
      <c r="T29" s="490">
        <v>0.92</v>
      </c>
      <c r="V29" s="489">
        <v>270</v>
      </c>
      <c r="W29" s="490">
        <v>1</v>
      </c>
      <c r="X29" s="490">
        <v>1</v>
      </c>
      <c r="Y29" s="490">
        <v>0.99</v>
      </c>
      <c r="Z29" s="490">
        <v>0.97</v>
      </c>
      <c r="AA29" s="490">
        <v>0.93</v>
      </c>
      <c r="AC29" s="489">
        <v>270</v>
      </c>
      <c r="AD29" s="490">
        <v>1</v>
      </c>
      <c r="AE29" s="490">
        <v>1.01</v>
      </c>
      <c r="AF29" s="490">
        <v>1</v>
      </c>
      <c r="AG29" s="490">
        <v>0.97</v>
      </c>
      <c r="AH29" s="490">
        <v>0.94</v>
      </c>
      <c r="AJ29" s="489">
        <v>270</v>
      </c>
      <c r="AK29" s="490">
        <v>1</v>
      </c>
      <c r="AL29" s="490">
        <v>1</v>
      </c>
      <c r="AM29" s="490">
        <v>0.99</v>
      </c>
      <c r="AN29" s="490">
        <v>0.98</v>
      </c>
      <c r="AO29" s="490">
        <v>0.94</v>
      </c>
      <c r="AQ29" s="489">
        <v>270</v>
      </c>
      <c r="AR29" s="490">
        <v>1</v>
      </c>
      <c r="AS29" s="490">
        <v>1.01</v>
      </c>
      <c r="AT29" s="490">
        <v>1.01</v>
      </c>
      <c r="AU29" s="490">
        <v>0.99</v>
      </c>
      <c r="AV29" s="490">
        <v>0.96</v>
      </c>
      <c r="AX29" s="489">
        <v>270</v>
      </c>
      <c r="AY29" s="490">
        <v>1</v>
      </c>
      <c r="AZ29" s="490">
        <v>1.02</v>
      </c>
      <c r="BA29" s="490">
        <v>1.01</v>
      </c>
      <c r="BB29" s="490">
        <v>1</v>
      </c>
      <c r="BC29" s="490">
        <v>0.98</v>
      </c>
      <c r="BE29" s="489">
        <v>270</v>
      </c>
      <c r="BF29" s="490">
        <v>1</v>
      </c>
      <c r="BG29" s="490">
        <v>1.01</v>
      </c>
      <c r="BH29" s="490">
        <v>1.01</v>
      </c>
      <c r="BI29" s="490">
        <v>0.99</v>
      </c>
      <c r="BJ29" s="490">
        <v>0.97</v>
      </c>
      <c r="BL29" s="489">
        <v>270</v>
      </c>
      <c r="BM29" s="490">
        <v>1</v>
      </c>
      <c r="BN29" s="490">
        <v>1.01</v>
      </c>
      <c r="BO29" s="490">
        <v>1</v>
      </c>
      <c r="BP29" s="490">
        <v>0.98</v>
      </c>
      <c r="BQ29" s="490">
        <v>0.95</v>
      </c>
      <c r="BS29" s="489">
        <v>270</v>
      </c>
      <c r="BT29" s="490">
        <v>1</v>
      </c>
      <c r="BU29" s="490">
        <v>1.01</v>
      </c>
      <c r="BV29" s="490">
        <v>1</v>
      </c>
      <c r="BW29" s="490">
        <v>0.98</v>
      </c>
      <c r="BX29" s="490">
        <v>0.94</v>
      </c>
      <c r="BZ29" s="489">
        <v>270</v>
      </c>
      <c r="CA29" s="490">
        <v>1</v>
      </c>
      <c r="CB29" s="490">
        <v>1</v>
      </c>
      <c r="CC29" s="490">
        <v>1</v>
      </c>
      <c r="CD29" s="490">
        <v>0.97</v>
      </c>
      <c r="CE29" s="490">
        <v>0.93</v>
      </c>
      <c r="CG29" s="489">
        <v>270</v>
      </c>
      <c r="CH29" s="490">
        <v>1</v>
      </c>
      <c r="CI29" s="490">
        <v>1.01</v>
      </c>
      <c r="CJ29" s="490">
        <v>0.99</v>
      </c>
      <c r="CK29" s="490">
        <v>0.96</v>
      </c>
      <c r="CL29" s="490">
        <v>0.92</v>
      </c>
      <c r="CN29" s="489">
        <v>270</v>
      </c>
      <c r="CO29" s="490">
        <v>1</v>
      </c>
      <c r="CP29" s="490">
        <v>1</v>
      </c>
      <c r="CQ29" s="490">
        <v>0.99</v>
      </c>
      <c r="CR29" s="490">
        <v>0.96</v>
      </c>
      <c r="CS29" s="490">
        <v>0.91</v>
      </c>
    </row>
    <row r="30" spans="3:97" ht="15.75" thickBot="1" x14ac:dyDescent="0.3">
      <c r="C30" s="489">
        <v>20</v>
      </c>
      <c r="D30" s="490">
        <v>0.9</v>
      </c>
      <c r="E30" s="490">
        <v>0.95</v>
      </c>
      <c r="F30" s="490">
        <v>0.98</v>
      </c>
      <c r="G30" s="491">
        <v>0.99</v>
      </c>
      <c r="H30" s="490">
        <v>0.98</v>
      </c>
      <c r="I30" s="490">
        <v>0.94</v>
      </c>
      <c r="J30" s="490">
        <v>0.88</v>
      </c>
      <c r="K30" s="490">
        <v>0.8</v>
      </c>
      <c r="L30" s="490">
        <v>0.71</v>
      </c>
      <c r="M30" s="490">
        <v>0.61</v>
      </c>
      <c r="O30" s="489">
        <v>280</v>
      </c>
      <c r="P30" s="490">
        <v>1</v>
      </c>
      <c r="Q30" s="490">
        <v>1</v>
      </c>
      <c r="R30" s="490">
        <v>0.99</v>
      </c>
      <c r="S30" s="490">
        <v>0.97</v>
      </c>
      <c r="T30" s="490">
        <v>0.92</v>
      </c>
      <c r="V30" s="489">
        <v>280</v>
      </c>
      <c r="W30" s="490">
        <v>1</v>
      </c>
      <c r="X30" s="490">
        <v>1.01</v>
      </c>
      <c r="Y30" s="490">
        <v>1</v>
      </c>
      <c r="Z30" s="490">
        <v>0.97</v>
      </c>
      <c r="AA30" s="490">
        <v>0.94</v>
      </c>
      <c r="AC30" s="489">
        <v>280</v>
      </c>
      <c r="AD30" s="490">
        <v>1</v>
      </c>
      <c r="AE30" s="490">
        <v>1.02</v>
      </c>
      <c r="AF30" s="490">
        <v>1.02</v>
      </c>
      <c r="AG30" s="490">
        <v>1</v>
      </c>
      <c r="AH30" s="490">
        <v>0.98</v>
      </c>
      <c r="AJ30" s="489">
        <v>280</v>
      </c>
      <c r="AK30" s="490">
        <v>1</v>
      </c>
      <c r="AL30" s="490">
        <v>1.02</v>
      </c>
      <c r="AM30" s="490">
        <v>1.03</v>
      </c>
      <c r="AN30" s="490">
        <v>1.02</v>
      </c>
      <c r="AO30" s="490">
        <v>1.01</v>
      </c>
      <c r="AQ30" s="489">
        <v>280</v>
      </c>
      <c r="AR30" s="490">
        <v>1</v>
      </c>
      <c r="AS30" s="490">
        <v>1.04</v>
      </c>
      <c r="AT30" s="490">
        <v>1.06</v>
      </c>
      <c r="AU30" s="490">
        <v>1.07</v>
      </c>
      <c r="AV30" s="490">
        <v>1.05</v>
      </c>
      <c r="AX30" s="489">
        <v>280</v>
      </c>
      <c r="AY30" s="490">
        <v>1</v>
      </c>
      <c r="AZ30" s="490">
        <v>1.05</v>
      </c>
      <c r="BA30" s="490">
        <v>1.07</v>
      </c>
      <c r="BB30" s="490">
        <v>1.0900000000000001</v>
      </c>
      <c r="BC30" s="490">
        <v>1.08</v>
      </c>
      <c r="BE30" s="489">
        <v>280</v>
      </c>
      <c r="BF30" s="490">
        <v>1</v>
      </c>
      <c r="BG30" s="490">
        <v>1.04</v>
      </c>
      <c r="BH30" s="490">
        <v>1.06</v>
      </c>
      <c r="BI30" s="490">
        <v>1.08</v>
      </c>
      <c r="BJ30" s="490">
        <v>1.06</v>
      </c>
      <c r="BL30" s="489">
        <v>280</v>
      </c>
      <c r="BM30" s="490">
        <v>1</v>
      </c>
      <c r="BN30" s="490">
        <v>1.03</v>
      </c>
      <c r="BO30" s="490">
        <v>1.05</v>
      </c>
      <c r="BP30" s="490">
        <v>1.05</v>
      </c>
      <c r="BQ30" s="490">
        <v>1.03</v>
      </c>
      <c r="BS30" s="489">
        <v>280</v>
      </c>
      <c r="BT30" s="490">
        <v>1</v>
      </c>
      <c r="BU30" s="490">
        <v>1.02</v>
      </c>
      <c r="BV30" s="490">
        <v>1.03</v>
      </c>
      <c r="BW30" s="490">
        <v>1.01</v>
      </c>
      <c r="BX30" s="490">
        <v>1</v>
      </c>
      <c r="BZ30" s="489">
        <v>280</v>
      </c>
      <c r="CA30" s="490">
        <v>1</v>
      </c>
      <c r="CB30" s="490">
        <v>1.01</v>
      </c>
      <c r="CC30" s="490">
        <v>1.01</v>
      </c>
      <c r="CD30" s="490">
        <v>0.99</v>
      </c>
      <c r="CE30" s="490">
        <v>0.95</v>
      </c>
      <c r="CG30" s="489">
        <v>280</v>
      </c>
      <c r="CH30" s="490">
        <v>1</v>
      </c>
      <c r="CI30" s="490">
        <v>1.01</v>
      </c>
      <c r="CJ30" s="490">
        <v>1</v>
      </c>
      <c r="CK30" s="490">
        <v>0.96</v>
      </c>
      <c r="CL30" s="490">
        <v>0.93</v>
      </c>
      <c r="CN30" s="489">
        <v>280</v>
      </c>
      <c r="CO30" s="490">
        <v>1</v>
      </c>
      <c r="CP30" s="490">
        <v>1</v>
      </c>
      <c r="CQ30" s="490">
        <v>0.98</v>
      </c>
      <c r="CR30" s="490">
        <v>0.95</v>
      </c>
      <c r="CS30" s="490">
        <v>0.91</v>
      </c>
    </row>
    <row r="31" spans="3:97" ht="15.75" thickBot="1" x14ac:dyDescent="0.3">
      <c r="C31" s="489">
        <v>30</v>
      </c>
      <c r="D31" s="490">
        <v>0.9</v>
      </c>
      <c r="E31" s="490">
        <v>0.95</v>
      </c>
      <c r="F31" s="490">
        <v>0.98</v>
      </c>
      <c r="G31" s="491">
        <v>0.98</v>
      </c>
      <c r="H31" s="490">
        <v>0.97</v>
      </c>
      <c r="I31" s="490">
        <v>0.93</v>
      </c>
      <c r="J31" s="490">
        <v>0.87</v>
      </c>
      <c r="K31" s="490">
        <v>0.8</v>
      </c>
      <c r="L31" s="490">
        <v>0.71</v>
      </c>
      <c r="M31" s="490">
        <v>0.61</v>
      </c>
      <c r="O31" s="489">
        <v>290</v>
      </c>
      <c r="P31" s="490">
        <v>1</v>
      </c>
      <c r="Q31" s="490">
        <v>1</v>
      </c>
      <c r="R31" s="490">
        <v>0.99</v>
      </c>
      <c r="S31" s="490">
        <v>0.96</v>
      </c>
      <c r="T31" s="490">
        <v>0.92</v>
      </c>
      <c r="V31" s="489">
        <v>290</v>
      </c>
      <c r="W31" s="490">
        <v>1</v>
      </c>
      <c r="X31" s="490">
        <v>1.01</v>
      </c>
      <c r="Y31" s="490">
        <v>1</v>
      </c>
      <c r="Z31" s="490">
        <v>0.98</v>
      </c>
      <c r="AA31" s="490">
        <v>0.95</v>
      </c>
      <c r="AC31" s="489">
        <v>290</v>
      </c>
      <c r="AD31" s="490">
        <v>1</v>
      </c>
      <c r="AE31" s="490">
        <v>1.03</v>
      </c>
      <c r="AF31" s="490">
        <v>1.04</v>
      </c>
      <c r="AG31" s="490">
        <v>1.03</v>
      </c>
      <c r="AH31" s="490">
        <v>1</v>
      </c>
      <c r="AJ31" s="489">
        <v>290</v>
      </c>
      <c r="AK31" s="490">
        <v>1</v>
      </c>
      <c r="AL31" s="490">
        <v>1.04</v>
      </c>
      <c r="AM31" s="490">
        <v>1.07</v>
      </c>
      <c r="AN31" s="490">
        <v>1.07</v>
      </c>
      <c r="AO31" s="490">
        <v>1.07</v>
      </c>
      <c r="AQ31" s="489">
        <v>290</v>
      </c>
      <c r="AR31" s="490">
        <v>1</v>
      </c>
      <c r="AS31" s="490">
        <v>1.07</v>
      </c>
      <c r="AT31" s="490">
        <v>1.1100000000000001</v>
      </c>
      <c r="AU31" s="490">
        <v>1.1299999999999999</v>
      </c>
      <c r="AV31" s="490">
        <v>1.1399999999999999</v>
      </c>
      <c r="AX31" s="489">
        <v>290</v>
      </c>
      <c r="AY31" s="490">
        <v>1</v>
      </c>
      <c r="AZ31" s="490">
        <v>1.08</v>
      </c>
      <c r="BA31" s="490">
        <v>1.1299999999999999</v>
      </c>
      <c r="BB31" s="490">
        <v>1.17</v>
      </c>
      <c r="BC31" s="490">
        <v>1.19</v>
      </c>
      <c r="BE31" s="489">
        <v>290</v>
      </c>
      <c r="BF31" s="490">
        <v>1</v>
      </c>
      <c r="BG31" s="490">
        <v>1.07</v>
      </c>
      <c r="BH31" s="490">
        <v>1.1299999999999999</v>
      </c>
      <c r="BI31" s="490">
        <v>1.1599999999999999</v>
      </c>
      <c r="BJ31" s="490">
        <v>1.1599999999999999</v>
      </c>
      <c r="BL31" s="489">
        <v>290</v>
      </c>
      <c r="BM31" s="490">
        <v>1</v>
      </c>
      <c r="BN31" s="490">
        <v>1.05</v>
      </c>
      <c r="BO31" s="490">
        <v>1.0900000000000001</v>
      </c>
      <c r="BP31" s="490">
        <v>1.1000000000000001</v>
      </c>
      <c r="BQ31" s="490">
        <v>1.1000000000000001</v>
      </c>
      <c r="BS31" s="489">
        <v>290</v>
      </c>
      <c r="BT31" s="490">
        <v>1</v>
      </c>
      <c r="BU31" s="490">
        <v>1.04</v>
      </c>
      <c r="BV31" s="490">
        <v>1.05</v>
      </c>
      <c r="BW31" s="490">
        <v>1.06</v>
      </c>
      <c r="BX31" s="490">
        <v>1.04</v>
      </c>
      <c r="BZ31" s="489">
        <v>290</v>
      </c>
      <c r="CA31" s="490">
        <v>1</v>
      </c>
      <c r="CB31" s="490">
        <v>1.02</v>
      </c>
      <c r="CC31" s="490">
        <v>1.02</v>
      </c>
      <c r="CD31" s="490">
        <v>1</v>
      </c>
      <c r="CE31" s="490">
        <v>0.97</v>
      </c>
      <c r="CG31" s="489">
        <v>290</v>
      </c>
      <c r="CH31" s="490">
        <v>1</v>
      </c>
      <c r="CI31" s="490">
        <v>1.01</v>
      </c>
      <c r="CJ31" s="490">
        <v>1</v>
      </c>
      <c r="CK31" s="490">
        <v>0.96</v>
      </c>
      <c r="CL31" s="490">
        <v>0.93</v>
      </c>
      <c r="CN31" s="489">
        <v>290</v>
      </c>
      <c r="CO31" s="490">
        <v>1</v>
      </c>
      <c r="CP31" s="490">
        <v>1</v>
      </c>
      <c r="CQ31" s="490">
        <v>0.98</v>
      </c>
      <c r="CR31" s="490">
        <v>0.95</v>
      </c>
      <c r="CS31" s="490">
        <v>0.9</v>
      </c>
    </row>
    <row r="32" spans="3:97" ht="15.75" thickBot="1" x14ac:dyDescent="0.3">
      <c r="C32" s="489">
        <v>40</v>
      </c>
      <c r="D32" s="490">
        <v>0.9</v>
      </c>
      <c r="E32" s="490">
        <v>0.95</v>
      </c>
      <c r="F32" s="490">
        <v>0.97</v>
      </c>
      <c r="G32" s="491">
        <v>0.97</v>
      </c>
      <c r="H32" s="490">
        <v>0.95</v>
      </c>
      <c r="I32" s="490">
        <v>0.92</v>
      </c>
      <c r="J32" s="490">
        <v>0.86</v>
      </c>
      <c r="K32" s="490">
        <v>0.79</v>
      </c>
      <c r="L32" s="490">
        <v>0.71</v>
      </c>
      <c r="M32" s="490">
        <v>0.61</v>
      </c>
      <c r="O32" s="489">
        <v>300</v>
      </c>
      <c r="P32" s="490">
        <v>1</v>
      </c>
      <c r="Q32" s="490">
        <v>1</v>
      </c>
      <c r="R32" s="491">
        <v>0.99</v>
      </c>
      <c r="S32" s="490">
        <v>0.96</v>
      </c>
      <c r="T32" s="490">
        <v>0.91</v>
      </c>
      <c r="V32" s="489">
        <v>300</v>
      </c>
      <c r="W32" s="490">
        <v>1</v>
      </c>
      <c r="X32" s="490">
        <v>1.01</v>
      </c>
      <c r="Y32" s="491">
        <v>1.01</v>
      </c>
      <c r="Z32" s="490">
        <v>0.99</v>
      </c>
      <c r="AA32" s="490">
        <v>0.95</v>
      </c>
      <c r="AC32" s="489">
        <v>300</v>
      </c>
      <c r="AD32" s="490">
        <v>1</v>
      </c>
      <c r="AE32" s="490">
        <v>1.04</v>
      </c>
      <c r="AF32" s="491">
        <v>1.06</v>
      </c>
      <c r="AG32" s="490">
        <v>1.05</v>
      </c>
      <c r="AH32" s="490">
        <v>1.03</v>
      </c>
      <c r="AJ32" s="489">
        <v>300</v>
      </c>
      <c r="AK32" s="490">
        <v>1</v>
      </c>
      <c r="AL32" s="490">
        <v>1.06</v>
      </c>
      <c r="AM32" s="491">
        <v>1.1000000000000001</v>
      </c>
      <c r="AN32" s="490">
        <v>1.1200000000000001</v>
      </c>
      <c r="AO32" s="490">
        <v>1.1200000000000001</v>
      </c>
      <c r="AQ32" s="489">
        <v>300</v>
      </c>
      <c r="AR32" s="490">
        <v>1</v>
      </c>
      <c r="AS32" s="490">
        <v>1.0900000000000001</v>
      </c>
      <c r="AT32" s="491">
        <v>1.1599999999999999</v>
      </c>
      <c r="AU32" s="490">
        <v>1.21</v>
      </c>
      <c r="AV32" s="490">
        <v>1.23</v>
      </c>
      <c r="AX32" s="489">
        <v>300</v>
      </c>
      <c r="AY32" s="490">
        <v>1</v>
      </c>
      <c r="AZ32" s="490">
        <v>1.1100000000000001</v>
      </c>
      <c r="BA32" s="491">
        <v>1.2</v>
      </c>
      <c r="BB32" s="490">
        <v>1.25</v>
      </c>
      <c r="BC32" s="490">
        <v>1.28</v>
      </c>
      <c r="BE32" s="489">
        <v>300</v>
      </c>
      <c r="BF32" s="490">
        <v>1</v>
      </c>
      <c r="BG32" s="490">
        <v>1.1000000000000001</v>
      </c>
      <c r="BH32" s="491">
        <v>1.18</v>
      </c>
      <c r="BI32" s="490">
        <v>1.23</v>
      </c>
      <c r="BJ32" s="490">
        <v>1.26</v>
      </c>
      <c r="BL32" s="489">
        <v>300</v>
      </c>
      <c r="BM32" s="490">
        <v>1</v>
      </c>
      <c r="BN32" s="490">
        <v>1.08</v>
      </c>
      <c r="BO32" s="491">
        <v>1.1299999999999999</v>
      </c>
      <c r="BP32" s="490">
        <v>1.1599999999999999</v>
      </c>
      <c r="BQ32" s="490">
        <v>1.17</v>
      </c>
      <c r="BS32" s="489">
        <v>300</v>
      </c>
      <c r="BT32" s="490">
        <v>1</v>
      </c>
      <c r="BU32" s="490">
        <v>1.05</v>
      </c>
      <c r="BV32" s="491">
        <v>1.08</v>
      </c>
      <c r="BW32" s="490">
        <v>1.0900000000000001</v>
      </c>
      <c r="BX32" s="490">
        <v>1.07</v>
      </c>
      <c r="BZ32" s="489">
        <v>300</v>
      </c>
      <c r="CA32" s="490">
        <v>1</v>
      </c>
      <c r="CB32" s="490">
        <v>1.03</v>
      </c>
      <c r="CC32" s="491">
        <v>1.03</v>
      </c>
      <c r="CD32" s="490">
        <v>1.02</v>
      </c>
      <c r="CE32" s="490">
        <v>0.99</v>
      </c>
      <c r="CG32" s="489">
        <v>300</v>
      </c>
      <c r="CH32" s="490">
        <v>1</v>
      </c>
      <c r="CI32" s="490">
        <v>1.01</v>
      </c>
      <c r="CJ32" s="491">
        <v>1</v>
      </c>
      <c r="CK32" s="490">
        <v>0.96</v>
      </c>
      <c r="CL32" s="490">
        <v>0.92</v>
      </c>
      <c r="CN32" s="489">
        <v>300</v>
      </c>
      <c r="CO32" s="490">
        <v>1</v>
      </c>
      <c r="CP32" s="490">
        <v>1</v>
      </c>
      <c r="CQ32" s="491">
        <v>0.98</v>
      </c>
      <c r="CR32" s="490">
        <v>0.94</v>
      </c>
      <c r="CS32" s="490">
        <v>0.89</v>
      </c>
    </row>
    <row r="33" spans="3:97" ht="15.75" thickBot="1" x14ac:dyDescent="0.3">
      <c r="C33" s="489">
        <v>50</v>
      </c>
      <c r="D33" s="490">
        <v>0.9</v>
      </c>
      <c r="E33" s="490">
        <v>0.94</v>
      </c>
      <c r="F33" s="490">
        <v>0.96</v>
      </c>
      <c r="G33" s="491">
        <v>0.96</v>
      </c>
      <c r="H33" s="490">
        <v>0.93</v>
      </c>
      <c r="I33" s="490">
        <v>0.9</v>
      </c>
      <c r="J33" s="490">
        <v>0.84</v>
      </c>
      <c r="K33" s="490">
        <v>0.78</v>
      </c>
      <c r="L33" s="490">
        <v>0.7</v>
      </c>
      <c r="M33" s="490">
        <v>0.61</v>
      </c>
      <c r="O33" s="489">
        <v>310</v>
      </c>
      <c r="P33" s="490">
        <v>1</v>
      </c>
      <c r="Q33" s="490">
        <v>1</v>
      </c>
      <c r="R33" s="491">
        <v>0.98</v>
      </c>
      <c r="S33" s="490">
        <v>0.95</v>
      </c>
      <c r="T33" s="490">
        <v>0.9</v>
      </c>
      <c r="V33" s="489">
        <v>310</v>
      </c>
      <c r="W33" s="490">
        <v>1</v>
      </c>
      <c r="X33" s="490">
        <v>1.02</v>
      </c>
      <c r="Y33" s="491">
        <v>1.01</v>
      </c>
      <c r="Z33" s="490">
        <v>1</v>
      </c>
      <c r="AA33" s="490">
        <v>0.95</v>
      </c>
      <c r="AC33" s="489">
        <v>310</v>
      </c>
      <c r="AD33" s="490">
        <v>1</v>
      </c>
      <c r="AE33" s="490">
        <v>1.05</v>
      </c>
      <c r="AF33" s="491">
        <v>1.07</v>
      </c>
      <c r="AG33" s="490">
        <v>1.07</v>
      </c>
      <c r="AH33" s="490">
        <v>1.05</v>
      </c>
      <c r="AJ33" s="489">
        <v>310</v>
      </c>
      <c r="AK33" s="490">
        <v>1</v>
      </c>
      <c r="AL33" s="490">
        <v>1.08</v>
      </c>
      <c r="AM33" s="491">
        <v>1.1299999999999999</v>
      </c>
      <c r="AN33" s="490">
        <v>1.1599999999999999</v>
      </c>
      <c r="AO33" s="490">
        <v>1.17</v>
      </c>
      <c r="AQ33" s="489">
        <v>310</v>
      </c>
      <c r="AR33" s="490">
        <v>1</v>
      </c>
      <c r="AS33" s="490">
        <v>1.1100000000000001</v>
      </c>
      <c r="AT33" s="491">
        <v>1.21</v>
      </c>
      <c r="AU33" s="490">
        <v>1.28</v>
      </c>
      <c r="AV33" s="490">
        <v>1.3</v>
      </c>
      <c r="AX33" s="489">
        <v>310</v>
      </c>
      <c r="AY33" s="490">
        <v>1</v>
      </c>
      <c r="AZ33" s="490">
        <v>1.1299999999999999</v>
      </c>
      <c r="BA33" s="491">
        <v>1.24</v>
      </c>
      <c r="BB33" s="490">
        <v>1.33</v>
      </c>
      <c r="BC33" s="490">
        <v>1.38</v>
      </c>
      <c r="BE33" s="489">
        <v>310</v>
      </c>
      <c r="BF33" s="490">
        <v>1</v>
      </c>
      <c r="BG33" s="490">
        <v>1.1299999999999999</v>
      </c>
      <c r="BH33" s="491">
        <v>1.23</v>
      </c>
      <c r="BI33" s="490">
        <v>1.3</v>
      </c>
      <c r="BJ33" s="490">
        <v>1.35</v>
      </c>
      <c r="BL33" s="489">
        <v>310</v>
      </c>
      <c r="BM33" s="490">
        <v>1</v>
      </c>
      <c r="BN33" s="490">
        <v>1.1000000000000001</v>
      </c>
      <c r="BO33" s="491">
        <v>1.17</v>
      </c>
      <c r="BP33" s="490">
        <v>1.22</v>
      </c>
      <c r="BQ33" s="490">
        <v>1.23</v>
      </c>
      <c r="BS33" s="489">
        <v>310</v>
      </c>
      <c r="BT33" s="490">
        <v>1</v>
      </c>
      <c r="BU33" s="490">
        <v>1.06</v>
      </c>
      <c r="BV33" s="491">
        <v>1.1000000000000001</v>
      </c>
      <c r="BW33" s="490">
        <v>1.1200000000000001</v>
      </c>
      <c r="BX33" s="490">
        <v>1.1100000000000001</v>
      </c>
      <c r="BZ33" s="489">
        <v>310</v>
      </c>
      <c r="CA33" s="490">
        <v>1</v>
      </c>
      <c r="CB33" s="490">
        <v>1.03</v>
      </c>
      <c r="CC33" s="491">
        <v>1.04</v>
      </c>
      <c r="CD33" s="490">
        <v>1.03</v>
      </c>
      <c r="CE33" s="490">
        <v>1</v>
      </c>
      <c r="CG33" s="489">
        <v>310</v>
      </c>
      <c r="CH33" s="490">
        <v>1</v>
      </c>
      <c r="CI33" s="490">
        <v>1.01</v>
      </c>
      <c r="CJ33" s="491">
        <v>0.99</v>
      </c>
      <c r="CK33" s="490">
        <v>0.96</v>
      </c>
      <c r="CL33" s="490">
        <v>0.91</v>
      </c>
      <c r="CN33" s="489">
        <v>310</v>
      </c>
      <c r="CO33" s="490">
        <v>1</v>
      </c>
      <c r="CP33" s="490">
        <v>0.99</v>
      </c>
      <c r="CQ33" s="491">
        <v>0.97</v>
      </c>
      <c r="CR33" s="490">
        <v>0.93</v>
      </c>
      <c r="CS33" s="490">
        <v>0.88</v>
      </c>
    </row>
    <row r="34" spans="3:97" ht="15.75" thickBot="1" x14ac:dyDescent="0.3">
      <c r="C34" s="489">
        <v>60</v>
      </c>
      <c r="D34" s="490">
        <v>0.9</v>
      </c>
      <c r="E34" s="490">
        <v>0.93</v>
      </c>
      <c r="F34" s="490">
        <v>0.94</v>
      </c>
      <c r="G34" s="491">
        <v>0.94</v>
      </c>
      <c r="H34" s="490">
        <v>0.91</v>
      </c>
      <c r="I34" s="490">
        <v>0.88</v>
      </c>
      <c r="J34" s="490">
        <v>0.82</v>
      </c>
      <c r="K34" s="490">
        <v>0.76</v>
      </c>
      <c r="L34" s="490">
        <v>0.69</v>
      </c>
      <c r="M34" s="490">
        <v>0.6</v>
      </c>
      <c r="O34" s="489">
        <v>320</v>
      </c>
      <c r="P34" s="490">
        <v>1</v>
      </c>
      <c r="Q34" s="490">
        <v>1</v>
      </c>
      <c r="R34" s="491">
        <v>0.98</v>
      </c>
      <c r="S34" s="490">
        <v>0.94</v>
      </c>
      <c r="T34" s="490">
        <v>0.89</v>
      </c>
      <c r="V34" s="489">
        <v>320</v>
      </c>
      <c r="W34" s="490">
        <v>1</v>
      </c>
      <c r="X34" s="490">
        <v>1.02</v>
      </c>
      <c r="Y34" s="491">
        <v>1.02</v>
      </c>
      <c r="Z34" s="490">
        <v>1</v>
      </c>
      <c r="AA34" s="490">
        <v>0.96</v>
      </c>
      <c r="AC34" s="489">
        <v>320</v>
      </c>
      <c r="AD34" s="490">
        <v>1</v>
      </c>
      <c r="AE34" s="490">
        <v>1.06</v>
      </c>
      <c r="AF34" s="491">
        <v>1.08</v>
      </c>
      <c r="AG34" s="490">
        <v>1.0900000000000001</v>
      </c>
      <c r="AH34" s="490">
        <v>1.07</v>
      </c>
      <c r="AJ34" s="489">
        <v>320</v>
      </c>
      <c r="AK34" s="490">
        <v>1</v>
      </c>
      <c r="AL34" s="490">
        <v>1.0900000000000001</v>
      </c>
      <c r="AM34" s="491">
        <v>1.1599999999999999</v>
      </c>
      <c r="AN34" s="490">
        <v>1.2</v>
      </c>
      <c r="AO34" s="490">
        <v>1.21</v>
      </c>
      <c r="AQ34" s="489">
        <v>320</v>
      </c>
      <c r="AR34" s="490">
        <v>1</v>
      </c>
      <c r="AS34" s="490">
        <v>1.1399999999999999</v>
      </c>
      <c r="AT34" s="491">
        <v>1.25</v>
      </c>
      <c r="AU34" s="490">
        <v>1.33</v>
      </c>
      <c r="AV34" s="490">
        <v>1.38</v>
      </c>
      <c r="AX34" s="489">
        <v>320</v>
      </c>
      <c r="AY34" s="490">
        <v>1</v>
      </c>
      <c r="AZ34" s="490">
        <v>1.1599999999999999</v>
      </c>
      <c r="BA34" s="491">
        <v>1.29</v>
      </c>
      <c r="BB34" s="490">
        <v>1.39</v>
      </c>
      <c r="BC34" s="490">
        <v>1.45</v>
      </c>
      <c r="BE34" s="489">
        <v>320</v>
      </c>
      <c r="BF34" s="490">
        <v>1</v>
      </c>
      <c r="BG34" s="490">
        <v>1.1499999999999999</v>
      </c>
      <c r="BH34" s="491">
        <v>1.28</v>
      </c>
      <c r="BI34" s="490">
        <v>1.37</v>
      </c>
      <c r="BJ34" s="490">
        <v>1.43</v>
      </c>
      <c r="BL34" s="489">
        <v>320</v>
      </c>
      <c r="BM34" s="490">
        <v>1</v>
      </c>
      <c r="BN34" s="490">
        <v>1.1200000000000001</v>
      </c>
      <c r="BO34" s="491">
        <v>1.2</v>
      </c>
      <c r="BP34" s="490">
        <v>1.26</v>
      </c>
      <c r="BQ34" s="490">
        <v>1.29</v>
      </c>
      <c r="BS34" s="489">
        <v>320</v>
      </c>
      <c r="BT34" s="490">
        <v>1</v>
      </c>
      <c r="BU34" s="490">
        <v>1.07</v>
      </c>
      <c r="BV34" s="491">
        <v>1.1200000000000001</v>
      </c>
      <c r="BW34" s="490">
        <v>1.1399999999999999</v>
      </c>
      <c r="BX34" s="490">
        <v>1.1299999999999999</v>
      </c>
      <c r="BZ34" s="489">
        <v>320</v>
      </c>
      <c r="CA34" s="490">
        <v>1</v>
      </c>
      <c r="CB34" s="490">
        <v>1.03</v>
      </c>
      <c r="CC34" s="491">
        <v>1.05</v>
      </c>
      <c r="CD34" s="490">
        <v>1.03</v>
      </c>
      <c r="CE34" s="490">
        <v>1</v>
      </c>
      <c r="CG34" s="489">
        <v>320</v>
      </c>
      <c r="CH34" s="490">
        <v>1</v>
      </c>
      <c r="CI34" s="490">
        <v>1.01</v>
      </c>
      <c r="CJ34" s="491">
        <v>0.99</v>
      </c>
      <c r="CK34" s="490">
        <v>0.96</v>
      </c>
      <c r="CL34" s="490">
        <v>0.91</v>
      </c>
      <c r="CN34" s="489">
        <v>320</v>
      </c>
      <c r="CO34" s="490">
        <v>1</v>
      </c>
      <c r="CP34" s="490">
        <v>0.99</v>
      </c>
      <c r="CQ34" s="491">
        <v>0.97</v>
      </c>
      <c r="CR34" s="490">
        <v>0.92</v>
      </c>
      <c r="CS34" s="490">
        <v>0.86</v>
      </c>
    </row>
    <row r="35" spans="3:97" ht="15.75" thickBot="1" x14ac:dyDescent="0.3">
      <c r="C35" s="489">
        <v>70</v>
      </c>
      <c r="D35" s="490">
        <v>0.9</v>
      </c>
      <c r="E35" s="490">
        <v>0.92</v>
      </c>
      <c r="F35" s="490">
        <v>0.93</v>
      </c>
      <c r="G35" s="491">
        <v>0.92</v>
      </c>
      <c r="H35" s="490">
        <v>0.89</v>
      </c>
      <c r="I35" s="490">
        <v>0.85</v>
      </c>
      <c r="J35" s="490">
        <v>0.8</v>
      </c>
      <c r="K35" s="490">
        <v>0.74</v>
      </c>
      <c r="L35" s="490">
        <v>0.67</v>
      </c>
      <c r="M35" s="490">
        <v>0.59</v>
      </c>
      <c r="O35" s="489">
        <v>330</v>
      </c>
      <c r="P35" s="490">
        <v>1</v>
      </c>
      <c r="Q35" s="490">
        <v>1</v>
      </c>
      <c r="R35" s="491">
        <v>0.98</v>
      </c>
      <c r="S35" s="490">
        <v>0.93</v>
      </c>
      <c r="T35" s="490">
        <v>0.87</v>
      </c>
      <c r="V35" s="489">
        <v>330</v>
      </c>
      <c r="W35" s="490">
        <v>1</v>
      </c>
      <c r="X35" s="490">
        <v>1.02</v>
      </c>
      <c r="Y35" s="491">
        <v>1.02</v>
      </c>
      <c r="Z35" s="490">
        <v>1</v>
      </c>
      <c r="AA35" s="490">
        <v>0.95</v>
      </c>
      <c r="AC35" s="489">
        <v>330</v>
      </c>
      <c r="AD35" s="490">
        <v>1</v>
      </c>
      <c r="AE35" s="490">
        <v>1.06</v>
      </c>
      <c r="AF35" s="491">
        <v>1.0900000000000001</v>
      </c>
      <c r="AG35" s="490">
        <v>1.1000000000000001</v>
      </c>
      <c r="AH35" s="490">
        <v>1.0900000000000001</v>
      </c>
      <c r="AJ35" s="489">
        <v>330</v>
      </c>
      <c r="AK35" s="490">
        <v>1</v>
      </c>
      <c r="AL35" s="490">
        <v>1.1000000000000001</v>
      </c>
      <c r="AM35" s="491">
        <v>1.18</v>
      </c>
      <c r="AN35" s="490">
        <v>1.23</v>
      </c>
      <c r="AO35" s="490">
        <v>1.25</v>
      </c>
      <c r="AQ35" s="489">
        <v>330</v>
      </c>
      <c r="AR35" s="490">
        <v>1</v>
      </c>
      <c r="AS35" s="490">
        <v>1.1499999999999999</v>
      </c>
      <c r="AT35" s="491">
        <v>1.28</v>
      </c>
      <c r="AU35" s="490">
        <v>1.38</v>
      </c>
      <c r="AV35" s="490">
        <v>1.43</v>
      </c>
      <c r="AX35" s="489">
        <v>330</v>
      </c>
      <c r="AY35" s="490">
        <v>1</v>
      </c>
      <c r="AZ35" s="490">
        <v>1.18</v>
      </c>
      <c r="BA35" s="491">
        <v>1.33</v>
      </c>
      <c r="BB35" s="490">
        <v>1.45</v>
      </c>
      <c r="BC35" s="490">
        <v>1.52</v>
      </c>
      <c r="BE35" s="489">
        <v>330</v>
      </c>
      <c r="BF35" s="490">
        <v>1</v>
      </c>
      <c r="BG35" s="490">
        <v>1.17</v>
      </c>
      <c r="BH35" s="491">
        <v>1.31</v>
      </c>
      <c r="BI35" s="490">
        <v>1.42</v>
      </c>
      <c r="BJ35" s="490">
        <v>1.49</v>
      </c>
      <c r="BL35" s="489">
        <v>330</v>
      </c>
      <c r="BM35" s="490">
        <v>1</v>
      </c>
      <c r="BN35" s="490">
        <v>1.1299999999999999</v>
      </c>
      <c r="BO35" s="491">
        <v>1.23</v>
      </c>
      <c r="BP35" s="490">
        <v>1.3</v>
      </c>
      <c r="BQ35" s="490">
        <v>1.34</v>
      </c>
      <c r="BS35" s="489">
        <v>330</v>
      </c>
      <c r="BT35" s="490">
        <v>1</v>
      </c>
      <c r="BU35" s="490">
        <v>1.08</v>
      </c>
      <c r="BV35" s="491">
        <v>1.1299999999999999</v>
      </c>
      <c r="BW35" s="490">
        <v>1.1599999999999999</v>
      </c>
      <c r="BX35" s="490">
        <v>1.1599999999999999</v>
      </c>
      <c r="BZ35" s="489">
        <v>330</v>
      </c>
      <c r="CA35" s="490">
        <v>1</v>
      </c>
      <c r="CB35" s="490">
        <v>1.03</v>
      </c>
      <c r="CC35" s="491">
        <v>1.05</v>
      </c>
      <c r="CD35" s="490">
        <v>1.04</v>
      </c>
      <c r="CE35" s="490">
        <v>1</v>
      </c>
      <c r="CG35" s="489">
        <v>330</v>
      </c>
      <c r="CH35" s="490">
        <v>1</v>
      </c>
      <c r="CI35" s="490">
        <v>1.01</v>
      </c>
      <c r="CJ35" s="491">
        <v>0.99</v>
      </c>
      <c r="CK35" s="490">
        <v>0.95</v>
      </c>
      <c r="CL35" s="490">
        <v>0.89</v>
      </c>
      <c r="CN35" s="489">
        <v>330</v>
      </c>
      <c r="CO35" s="490">
        <v>1</v>
      </c>
      <c r="CP35" s="490">
        <v>0.99</v>
      </c>
      <c r="CQ35" s="491">
        <v>0.96</v>
      </c>
      <c r="CR35" s="490">
        <v>0.91</v>
      </c>
      <c r="CS35" s="490">
        <v>0.84</v>
      </c>
    </row>
    <row r="36" spans="3:97" ht="15.75" thickBot="1" x14ac:dyDescent="0.3">
      <c r="C36" s="489">
        <v>80</v>
      </c>
      <c r="D36" s="490">
        <v>0.9</v>
      </c>
      <c r="E36" s="490">
        <v>0.91</v>
      </c>
      <c r="F36" s="490">
        <v>0.91</v>
      </c>
      <c r="G36" s="491">
        <v>0.89</v>
      </c>
      <c r="H36" s="490">
        <v>0.86</v>
      </c>
      <c r="I36" s="490">
        <v>0.82</v>
      </c>
      <c r="J36" s="490">
        <v>0.77</v>
      </c>
      <c r="K36" s="490">
        <v>0.71</v>
      </c>
      <c r="L36" s="490">
        <v>0.64</v>
      </c>
      <c r="M36" s="490">
        <v>0.56999999999999995</v>
      </c>
      <c r="O36" s="489">
        <v>340</v>
      </c>
      <c r="P36" s="490">
        <v>1</v>
      </c>
      <c r="Q36" s="490">
        <v>1</v>
      </c>
      <c r="R36" s="491">
        <v>0.97</v>
      </c>
      <c r="S36" s="490">
        <v>0.93</v>
      </c>
      <c r="T36" s="490">
        <v>0.86</v>
      </c>
      <c r="V36" s="489">
        <v>340</v>
      </c>
      <c r="W36" s="490">
        <v>1</v>
      </c>
      <c r="X36" s="490">
        <v>1.02</v>
      </c>
      <c r="Y36" s="491">
        <v>1.02</v>
      </c>
      <c r="Z36" s="490">
        <v>1</v>
      </c>
      <c r="AA36" s="490">
        <v>0.95</v>
      </c>
      <c r="AC36" s="489">
        <v>340</v>
      </c>
      <c r="AD36" s="490">
        <v>1</v>
      </c>
      <c r="AE36" s="490">
        <v>1.07</v>
      </c>
      <c r="AF36" s="491">
        <v>1.1000000000000001</v>
      </c>
      <c r="AG36" s="490">
        <v>1.1200000000000001</v>
      </c>
      <c r="AH36" s="490">
        <v>1.1000000000000001</v>
      </c>
      <c r="AJ36" s="489">
        <v>340</v>
      </c>
      <c r="AK36" s="490">
        <v>1</v>
      </c>
      <c r="AL36" s="490">
        <v>1.1100000000000001</v>
      </c>
      <c r="AM36" s="491">
        <v>1.2</v>
      </c>
      <c r="AN36" s="490">
        <v>1.25</v>
      </c>
      <c r="AO36" s="490">
        <v>1.28</v>
      </c>
      <c r="AQ36" s="489">
        <v>340</v>
      </c>
      <c r="AR36" s="490">
        <v>1</v>
      </c>
      <c r="AS36" s="490">
        <v>1.17</v>
      </c>
      <c r="AT36" s="491">
        <v>1.31</v>
      </c>
      <c r="AU36" s="490">
        <v>1.41</v>
      </c>
      <c r="AV36" s="490">
        <v>1.48</v>
      </c>
      <c r="AX36" s="489">
        <v>340</v>
      </c>
      <c r="AY36" s="490">
        <v>1</v>
      </c>
      <c r="AZ36" s="490">
        <v>1.2</v>
      </c>
      <c r="BA36" s="491">
        <v>1.36</v>
      </c>
      <c r="BB36" s="490">
        <v>1.48</v>
      </c>
      <c r="BC36" s="490">
        <v>1.58</v>
      </c>
      <c r="BE36" s="489">
        <v>340</v>
      </c>
      <c r="BF36" s="490">
        <v>1</v>
      </c>
      <c r="BG36" s="490">
        <v>1.18</v>
      </c>
      <c r="BH36" s="491">
        <v>1.34</v>
      </c>
      <c r="BI36" s="490">
        <v>1.46</v>
      </c>
      <c r="BJ36" s="490">
        <v>1.54</v>
      </c>
      <c r="BL36" s="489">
        <v>340</v>
      </c>
      <c r="BM36" s="490">
        <v>1</v>
      </c>
      <c r="BN36" s="490">
        <v>1.1399999999999999</v>
      </c>
      <c r="BO36" s="491">
        <v>1.25</v>
      </c>
      <c r="BP36" s="490">
        <v>1.33</v>
      </c>
      <c r="BQ36" s="490">
        <v>1.37</v>
      </c>
      <c r="BS36" s="489">
        <v>340</v>
      </c>
      <c r="BT36" s="490">
        <v>1</v>
      </c>
      <c r="BU36" s="490">
        <v>1.08</v>
      </c>
      <c r="BV36" s="491">
        <v>1.1399999999999999</v>
      </c>
      <c r="BW36" s="490">
        <v>1.18</v>
      </c>
      <c r="BX36" s="490">
        <v>1.18</v>
      </c>
      <c r="BZ36" s="489">
        <v>340</v>
      </c>
      <c r="CA36" s="490">
        <v>1</v>
      </c>
      <c r="CB36" s="490">
        <v>1.04</v>
      </c>
      <c r="CC36" s="491">
        <v>1.05</v>
      </c>
      <c r="CD36" s="490">
        <v>1.04</v>
      </c>
      <c r="CE36" s="490">
        <v>1</v>
      </c>
      <c r="CG36" s="489">
        <v>340</v>
      </c>
      <c r="CH36" s="490">
        <v>1</v>
      </c>
      <c r="CI36" s="490">
        <v>1</v>
      </c>
      <c r="CJ36" s="491">
        <v>0.99</v>
      </c>
      <c r="CK36" s="490">
        <v>0.95</v>
      </c>
      <c r="CL36" s="490">
        <v>0.89</v>
      </c>
      <c r="CN36" s="489">
        <v>340</v>
      </c>
      <c r="CO36" s="490">
        <v>1</v>
      </c>
      <c r="CP36" s="490">
        <v>0.99</v>
      </c>
      <c r="CQ36" s="491">
        <v>0.95</v>
      </c>
      <c r="CR36" s="490">
        <v>0.9</v>
      </c>
      <c r="CS36" s="490">
        <v>0.83</v>
      </c>
    </row>
    <row r="37" spans="3:97" ht="15.75" thickBot="1" x14ac:dyDescent="0.3">
      <c r="C37" s="489">
        <v>90</v>
      </c>
      <c r="D37" s="490">
        <v>0.9</v>
      </c>
      <c r="E37" s="490">
        <v>0.91</v>
      </c>
      <c r="F37" s="490">
        <v>0.89</v>
      </c>
      <c r="G37" s="491">
        <v>0.87</v>
      </c>
      <c r="H37" s="490">
        <v>0.83</v>
      </c>
      <c r="I37" s="490">
        <v>0.79</v>
      </c>
      <c r="J37" s="490">
        <v>0.74</v>
      </c>
      <c r="K37" s="490">
        <v>0.68</v>
      </c>
      <c r="L37" s="490">
        <v>0.61</v>
      </c>
      <c r="M37" s="490">
        <v>0.55000000000000004</v>
      </c>
      <c r="O37" s="489">
        <v>350</v>
      </c>
      <c r="P37" s="490">
        <v>1</v>
      </c>
      <c r="Q37" s="490">
        <v>1</v>
      </c>
      <c r="R37" s="491">
        <v>0.97</v>
      </c>
      <c r="S37" s="490">
        <v>0.92</v>
      </c>
      <c r="T37" s="490">
        <v>0.85</v>
      </c>
      <c r="V37" s="489">
        <v>350</v>
      </c>
      <c r="W37" s="490">
        <v>1</v>
      </c>
      <c r="X37" s="490">
        <v>1.02</v>
      </c>
      <c r="Y37" s="491">
        <v>1.02</v>
      </c>
      <c r="Z37" s="490">
        <v>1</v>
      </c>
      <c r="AA37" s="490">
        <v>0.95</v>
      </c>
      <c r="AC37" s="489">
        <v>350</v>
      </c>
      <c r="AD37" s="490">
        <v>1</v>
      </c>
      <c r="AE37" s="490">
        <v>1.07</v>
      </c>
      <c r="AF37" s="491">
        <v>1.1100000000000001</v>
      </c>
      <c r="AG37" s="490">
        <v>1.1200000000000001</v>
      </c>
      <c r="AH37" s="490">
        <v>1.1100000000000001</v>
      </c>
      <c r="AJ37" s="489">
        <v>350</v>
      </c>
      <c r="AK37" s="490">
        <v>1</v>
      </c>
      <c r="AL37" s="490">
        <v>1.1200000000000001</v>
      </c>
      <c r="AM37" s="491">
        <v>1.21</v>
      </c>
      <c r="AN37" s="490">
        <v>1.27</v>
      </c>
      <c r="AO37" s="490">
        <v>1.3</v>
      </c>
      <c r="AQ37" s="489">
        <v>350</v>
      </c>
      <c r="AR37" s="490">
        <v>1</v>
      </c>
      <c r="AS37" s="490">
        <v>1.17</v>
      </c>
      <c r="AT37" s="491">
        <v>1.32</v>
      </c>
      <c r="AU37" s="490">
        <v>1.44</v>
      </c>
      <c r="AV37" s="490">
        <v>1.51</v>
      </c>
      <c r="AX37" s="489">
        <v>350</v>
      </c>
      <c r="AY37" s="490">
        <v>1</v>
      </c>
      <c r="AZ37" s="490">
        <v>1.2</v>
      </c>
      <c r="BA37" s="491">
        <v>1.38</v>
      </c>
      <c r="BB37" s="490">
        <v>1.51</v>
      </c>
      <c r="BC37" s="490">
        <v>1.61</v>
      </c>
      <c r="BE37" s="489">
        <v>350</v>
      </c>
      <c r="BF37" s="490">
        <v>1</v>
      </c>
      <c r="BG37" s="490">
        <v>1.19</v>
      </c>
      <c r="BH37" s="491">
        <v>1.35</v>
      </c>
      <c r="BI37" s="490">
        <v>1.48</v>
      </c>
      <c r="BJ37" s="490">
        <v>1.57</v>
      </c>
      <c r="BL37" s="489">
        <v>350</v>
      </c>
      <c r="BM37" s="490">
        <v>1</v>
      </c>
      <c r="BN37" s="490">
        <v>1.1399999999999999</v>
      </c>
      <c r="BO37" s="491">
        <v>1.26</v>
      </c>
      <c r="BP37" s="490">
        <v>1.35</v>
      </c>
      <c r="BQ37" s="490">
        <v>1.39</v>
      </c>
      <c r="BS37" s="489">
        <v>350</v>
      </c>
      <c r="BT37" s="490">
        <v>1</v>
      </c>
      <c r="BU37" s="490">
        <v>1.0900000000000001</v>
      </c>
      <c r="BV37" s="491">
        <v>1.1499999999999999</v>
      </c>
      <c r="BW37" s="490">
        <v>1.18</v>
      </c>
      <c r="BX37" s="490">
        <v>1.19</v>
      </c>
      <c r="BZ37" s="489">
        <v>350</v>
      </c>
      <c r="CA37" s="490">
        <v>1</v>
      </c>
      <c r="CB37" s="490">
        <v>1.04</v>
      </c>
      <c r="CC37" s="491">
        <v>1.05</v>
      </c>
      <c r="CD37" s="490">
        <v>1.04</v>
      </c>
      <c r="CE37" s="490">
        <v>1</v>
      </c>
      <c r="CG37" s="489">
        <v>350</v>
      </c>
      <c r="CH37" s="490">
        <v>1</v>
      </c>
      <c r="CI37" s="490">
        <v>1</v>
      </c>
      <c r="CJ37" s="491">
        <v>0.98</v>
      </c>
      <c r="CK37" s="490">
        <v>0.94</v>
      </c>
      <c r="CL37" s="490">
        <v>0.88</v>
      </c>
      <c r="CN37" s="489">
        <v>350</v>
      </c>
      <c r="CO37" s="490">
        <v>1</v>
      </c>
      <c r="CP37" s="490">
        <v>0.99</v>
      </c>
      <c r="CQ37" s="491">
        <v>0.95</v>
      </c>
      <c r="CR37" s="490">
        <v>0.9</v>
      </c>
      <c r="CS37" s="490">
        <v>0.83</v>
      </c>
    </row>
    <row r="38" spans="3:97" ht="15.75" thickBot="1" x14ac:dyDescent="0.3">
      <c r="C38" s="489">
        <v>100</v>
      </c>
      <c r="D38" s="490">
        <v>0.9</v>
      </c>
      <c r="E38" s="490">
        <v>0.9</v>
      </c>
      <c r="F38" s="490">
        <v>0.88</v>
      </c>
      <c r="G38" s="491">
        <v>0.84</v>
      </c>
      <c r="H38" s="490">
        <v>0.8</v>
      </c>
      <c r="I38" s="490">
        <v>0.75</v>
      </c>
      <c r="J38" s="490">
        <v>0.7</v>
      </c>
      <c r="K38" s="490">
        <v>0.64</v>
      </c>
      <c r="L38" s="490">
        <v>0.57999999999999996</v>
      </c>
      <c r="M38" s="490">
        <v>0.52</v>
      </c>
      <c r="O38" s="489">
        <v>0</v>
      </c>
      <c r="P38" s="490">
        <v>1</v>
      </c>
      <c r="Q38" s="490">
        <v>0.99</v>
      </c>
      <c r="R38" s="491">
        <v>0.97</v>
      </c>
      <c r="S38" s="490">
        <v>0.92</v>
      </c>
      <c r="T38" s="490">
        <v>0.85</v>
      </c>
      <c r="V38" s="489">
        <v>0</v>
      </c>
      <c r="W38" s="490">
        <v>1</v>
      </c>
      <c r="X38" s="490">
        <v>1.02</v>
      </c>
      <c r="Y38" s="491">
        <v>1.02</v>
      </c>
      <c r="Z38" s="490">
        <v>0.99</v>
      </c>
      <c r="AA38" s="490">
        <v>0.95</v>
      </c>
      <c r="AC38" s="489">
        <v>0</v>
      </c>
      <c r="AD38" s="490">
        <v>1</v>
      </c>
      <c r="AE38" s="490">
        <v>1.07</v>
      </c>
      <c r="AF38" s="491">
        <v>1.1100000000000001</v>
      </c>
      <c r="AG38" s="490">
        <v>1.1200000000000001</v>
      </c>
      <c r="AH38" s="490">
        <v>1.1100000000000001</v>
      </c>
      <c r="AJ38" s="489">
        <v>0</v>
      </c>
      <c r="AK38" s="490">
        <v>1</v>
      </c>
      <c r="AL38" s="490">
        <v>1.1200000000000001</v>
      </c>
      <c r="AM38" s="491">
        <v>1.21</v>
      </c>
      <c r="AN38" s="490">
        <v>1.28</v>
      </c>
      <c r="AO38" s="490">
        <v>1.3</v>
      </c>
      <c r="AQ38" s="489">
        <v>0</v>
      </c>
      <c r="AR38" s="490">
        <v>1</v>
      </c>
      <c r="AS38" s="490">
        <v>1.18</v>
      </c>
      <c r="AT38" s="491">
        <v>1.33</v>
      </c>
      <c r="AU38" s="490">
        <v>1.44</v>
      </c>
      <c r="AV38" s="490">
        <v>1.52</v>
      </c>
      <c r="AX38" s="489">
        <v>0</v>
      </c>
      <c r="AY38" s="490">
        <v>1</v>
      </c>
      <c r="AZ38" s="490">
        <v>1.2</v>
      </c>
      <c r="BA38" s="491">
        <v>1.38</v>
      </c>
      <c r="BB38" s="490">
        <v>1.52</v>
      </c>
      <c r="BC38" s="490">
        <v>1.62</v>
      </c>
      <c r="BE38" s="489">
        <v>0</v>
      </c>
      <c r="BF38" s="490">
        <v>1</v>
      </c>
      <c r="BG38" s="490">
        <v>1.19</v>
      </c>
      <c r="BH38" s="491">
        <v>1.36</v>
      </c>
      <c r="BI38" s="490">
        <v>1.49</v>
      </c>
      <c r="BJ38" s="490">
        <v>1.58</v>
      </c>
      <c r="BL38" s="489">
        <v>0</v>
      </c>
      <c r="BM38" s="490">
        <v>1</v>
      </c>
      <c r="BN38" s="490">
        <v>1.1399999999999999</v>
      </c>
      <c r="BO38" s="491">
        <v>1.27</v>
      </c>
      <c r="BP38" s="490">
        <v>1.35</v>
      </c>
      <c r="BQ38" s="490">
        <v>1.4</v>
      </c>
      <c r="BS38" s="489">
        <v>0</v>
      </c>
      <c r="BT38" s="490">
        <v>1</v>
      </c>
      <c r="BU38" s="490">
        <v>1.0900000000000001</v>
      </c>
      <c r="BV38" s="491">
        <v>1.1499999999999999</v>
      </c>
      <c r="BW38" s="490">
        <v>1.19</v>
      </c>
      <c r="BX38" s="490">
        <v>1.19</v>
      </c>
      <c r="BZ38" s="489">
        <v>0</v>
      </c>
      <c r="CA38" s="490">
        <v>1</v>
      </c>
      <c r="CB38" s="490">
        <v>1.04</v>
      </c>
      <c r="CC38" s="491">
        <v>1.05</v>
      </c>
      <c r="CD38" s="490">
        <v>1.04</v>
      </c>
      <c r="CE38" s="490">
        <v>1</v>
      </c>
      <c r="CG38" s="489">
        <v>0</v>
      </c>
      <c r="CH38" s="490">
        <v>1</v>
      </c>
      <c r="CI38" s="490">
        <v>1</v>
      </c>
      <c r="CJ38" s="491">
        <v>0.98</v>
      </c>
      <c r="CK38" s="490">
        <v>0.94</v>
      </c>
      <c r="CL38" s="490">
        <v>0.88</v>
      </c>
      <c r="CN38" s="489">
        <v>0</v>
      </c>
      <c r="CO38" s="490">
        <v>1</v>
      </c>
      <c r="CP38" s="490">
        <v>0.99</v>
      </c>
      <c r="CQ38" s="491">
        <v>0.95</v>
      </c>
      <c r="CR38" s="490">
        <v>0.9</v>
      </c>
      <c r="CS38" s="490">
        <v>0.82</v>
      </c>
    </row>
    <row r="39" spans="3:97" ht="15.75" thickBot="1" x14ac:dyDescent="0.3">
      <c r="C39" s="489">
        <v>110</v>
      </c>
      <c r="D39" s="490">
        <v>0.9</v>
      </c>
      <c r="E39" s="490">
        <v>0.89</v>
      </c>
      <c r="F39" s="490">
        <v>0.86</v>
      </c>
      <c r="G39" s="491">
        <v>0.82</v>
      </c>
      <c r="H39" s="490">
        <v>0.77</v>
      </c>
      <c r="I39" s="490">
        <v>0.71</v>
      </c>
      <c r="J39" s="490">
        <v>0.65</v>
      </c>
      <c r="K39" s="490">
        <v>0.6</v>
      </c>
      <c r="L39" s="490">
        <v>0.54</v>
      </c>
      <c r="M39" s="490">
        <v>0.48</v>
      </c>
      <c r="O39" s="489">
        <v>10</v>
      </c>
      <c r="P39" s="490">
        <v>1</v>
      </c>
      <c r="Q39" s="490">
        <v>0.99</v>
      </c>
      <c r="R39" s="491">
        <v>0.97</v>
      </c>
      <c r="S39" s="490">
        <v>0.92</v>
      </c>
      <c r="T39" s="490">
        <v>0.85</v>
      </c>
      <c r="V39" s="489">
        <v>10</v>
      </c>
      <c r="W39" s="490">
        <v>1</v>
      </c>
      <c r="X39" s="490">
        <v>1.02</v>
      </c>
      <c r="Y39" s="491">
        <v>1.02</v>
      </c>
      <c r="Z39" s="490">
        <v>1</v>
      </c>
      <c r="AA39" s="490">
        <v>0.95</v>
      </c>
      <c r="AC39" s="489">
        <v>10</v>
      </c>
      <c r="AD39" s="490">
        <v>1</v>
      </c>
      <c r="AE39" s="490">
        <v>1.07</v>
      </c>
      <c r="AF39" s="491">
        <v>1.1100000000000001</v>
      </c>
      <c r="AG39" s="490">
        <v>1.1200000000000001</v>
      </c>
      <c r="AH39" s="490">
        <v>1.1000000000000001</v>
      </c>
      <c r="AJ39" s="489">
        <v>10</v>
      </c>
      <c r="AK39" s="490">
        <v>1</v>
      </c>
      <c r="AL39" s="490">
        <v>1.1200000000000001</v>
      </c>
      <c r="AM39" s="491">
        <v>1.21</v>
      </c>
      <c r="AN39" s="490">
        <v>1.27</v>
      </c>
      <c r="AO39" s="490">
        <v>1.3</v>
      </c>
      <c r="AQ39" s="489">
        <v>10</v>
      </c>
      <c r="AR39" s="490">
        <v>1</v>
      </c>
      <c r="AS39" s="490">
        <v>1.17</v>
      </c>
      <c r="AT39" s="491">
        <v>1.32</v>
      </c>
      <c r="AU39" s="490">
        <v>1.43</v>
      </c>
      <c r="AV39" s="490">
        <v>1.51</v>
      </c>
      <c r="AX39" s="489">
        <v>10</v>
      </c>
      <c r="AY39" s="490">
        <v>1</v>
      </c>
      <c r="AZ39" s="490">
        <v>1.2</v>
      </c>
      <c r="BA39" s="491">
        <v>1.38</v>
      </c>
      <c r="BB39" s="490">
        <v>1.51</v>
      </c>
      <c r="BC39" s="490">
        <v>1.61</v>
      </c>
      <c r="BE39" s="489">
        <v>10</v>
      </c>
      <c r="BF39" s="490">
        <v>1</v>
      </c>
      <c r="BG39" s="490">
        <v>1.19</v>
      </c>
      <c r="BH39" s="491">
        <v>1.35</v>
      </c>
      <c r="BI39" s="490">
        <v>1.48</v>
      </c>
      <c r="BJ39" s="490">
        <v>1.57</v>
      </c>
      <c r="BL39" s="489">
        <v>10</v>
      </c>
      <c r="BM39" s="490">
        <v>1</v>
      </c>
      <c r="BN39" s="490">
        <v>1.1399999999999999</v>
      </c>
      <c r="BO39" s="491">
        <v>1.26</v>
      </c>
      <c r="BP39" s="490">
        <v>1.35</v>
      </c>
      <c r="BQ39" s="490">
        <v>1.39</v>
      </c>
      <c r="BS39" s="489">
        <v>10</v>
      </c>
      <c r="BT39" s="490">
        <v>1</v>
      </c>
      <c r="BU39" s="490">
        <v>1.0900000000000001</v>
      </c>
      <c r="BV39" s="491">
        <v>1.1499999999999999</v>
      </c>
      <c r="BW39" s="490">
        <v>1.18</v>
      </c>
      <c r="BX39" s="490">
        <v>1.18</v>
      </c>
      <c r="BZ39" s="489">
        <v>10</v>
      </c>
      <c r="CA39" s="490">
        <v>1</v>
      </c>
      <c r="CB39" s="490">
        <v>1.04</v>
      </c>
      <c r="CC39" s="491">
        <v>1.05</v>
      </c>
      <c r="CD39" s="490">
        <v>1.03</v>
      </c>
      <c r="CE39" s="490">
        <v>1</v>
      </c>
      <c r="CG39" s="489">
        <v>10</v>
      </c>
      <c r="CH39" s="490">
        <v>1</v>
      </c>
      <c r="CI39" s="490">
        <v>1</v>
      </c>
      <c r="CJ39" s="491">
        <v>0.98</v>
      </c>
      <c r="CK39" s="490">
        <v>0.94</v>
      </c>
      <c r="CL39" s="490">
        <v>0.88</v>
      </c>
      <c r="CN39" s="489">
        <v>10</v>
      </c>
      <c r="CO39" s="490">
        <v>1</v>
      </c>
      <c r="CP39" s="490">
        <v>0.99</v>
      </c>
      <c r="CQ39" s="491">
        <v>0.95</v>
      </c>
      <c r="CR39" s="490">
        <v>0.9</v>
      </c>
      <c r="CS39" s="490">
        <v>0.82</v>
      </c>
    </row>
    <row r="40" spans="3:97" ht="15.75" thickBot="1" x14ac:dyDescent="0.3">
      <c r="C40" s="489">
        <v>120</v>
      </c>
      <c r="D40" s="490">
        <v>0.9</v>
      </c>
      <c r="E40" s="490">
        <v>0.88</v>
      </c>
      <c r="F40" s="490">
        <v>0.84</v>
      </c>
      <c r="G40" s="491">
        <v>0.79</v>
      </c>
      <c r="H40" s="490">
        <v>0.73</v>
      </c>
      <c r="I40" s="490">
        <v>0.67</v>
      </c>
      <c r="J40" s="490">
        <v>0.61</v>
      </c>
      <c r="K40" s="490">
        <v>0.55000000000000004</v>
      </c>
      <c r="L40" s="490">
        <v>0.5</v>
      </c>
      <c r="M40" s="490">
        <v>0.44</v>
      </c>
      <c r="O40" s="489">
        <v>20</v>
      </c>
      <c r="P40" s="490">
        <v>1</v>
      </c>
      <c r="Q40" s="490">
        <v>0.99</v>
      </c>
      <c r="R40" s="491">
        <v>0.97</v>
      </c>
      <c r="S40" s="490">
        <v>0.92</v>
      </c>
      <c r="T40" s="490">
        <v>0.85</v>
      </c>
      <c r="V40" s="489">
        <v>20</v>
      </c>
      <c r="W40" s="490">
        <v>1</v>
      </c>
      <c r="X40" s="490">
        <v>1.02</v>
      </c>
      <c r="Y40" s="491">
        <v>1.02</v>
      </c>
      <c r="Z40" s="490">
        <v>1</v>
      </c>
      <c r="AA40" s="490">
        <v>0.95</v>
      </c>
      <c r="AC40" s="489">
        <v>20</v>
      </c>
      <c r="AD40" s="490">
        <v>1</v>
      </c>
      <c r="AE40" s="490">
        <v>1.07</v>
      </c>
      <c r="AF40" s="491">
        <v>1.1000000000000001</v>
      </c>
      <c r="AG40" s="490">
        <v>1.1100000000000001</v>
      </c>
      <c r="AH40" s="490">
        <v>1.0900000000000001</v>
      </c>
      <c r="AJ40" s="489">
        <v>20</v>
      </c>
      <c r="AK40" s="490">
        <v>1</v>
      </c>
      <c r="AL40" s="490">
        <v>1.1100000000000001</v>
      </c>
      <c r="AM40" s="491">
        <v>1.2</v>
      </c>
      <c r="AN40" s="490">
        <v>1.25</v>
      </c>
      <c r="AO40" s="490">
        <v>1.28</v>
      </c>
      <c r="AQ40" s="489">
        <v>20</v>
      </c>
      <c r="AR40" s="490">
        <v>1</v>
      </c>
      <c r="AS40" s="490">
        <v>1.17</v>
      </c>
      <c r="AT40" s="491">
        <v>1.31</v>
      </c>
      <c r="AU40" s="490">
        <v>1.41</v>
      </c>
      <c r="AV40" s="490">
        <v>1.48</v>
      </c>
      <c r="AX40" s="489">
        <v>20</v>
      </c>
      <c r="AY40" s="490">
        <v>1</v>
      </c>
      <c r="AZ40" s="490">
        <v>1.2</v>
      </c>
      <c r="BA40" s="491">
        <v>1.36</v>
      </c>
      <c r="BB40" s="490">
        <v>1.48</v>
      </c>
      <c r="BC40" s="490">
        <v>1.57</v>
      </c>
      <c r="BE40" s="489">
        <v>20</v>
      </c>
      <c r="BF40" s="490">
        <v>1</v>
      </c>
      <c r="BG40" s="490">
        <v>1.18</v>
      </c>
      <c r="BH40" s="491">
        <v>1.34</v>
      </c>
      <c r="BI40" s="490">
        <v>1.45</v>
      </c>
      <c r="BJ40" s="490">
        <v>1.54</v>
      </c>
      <c r="BL40" s="489">
        <v>20</v>
      </c>
      <c r="BM40" s="490">
        <v>1</v>
      </c>
      <c r="BN40" s="490">
        <v>1.1399999999999999</v>
      </c>
      <c r="BO40" s="491">
        <v>1.25</v>
      </c>
      <c r="BP40" s="490">
        <v>1.33</v>
      </c>
      <c r="BQ40" s="490">
        <v>1.37</v>
      </c>
      <c r="BS40" s="489">
        <v>20</v>
      </c>
      <c r="BT40" s="490">
        <v>1</v>
      </c>
      <c r="BU40" s="490">
        <v>1.08</v>
      </c>
      <c r="BV40" s="491">
        <v>1.1399999999999999</v>
      </c>
      <c r="BW40" s="490">
        <v>1.17</v>
      </c>
      <c r="BX40" s="490">
        <v>1.17</v>
      </c>
      <c r="BZ40" s="489">
        <v>20</v>
      </c>
      <c r="CA40" s="490">
        <v>1</v>
      </c>
      <c r="CB40" s="490">
        <v>1.03</v>
      </c>
      <c r="CC40" s="491">
        <v>1.05</v>
      </c>
      <c r="CD40" s="490">
        <v>1.03</v>
      </c>
      <c r="CE40" s="490">
        <v>1</v>
      </c>
      <c r="CG40" s="489">
        <v>20</v>
      </c>
      <c r="CH40" s="490">
        <v>1</v>
      </c>
      <c r="CI40" s="490">
        <v>1</v>
      </c>
      <c r="CJ40" s="491">
        <v>0.98</v>
      </c>
      <c r="CK40" s="490">
        <v>0.94</v>
      </c>
      <c r="CL40" s="490">
        <v>0.88</v>
      </c>
      <c r="CN40" s="489">
        <v>20</v>
      </c>
      <c r="CO40" s="490">
        <v>1</v>
      </c>
      <c r="CP40" s="490">
        <v>0.99</v>
      </c>
      <c r="CQ40" s="491">
        <v>0.96</v>
      </c>
      <c r="CR40" s="490">
        <v>0.9</v>
      </c>
      <c r="CS40" s="490">
        <v>0.83</v>
      </c>
    </row>
    <row r="41" spans="3:97" ht="15.75" thickBot="1" x14ac:dyDescent="0.3">
      <c r="C41" s="489">
        <v>130</v>
      </c>
      <c r="D41" s="490">
        <v>0.9</v>
      </c>
      <c r="E41" s="490">
        <v>0.87</v>
      </c>
      <c r="F41" s="490">
        <v>0.82</v>
      </c>
      <c r="G41" s="491">
        <v>0.76</v>
      </c>
      <c r="H41" s="490">
        <v>0.7</v>
      </c>
      <c r="I41" s="490">
        <v>0.63</v>
      </c>
      <c r="J41" s="490">
        <v>0.56999999999999995</v>
      </c>
      <c r="K41" s="490">
        <v>0.51</v>
      </c>
      <c r="L41" s="490">
        <v>0.45</v>
      </c>
      <c r="M41" s="490">
        <v>0.4</v>
      </c>
      <c r="O41" s="489">
        <v>30</v>
      </c>
      <c r="P41" s="490">
        <v>1</v>
      </c>
      <c r="Q41" s="490">
        <v>0.99</v>
      </c>
      <c r="R41" s="491">
        <v>0.97</v>
      </c>
      <c r="S41" s="490">
        <v>0.92</v>
      </c>
      <c r="T41" s="490">
        <v>0.86</v>
      </c>
      <c r="V41" s="489">
        <v>30</v>
      </c>
      <c r="W41" s="490">
        <v>1</v>
      </c>
      <c r="X41" s="490">
        <v>1.02</v>
      </c>
      <c r="Y41" s="491">
        <v>1.02</v>
      </c>
      <c r="Z41" s="490">
        <v>0.99</v>
      </c>
      <c r="AA41" s="490">
        <v>0.95</v>
      </c>
      <c r="AC41" s="489">
        <v>30</v>
      </c>
      <c r="AD41" s="490">
        <v>1</v>
      </c>
      <c r="AE41" s="490">
        <v>1.06</v>
      </c>
      <c r="AF41" s="491">
        <v>1.0900000000000001</v>
      </c>
      <c r="AG41" s="490">
        <v>1.1000000000000001</v>
      </c>
      <c r="AH41" s="490">
        <v>1.08</v>
      </c>
      <c r="AJ41" s="489">
        <v>30</v>
      </c>
      <c r="AK41" s="490">
        <v>1</v>
      </c>
      <c r="AL41" s="490">
        <v>1.1000000000000001</v>
      </c>
      <c r="AM41" s="491">
        <v>1.18</v>
      </c>
      <c r="AN41" s="490">
        <v>1.23</v>
      </c>
      <c r="AO41" s="490">
        <v>1.25</v>
      </c>
      <c r="AQ41" s="489">
        <v>30</v>
      </c>
      <c r="AR41" s="490">
        <v>1</v>
      </c>
      <c r="AS41" s="490">
        <v>1.1499999999999999</v>
      </c>
      <c r="AT41" s="491">
        <v>1.28</v>
      </c>
      <c r="AU41" s="490">
        <v>1.38</v>
      </c>
      <c r="AV41" s="490">
        <v>1.43</v>
      </c>
      <c r="AX41" s="489">
        <v>30</v>
      </c>
      <c r="AY41" s="490">
        <v>1</v>
      </c>
      <c r="AZ41" s="490">
        <v>1.18</v>
      </c>
      <c r="BA41" s="491">
        <v>1.33</v>
      </c>
      <c r="BB41" s="490">
        <v>1.44</v>
      </c>
      <c r="BC41" s="490">
        <v>1.52</v>
      </c>
      <c r="BE41" s="489">
        <v>30</v>
      </c>
      <c r="BF41" s="490">
        <v>1</v>
      </c>
      <c r="BG41" s="490">
        <v>1.17</v>
      </c>
      <c r="BH41" s="491">
        <v>1.31</v>
      </c>
      <c r="BI41" s="490">
        <v>1.42</v>
      </c>
      <c r="BJ41" s="490">
        <v>1.48</v>
      </c>
      <c r="BL41" s="489">
        <v>30</v>
      </c>
      <c r="BM41" s="490">
        <v>1</v>
      </c>
      <c r="BN41" s="490">
        <v>1.1299999999999999</v>
      </c>
      <c r="BO41" s="491">
        <v>1.23</v>
      </c>
      <c r="BP41" s="490">
        <v>1.29</v>
      </c>
      <c r="BQ41" s="490">
        <v>1.34</v>
      </c>
      <c r="BS41" s="489">
        <v>30</v>
      </c>
      <c r="BT41" s="490">
        <v>1</v>
      </c>
      <c r="BU41" s="490">
        <v>1.07</v>
      </c>
      <c r="BV41" s="491">
        <v>1.1299999999999999</v>
      </c>
      <c r="BW41" s="490">
        <v>1.1499999999999999</v>
      </c>
      <c r="BX41" s="490">
        <v>1.1499999999999999</v>
      </c>
      <c r="BZ41" s="489">
        <v>30</v>
      </c>
      <c r="CA41" s="490">
        <v>1</v>
      </c>
      <c r="CB41" s="490">
        <v>1.03</v>
      </c>
      <c r="CC41" s="491">
        <v>1.04</v>
      </c>
      <c r="CD41" s="490">
        <v>1.03</v>
      </c>
      <c r="CE41" s="490">
        <v>0.99</v>
      </c>
      <c r="CG41" s="489">
        <v>30</v>
      </c>
      <c r="CH41" s="490">
        <v>1</v>
      </c>
      <c r="CI41" s="490">
        <v>1</v>
      </c>
      <c r="CJ41" s="491">
        <v>0.98</v>
      </c>
      <c r="CK41" s="490">
        <v>0.95</v>
      </c>
      <c r="CL41" s="490">
        <v>0.89</v>
      </c>
      <c r="CN41" s="489">
        <v>30</v>
      </c>
      <c r="CO41" s="490">
        <v>1</v>
      </c>
      <c r="CP41" s="490">
        <v>0.99</v>
      </c>
      <c r="CQ41" s="491">
        <v>0.96</v>
      </c>
      <c r="CR41" s="490">
        <v>0.91</v>
      </c>
      <c r="CS41" s="490">
        <v>0.84</v>
      </c>
    </row>
    <row r="42" spans="3:97" ht="15.75" thickBot="1" x14ac:dyDescent="0.3">
      <c r="C42" s="489">
        <v>140</v>
      </c>
      <c r="D42" s="490">
        <v>0.9</v>
      </c>
      <c r="E42" s="490">
        <v>0.86</v>
      </c>
      <c r="F42" s="490">
        <v>0.81</v>
      </c>
      <c r="G42" s="491">
        <v>0.74</v>
      </c>
      <c r="H42" s="490">
        <v>0.66</v>
      </c>
      <c r="I42" s="490">
        <v>0.59</v>
      </c>
      <c r="J42" s="490">
        <v>0.52</v>
      </c>
      <c r="K42" s="490">
        <v>0.46</v>
      </c>
      <c r="L42" s="490">
        <v>0.41</v>
      </c>
      <c r="M42" s="490">
        <v>0.36</v>
      </c>
      <c r="O42" s="489">
        <v>40</v>
      </c>
      <c r="P42" s="490">
        <v>1</v>
      </c>
      <c r="Q42" s="490">
        <v>0.99</v>
      </c>
      <c r="R42" s="491">
        <v>0.97</v>
      </c>
      <c r="S42" s="490">
        <v>0.93</v>
      </c>
      <c r="T42" s="490">
        <v>0.87</v>
      </c>
      <c r="V42" s="489">
        <v>40</v>
      </c>
      <c r="W42" s="490">
        <v>1</v>
      </c>
      <c r="X42" s="490">
        <v>1.02</v>
      </c>
      <c r="Y42" s="491">
        <v>1.01</v>
      </c>
      <c r="Z42" s="490">
        <v>0.99</v>
      </c>
      <c r="AA42" s="490">
        <v>0.95</v>
      </c>
      <c r="AC42" s="489">
        <v>40</v>
      </c>
      <c r="AD42" s="490">
        <v>1</v>
      </c>
      <c r="AE42" s="490">
        <v>1.06</v>
      </c>
      <c r="AF42" s="491">
        <v>1.08</v>
      </c>
      <c r="AG42" s="490">
        <v>1.0900000000000001</v>
      </c>
      <c r="AH42" s="490">
        <v>1.07</v>
      </c>
      <c r="AJ42" s="489">
        <v>40</v>
      </c>
      <c r="AK42" s="490">
        <v>1</v>
      </c>
      <c r="AL42" s="490">
        <v>1.0900000000000001</v>
      </c>
      <c r="AM42" s="491">
        <v>1.1599999999999999</v>
      </c>
      <c r="AN42" s="490">
        <v>1.2</v>
      </c>
      <c r="AO42" s="490">
        <v>1.21</v>
      </c>
      <c r="AQ42" s="489">
        <v>40</v>
      </c>
      <c r="AR42" s="490">
        <v>1</v>
      </c>
      <c r="AS42" s="490">
        <v>1.1399999999999999</v>
      </c>
      <c r="AT42" s="491">
        <v>1.25</v>
      </c>
      <c r="AU42" s="490">
        <v>1.33</v>
      </c>
      <c r="AV42" s="490">
        <v>1.37</v>
      </c>
      <c r="AX42" s="489">
        <v>40</v>
      </c>
      <c r="AY42" s="490">
        <v>1</v>
      </c>
      <c r="AZ42" s="490">
        <v>1.1599999999999999</v>
      </c>
      <c r="BA42" s="491">
        <v>1.29</v>
      </c>
      <c r="BB42" s="490">
        <v>1.38</v>
      </c>
      <c r="BC42" s="490">
        <v>1.45</v>
      </c>
      <c r="BE42" s="489">
        <v>40</v>
      </c>
      <c r="BF42" s="490">
        <v>1</v>
      </c>
      <c r="BG42" s="490">
        <v>1.1499999999999999</v>
      </c>
      <c r="BH42" s="491">
        <v>1.27</v>
      </c>
      <c r="BI42" s="490">
        <v>1.36</v>
      </c>
      <c r="BJ42" s="490">
        <v>1.42</v>
      </c>
      <c r="BL42" s="489">
        <v>40</v>
      </c>
      <c r="BM42" s="490">
        <v>1</v>
      </c>
      <c r="BN42" s="490">
        <v>1.1200000000000001</v>
      </c>
      <c r="BO42" s="491">
        <v>1.2</v>
      </c>
      <c r="BP42" s="490">
        <v>1.26</v>
      </c>
      <c r="BQ42" s="490">
        <v>1.29</v>
      </c>
      <c r="BS42" s="489">
        <v>40</v>
      </c>
      <c r="BT42" s="490">
        <v>1</v>
      </c>
      <c r="BU42" s="490">
        <v>1.07</v>
      </c>
      <c r="BV42" s="491">
        <v>1.1100000000000001</v>
      </c>
      <c r="BW42" s="490">
        <v>1.1299999999999999</v>
      </c>
      <c r="BX42" s="490">
        <v>1.1200000000000001</v>
      </c>
      <c r="BZ42" s="489">
        <v>40</v>
      </c>
      <c r="CA42" s="490">
        <v>1</v>
      </c>
      <c r="CB42" s="490">
        <v>1.03</v>
      </c>
      <c r="CC42" s="491">
        <v>1.03</v>
      </c>
      <c r="CD42" s="490">
        <v>1.02</v>
      </c>
      <c r="CE42" s="490">
        <v>0.98</v>
      </c>
      <c r="CG42" s="489">
        <v>40</v>
      </c>
      <c r="CH42" s="490">
        <v>1</v>
      </c>
      <c r="CI42" s="490">
        <v>1</v>
      </c>
      <c r="CJ42" s="491">
        <v>0.98</v>
      </c>
      <c r="CK42" s="490">
        <v>0.95</v>
      </c>
      <c r="CL42" s="490">
        <v>0.89</v>
      </c>
      <c r="CN42" s="489">
        <v>40</v>
      </c>
      <c r="CO42" s="490">
        <v>1</v>
      </c>
      <c r="CP42" s="490">
        <v>0.99</v>
      </c>
      <c r="CQ42" s="491">
        <v>0.96</v>
      </c>
      <c r="CR42" s="490">
        <v>0.92</v>
      </c>
      <c r="CS42" s="490">
        <v>0.86</v>
      </c>
    </row>
    <row r="43" spans="3:97" ht="15.75" thickBot="1" x14ac:dyDescent="0.3">
      <c r="C43" s="489">
        <v>150</v>
      </c>
      <c r="D43" s="490">
        <v>0.9</v>
      </c>
      <c r="E43" s="490">
        <v>0.86</v>
      </c>
      <c r="F43" s="490">
        <v>0.8</v>
      </c>
      <c r="G43" s="491">
        <v>0.72</v>
      </c>
      <c r="H43" s="490">
        <v>0.64</v>
      </c>
      <c r="I43" s="490">
        <v>0.56000000000000005</v>
      </c>
      <c r="J43" s="490">
        <v>0.48</v>
      </c>
      <c r="K43" s="490">
        <v>0.42</v>
      </c>
      <c r="L43" s="490">
        <v>0.37</v>
      </c>
      <c r="M43" s="490">
        <v>0.32</v>
      </c>
      <c r="O43" s="489">
        <v>50</v>
      </c>
      <c r="P43" s="490">
        <v>1</v>
      </c>
      <c r="Q43" s="490">
        <v>0.99</v>
      </c>
      <c r="R43" s="491">
        <v>0.97</v>
      </c>
      <c r="S43" s="490">
        <v>0.93</v>
      </c>
      <c r="T43" s="490">
        <v>0.88</v>
      </c>
      <c r="V43" s="489">
        <v>50</v>
      </c>
      <c r="W43" s="490">
        <v>1</v>
      </c>
      <c r="X43" s="490">
        <v>1.01</v>
      </c>
      <c r="Y43" s="491">
        <v>1.01</v>
      </c>
      <c r="Z43" s="490">
        <v>0.99</v>
      </c>
      <c r="AA43" s="490">
        <v>0.95</v>
      </c>
      <c r="AC43" s="489">
        <v>50</v>
      </c>
      <c r="AD43" s="490">
        <v>1</v>
      </c>
      <c r="AE43" s="490">
        <v>1.05</v>
      </c>
      <c r="AF43" s="491">
        <v>1.07</v>
      </c>
      <c r="AG43" s="490">
        <v>1.07</v>
      </c>
      <c r="AH43" s="490">
        <v>1.05</v>
      </c>
      <c r="AJ43" s="489">
        <v>50</v>
      </c>
      <c r="AK43" s="490">
        <v>1</v>
      </c>
      <c r="AL43" s="490">
        <v>1.08</v>
      </c>
      <c r="AM43" s="491">
        <v>1.1299999999999999</v>
      </c>
      <c r="AN43" s="490">
        <v>1.17</v>
      </c>
      <c r="AO43" s="490">
        <v>1.17</v>
      </c>
      <c r="AQ43" s="489">
        <v>50</v>
      </c>
      <c r="AR43" s="490">
        <v>1</v>
      </c>
      <c r="AS43" s="490">
        <v>1.1100000000000001</v>
      </c>
      <c r="AT43" s="491">
        <v>1.21</v>
      </c>
      <c r="AU43" s="490">
        <v>1.27</v>
      </c>
      <c r="AV43" s="490">
        <v>1.3</v>
      </c>
      <c r="AX43" s="489">
        <v>50</v>
      </c>
      <c r="AY43" s="490">
        <v>1</v>
      </c>
      <c r="AZ43" s="490">
        <v>1.1299999999999999</v>
      </c>
      <c r="BA43" s="491">
        <v>1.24</v>
      </c>
      <c r="BB43" s="490">
        <v>1.32</v>
      </c>
      <c r="BC43" s="490">
        <v>1.37</v>
      </c>
      <c r="BE43" s="489">
        <v>50</v>
      </c>
      <c r="BF43" s="490">
        <v>1</v>
      </c>
      <c r="BG43" s="490">
        <v>1.1299999999999999</v>
      </c>
      <c r="BH43" s="491">
        <v>1.23</v>
      </c>
      <c r="BI43" s="490">
        <v>1.3</v>
      </c>
      <c r="BJ43" s="490">
        <v>1.34</v>
      </c>
      <c r="BL43" s="489">
        <v>50</v>
      </c>
      <c r="BM43" s="490">
        <v>1</v>
      </c>
      <c r="BN43" s="490">
        <v>1.0900000000000001</v>
      </c>
      <c r="BO43" s="491">
        <v>1.17</v>
      </c>
      <c r="BP43" s="490">
        <v>1.21</v>
      </c>
      <c r="BQ43" s="490">
        <v>1.23</v>
      </c>
      <c r="BS43" s="489">
        <v>50</v>
      </c>
      <c r="BT43" s="490">
        <v>1</v>
      </c>
      <c r="BU43" s="490">
        <v>1.06</v>
      </c>
      <c r="BV43" s="491">
        <v>1.0900000000000001</v>
      </c>
      <c r="BW43" s="490">
        <v>1.1000000000000001</v>
      </c>
      <c r="BX43" s="490">
        <v>1.0900000000000001</v>
      </c>
      <c r="BZ43" s="489">
        <v>50</v>
      </c>
      <c r="CA43" s="490">
        <v>1</v>
      </c>
      <c r="CB43" s="490">
        <v>1.02</v>
      </c>
      <c r="CC43" s="491">
        <v>1.03</v>
      </c>
      <c r="CD43" s="490">
        <v>1.01</v>
      </c>
      <c r="CE43" s="490">
        <v>0.97</v>
      </c>
      <c r="CG43" s="489">
        <v>50</v>
      </c>
      <c r="CH43" s="490">
        <v>1</v>
      </c>
      <c r="CI43" s="490">
        <v>1</v>
      </c>
      <c r="CJ43" s="491">
        <v>0.98</v>
      </c>
      <c r="CK43" s="490">
        <v>0.95</v>
      </c>
      <c r="CL43" s="490">
        <v>0.9</v>
      </c>
      <c r="CN43" s="489">
        <v>50</v>
      </c>
      <c r="CO43" s="490">
        <v>1</v>
      </c>
      <c r="CP43" s="490">
        <v>0.99</v>
      </c>
      <c r="CQ43" s="491">
        <v>0.97</v>
      </c>
      <c r="CR43" s="490">
        <v>0.93</v>
      </c>
      <c r="CS43" s="490">
        <v>0.87</v>
      </c>
    </row>
    <row r="44" spans="3:97" ht="15.75" thickBot="1" x14ac:dyDescent="0.3">
      <c r="C44" s="489">
        <v>160</v>
      </c>
      <c r="D44" s="490">
        <v>0.9</v>
      </c>
      <c r="E44" s="490">
        <v>0.85</v>
      </c>
      <c r="F44" s="490">
        <v>0.79</v>
      </c>
      <c r="G44" s="491">
        <v>0.71</v>
      </c>
      <c r="H44" s="490">
        <v>0.61</v>
      </c>
      <c r="I44" s="490">
        <v>0.53</v>
      </c>
      <c r="J44" s="490">
        <v>0.45</v>
      </c>
      <c r="K44" s="490">
        <v>0.39</v>
      </c>
      <c r="L44" s="490">
        <v>0.34</v>
      </c>
      <c r="M44" s="490">
        <v>0.3</v>
      </c>
      <c r="O44" s="489">
        <v>60</v>
      </c>
      <c r="P44" s="490">
        <v>1</v>
      </c>
      <c r="Q44" s="490">
        <v>1</v>
      </c>
      <c r="R44" s="491">
        <v>0.97</v>
      </c>
      <c r="S44" s="490">
        <v>0.94</v>
      </c>
      <c r="T44" s="490">
        <v>0.89</v>
      </c>
      <c r="V44" s="489">
        <v>60</v>
      </c>
      <c r="W44" s="490">
        <v>1</v>
      </c>
      <c r="X44" s="490">
        <v>1.01</v>
      </c>
      <c r="Y44" s="491">
        <v>1</v>
      </c>
      <c r="Z44" s="490">
        <v>0.98</v>
      </c>
      <c r="AA44" s="490">
        <v>0.95</v>
      </c>
      <c r="AC44" s="489">
        <v>60</v>
      </c>
      <c r="AD44" s="490">
        <v>1</v>
      </c>
      <c r="AE44" s="490">
        <v>1.04</v>
      </c>
      <c r="AF44" s="491">
        <v>1.05</v>
      </c>
      <c r="AG44" s="490">
        <v>1.05</v>
      </c>
      <c r="AH44" s="490">
        <v>1.03</v>
      </c>
      <c r="AJ44" s="489">
        <v>60</v>
      </c>
      <c r="AK44" s="490">
        <v>1</v>
      </c>
      <c r="AL44" s="490">
        <v>1.06</v>
      </c>
      <c r="AM44" s="491">
        <v>1.1100000000000001</v>
      </c>
      <c r="AN44" s="490">
        <v>1.1200000000000001</v>
      </c>
      <c r="AO44" s="490">
        <v>1.1299999999999999</v>
      </c>
      <c r="AQ44" s="489">
        <v>60</v>
      </c>
      <c r="AR44" s="490">
        <v>1</v>
      </c>
      <c r="AS44" s="490">
        <v>1.0900000000000001</v>
      </c>
      <c r="AT44" s="491">
        <v>1.1599999999999999</v>
      </c>
      <c r="AU44" s="490">
        <v>1.21</v>
      </c>
      <c r="AV44" s="490">
        <v>1.23</v>
      </c>
      <c r="AX44" s="489">
        <v>60</v>
      </c>
      <c r="AY44" s="490">
        <v>1</v>
      </c>
      <c r="AZ44" s="490">
        <v>1.1100000000000001</v>
      </c>
      <c r="BA44" s="491">
        <v>1.19</v>
      </c>
      <c r="BB44" s="490">
        <v>1.24</v>
      </c>
      <c r="BC44" s="490">
        <v>1.27</v>
      </c>
      <c r="BE44" s="489">
        <v>60</v>
      </c>
      <c r="BF44" s="490">
        <v>1</v>
      </c>
      <c r="BG44" s="490">
        <v>1.1000000000000001</v>
      </c>
      <c r="BH44" s="491">
        <v>1.18</v>
      </c>
      <c r="BI44" s="490">
        <v>1.23</v>
      </c>
      <c r="BJ44" s="490">
        <v>1.26</v>
      </c>
      <c r="BL44" s="489">
        <v>60</v>
      </c>
      <c r="BM44" s="490">
        <v>1</v>
      </c>
      <c r="BN44" s="490">
        <v>1.08</v>
      </c>
      <c r="BO44" s="491">
        <v>1.1299999999999999</v>
      </c>
      <c r="BP44" s="490">
        <v>1.1599999999999999</v>
      </c>
      <c r="BQ44" s="490">
        <v>1.17</v>
      </c>
      <c r="BS44" s="489">
        <v>60</v>
      </c>
      <c r="BT44" s="490">
        <v>1</v>
      </c>
      <c r="BU44" s="490">
        <v>1.04</v>
      </c>
      <c r="BV44" s="491">
        <v>1.07</v>
      </c>
      <c r="BW44" s="490">
        <v>1.07</v>
      </c>
      <c r="BX44" s="490">
        <v>1.06</v>
      </c>
      <c r="BZ44" s="489">
        <v>60</v>
      </c>
      <c r="CA44" s="490">
        <v>1</v>
      </c>
      <c r="CB44" s="490">
        <v>1.02</v>
      </c>
      <c r="CC44" s="491">
        <v>1.02</v>
      </c>
      <c r="CD44" s="490">
        <v>1</v>
      </c>
      <c r="CE44" s="490">
        <v>0.96</v>
      </c>
      <c r="CG44" s="489">
        <v>60</v>
      </c>
      <c r="CH44" s="490">
        <v>1</v>
      </c>
      <c r="CI44" s="490">
        <v>1</v>
      </c>
      <c r="CJ44" s="491">
        <v>0.98</v>
      </c>
      <c r="CK44" s="490">
        <v>0.95</v>
      </c>
      <c r="CL44" s="490">
        <v>0.91</v>
      </c>
      <c r="CN44" s="489">
        <v>60</v>
      </c>
      <c r="CO44" s="490">
        <v>1</v>
      </c>
      <c r="CP44" s="490">
        <v>1</v>
      </c>
      <c r="CQ44" s="491">
        <v>0.97</v>
      </c>
      <c r="CR44" s="490">
        <v>0.93</v>
      </c>
      <c r="CS44" s="490">
        <v>0.88</v>
      </c>
    </row>
    <row r="45" spans="3:97" ht="15.75" thickBot="1" x14ac:dyDescent="0.3">
      <c r="C45" s="489">
        <v>170</v>
      </c>
      <c r="D45" s="490">
        <v>0.9</v>
      </c>
      <c r="E45" s="490">
        <v>0.85</v>
      </c>
      <c r="F45" s="490">
        <v>0.78</v>
      </c>
      <c r="G45" s="491">
        <v>0.69</v>
      </c>
      <c r="H45" s="490">
        <v>0.6</v>
      </c>
      <c r="I45" s="490">
        <v>0.51</v>
      </c>
      <c r="J45" s="490">
        <v>0.44</v>
      </c>
      <c r="K45" s="490">
        <v>0.37</v>
      </c>
      <c r="L45" s="490">
        <v>0.31</v>
      </c>
      <c r="M45" s="490">
        <v>0.28000000000000003</v>
      </c>
      <c r="O45" s="489">
        <v>70</v>
      </c>
      <c r="P45" s="490">
        <v>1</v>
      </c>
      <c r="Q45" s="490">
        <v>1</v>
      </c>
      <c r="R45" s="491">
        <v>0.98</v>
      </c>
      <c r="S45" s="490">
        <v>0.94</v>
      </c>
      <c r="T45" s="490">
        <v>0.9</v>
      </c>
      <c r="V45" s="489">
        <v>70</v>
      </c>
      <c r="W45" s="490">
        <v>1</v>
      </c>
      <c r="X45" s="490">
        <v>1.01</v>
      </c>
      <c r="Y45" s="491">
        <v>1</v>
      </c>
      <c r="Z45" s="490">
        <v>0.98</v>
      </c>
      <c r="AA45" s="490">
        <v>0.94</v>
      </c>
      <c r="AC45" s="489">
        <v>70</v>
      </c>
      <c r="AD45" s="490">
        <v>1</v>
      </c>
      <c r="AE45" s="490">
        <v>1.03</v>
      </c>
      <c r="AF45" s="491">
        <v>1.04</v>
      </c>
      <c r="AG45" s="490">
        <v>1.02</v>
      </c>
      <c r="AH45" s="490">
        <v>1</v>
      </c>
      <c r="AJ45" s="489">
        <v>70</v>
      </c>
      <c r="AK45" s="490">
        <v>1</v>
      </c>
      <c r="AL45" s="490">
        <v>1.04</v>
      </c>
      <c r="AM45" s="491">
        <v>1.07</v>
      </c>
      <c r="AN45" s="490">
        <v>1.08</v>
      </c>
      <c r="AO45" s="490">
        <v>1.07</v>
      </c>
      <c r="AQ45" s="489">
        <v>70</v>
      </c>
      <c r="AR45" s="490">
        <v>1</v>
      </c>
      <c r="AS45" s="490">
        <v>1.07</v>
      </c>
      <c r="AT45" s="491">
        <v>1.1100000000000001</v>
      </c>
      <c r="AU45" s="490">
        <v>1.1399999999999999</v>
      </c>
      <c r="AV45" s="490">
        <v>1.1399999999999999</v>
      </c>
      <c r="AX45" s="489">
        <v>70</v>
      </c>
      <c r="AY45" s="490">
        <v>1</v>
      </c>
      <c r="AZ45" s="490">
        <v>1.08</v>
      </c>
      <c r="BA45" s="491">
        <v>1.1299999999999999</v>
      </c>
      <c r="BB45" s="490">
        <v>1.1599999999999999</v>
      </c>
      <c r="BC45" s="490">
        <v>1.17</v>
      </c>
      <c r="BE45" s="489">
        <v>70</v>
      </c>
      <c r="BF45" s="490">
        <v>1</v>
      </c>
      <c r="BG45" s="490">
        <v>1.07</v>
      </c>
      <c r="BH45" s="491">
        <v>1.1200000000000001</v>
      </c>
      <c r="BI45" s="490">
        <v>1.1599999999999999</v>
      </c>
      <c r="BJ45" s="490">
        <v>1.1599999999999999</v>
      </c>
      <c r="BL45" s="489">
        <v>70</v>
      </c>
      <c r="BM45" s="490">
        <v>1</v>
      </c>
      <c r="BN45" s="490">
        <v>1.05</v>
      </c>
      <c r="BO45" s="491">
        <v>1.0900000000000001</v>
      </c>
      <c r="BP45" s="490">
        <v>1.1000000000000001</v>
      </c>
      <c r="BQ45" s="490">
        <v>1.1000000000000001</v>
      </c>
      <c r="BS45" s="489">
        <v>70</v>
      </c>
      <c r="BT45" s="490">
        <v>1</v>
      </c>
      <c r="BU45" s="490">
        <v>1.03</v>
      </c>
      <c r="BV45" s="491">
        <v>1.04</v>
      </c>
      <c r="BW45" s="490">
        <v>1.04</v>
      </c>
      <c r="BX45" s="490">
        <v>1.01</v>
      </c>
      <c r="BZ45" s="489">
        <v>70</v>
      </c>
      <c r="CA45" s="490">
        <v>1</v>
      </c>
      <c r="CB45" s="490">
        <v>1.01</v>
      </c>
      <c r="CC45" s="491">
        <v>1</v>
      </c>
      <c r="CD45" s="490">
        <v>0.98</v>
      </c>
      <c r="CE45" s="490">
        <v>0.95</v>
      </c>
      <c r="CG45" s="489">
        <v>70</v>
      </c>
      <c r="CH45" s="490">
        <v>1</v>
      </c>
      <c r="CI45" s="490">
        <v>1</v>
      </c>
      <c r="CJ45" s="491">
        <v>0.98</v>
      </c>
      <c r="CK45" s="490">
        <v>0.95</v>
      </c>
      <c r="CL45" s="490">
        <v>0.91</v>
      </c>
      <c r="CN45" s="489">
        <v>70</v>
      </c>
      <c r="CO45" s="490">
        <v>1</v>
      </c>
      <c r="CP45" s="490">
        <v>1</v>
      </c>
      <c r="CQ45" s="491">
        <v>0.98</v>
      </c>
      <c r="CR45" s="490">
        <v>0.94</v>
      </c>
      <c r="CS45" s="490">
        <v>0.9</v>
      </c>
    </row>
    <row r="46" spans="3:97" ht="15.75" thickBot="1" x14ac:dyDescent="0.3">
      <c r="C46" s="489">
        <v>180</v>
      </c>
      <c r="D46" s="490">
        <v>0.9</v>
      </c>
      <c r="E46" s="490">
        <v>0.85</v>
      </c>
      <c r="F46" s="490">
        <v>0.78</v>
      </c>
      <c r="G46" s="491">
        <v>0.69</v>
      </c>
      <c r="H46" s="490">
        <v>0.59</v>
      </c>
      <c r="I46" s="490">
        <v>0.51</v>
      </c>
      <c r="J46" s="490">
        <v>0.43</v>
      </c>
      <c r="K46" s="490">
        <v>0.36</v>
      </c>
      <c r="L46" s="490">
        <v>0.3</v>
      </c>
      <c r="M46" s="490">
        <v>0.27</v>
      </c>
      <c r="O46" s="489">
        <v>80</v>
      </c>
      <c r="P46" s="490">
        <v>1</v>
      </c>
      <c r="Q46" s="490">
        <v>1</v>
      </c>
      <c r="R46" s="491">
        <v>0.98</v>
      </c>
      <c r="S46" s="490">
        <v>0.94</v>
      </c>
      <c r="T46" s="490">
        <v>0.9</v>
      </c>
      <c r="V46" s="489">
        <v>80</v>
      </c>
      <c r="W46" s="490">
        <v>1</v>
      </c>
      <c r="X46" s="490">
        <v>1</v>
      </c>
      <c r="Y46" s="491">
        <v>0.99</v>
      </c>
      <c r="Z46" s="490">
        <v>0.97</v>
      </c>
      <c r="AA46" s="490">
        <v>0.93</v>
      </c>
      <c r="AC46" s="489">
        <v>80</v>
      </c>
      <c r="AD46" s="490">
        <v>1</v>
      </c>
      <c r="AE46" s="490">
        <v>1.01</v>
      </c>
      <c r="AF46" s="491">
        <v>1.01</v>
      </c>
      <c r="AG46" s="490">
        <v>1</v>
      </c>
      <c r="AH46" s="490">
        <v>0.97</v>
      </c>
      <c r="AJ46" s="489">
        <v>80</v>
      </c>
      <c r="AK46" s="490">
        <v>1</v>
      </c>
      <c r="AL46" s="490">
        <v>1.03</v>
      </c>
      <c r="AM46" s="491">
        <v>1.03</v>
      </c>
      <c r="AN46" s="490">
        <v>1.03</v>
      </c>
      <c r="AO46" s="490">
        <v>1.01</v>
      </c>
      <c r="AQ46" s="489">
        <v>80</v>
      </c>
      <c r="AR46" s="490">
        <v>1</v>
      </c>
      <c r="AS46" s="490">
        <v>1.04</v>
      </c>
      <c r="AT46" s="491">
        <v>1.06</v>
      </c>
      <c r="AU46" s="490">
        <v>1.07</v>
      </c>
      <c r="AV46" s="490">
        <v>1.05</v>
      </c>
      <c r="AX46" s="489">
        <v>80</v>
      </c>
      <c r="AY46" s="490">
        <v>1</v>
      </c>
      <c r="AZ46" s="490">
        <v>1.05</v>
      </c>
      <c r="BA46" s="491">
        <v>1.07</v>
      </c>
      <c r="BB46" s="490">
        <v>1.08</v>
      </c>
      <c r="BC46" s="490">
        <v>1.08</v>
      </c>
      <c r="BE46" s="489">
        <v>80</v>
      </c>
      <c r="BF46" s="490">
        <v>1</v>
      </c>
      <c r="BG46" s="490">
        <v>1.04</v>
      </c>
      <c r="BH46" s="491">
        <v>1.06</v>
      </c>
      <c r="BI46" s="490">
        <v>1.07</v>
      </c>
      <c r="BJ46" s="490">
        <v>1.06</v>
      </c>
      <c r="BL46" s="489">
        <v>80</v>
      </c>
      <c r="BM46" s="490">
        <v>1</v>
      </c>
      <c r="BN46" s="490">
        <v>1.03</v>
      </c>
      <c r="BO46" s="491">
        <v>1.04</v>
      </c>
      <c r="BP46" s="490">
        <v>1.05</v>
      </c>
      <c r="BQ46" s="490">
        <v>1.03</v>
      </c>
      <c r="BS46" s="489">
        <v>80</v>
      </c>
      <c r="BT46" s="490">
        <v>1</v>
      </c>
      <c r="BU46" s="490">
        <v>1.01</v>
      </c>
      <c r="BV46" s="491">
        <v>1.01</v>
      </c>
      <c r="BW46" s="490">
        <v>1</v>
      </c>
      <c r="BX46" s="490">
        <v>0.97</v>
      </c>
      <c r="BZ46" s="489">
        <v>80</v>
      </c>
      <c r="CA46" s="490">
        <v>1</v>
      </c>
      <c r="CB46" s="490">
        <v>1</v>
      </c>
      <c r="CC46" s="491">
        <v>0.99</v>
      </c>
      <c r="CD46" s="490">
        <v>0.97</v>
      </c>
      <c r="CE46" s="490">
        <v>0.92</v>
      </c>
      <c r="CG46" s="489">
        <v>80</v>
      </c>
      <c r="CH46" s="490">
        <v>1</v>
      </c>
      <c r="CI46" s="490">
        <v>1</v>
      </c>
      <c r="CJ46" s="491">
        <v>0.98</v>
      </c>
      <c r="CK46" s="490">
        <v>0.95</v>
      </c>
      <c r="CL46" s="490">
        <v>0.91</v>
      </c>
      <c r="CN46" s="489">
        <v>80</v>
      </c>
      <c r="CO46" s="490">
        <v>1</v>
      </c>
      <c r="CP46" s="490">
        <v>1</v>
      </c>
      <c r="CQ46" s="491">
        <v>0.98</v>
      </c>
      <c r="CR46" s="490">
        <v>0.95</v>
      </c>
      <c r="CS46" s="490">
        <v>0.9</v>
      </c>
    </row>
    <row r="47" spans="3:97" ht="15.75" thickBot="1" x14ac:dyDescent="0.3">
      <c r="C47" s="489">
        <v>190</v>
      </c>
      <c r="D47" s="490">
        <v>0.9</v>
      </c>
      <c r="E47" s="490">
        <v>0.85</v>
      </c>
      <c r="F47" s="490">
        <v>0.78</v>
      </c>
      <c r="G47" s="491">
        <v>0.69</v>
      </c>
      <c r="H47" s="490">
        <v>0.59</v>
      </c>
      <c r="I47" s="490">
        <v>0.51</v>
      </c>
      <c r="J47" s="490">
        <v>0.43</v>
      </c>
      <c r="K47" s="490">
        <v>0.37</v>
      </c>
      <c r="L47" s="490">
        <v>0.31</v>
      </c>
      <c r="M47" s="490">
        <v>0.27</v>
      </c>
      <c r="O47" s="489">
        <v>90</v>
      </c>
      <c r="P47" s="490">
        <v>1</v>
      </c>
      <c r="Q47" s="490">
        <v>1</v>
      </c>
      <c r="R47" s="491">
        <v>0.98</v>
      </c>
      <c r="S47" s="490">
        <v>0.95</v>
      </c>
      <c r="T47" s="490">
        <v>0.9</v>
      </c>
      <c r="V47" s="489">
        <v>90</v>
      </c>
      <c r="W47" s="490">
        <v>1</v>
      </c>
      <c r="X47" s="490">
        <v>1</v>
      </c>
      <c r="Y47" s="491">
        <v>0.98</v>
      </c>
      <c r="Z47" s="490">
        <v>0.96</v>
      </c>
      <c r="AA47" s="490">
        <v>0.92</v>
      </c>
      <c r="AC47" s="489">
        <v>90</v>
      </c>
      <c r="AD47" s="490">
        <v>1</v>
      </c>
      <c r="AE47" s="490">
        <v>1</v>
      </c>
      <c r="AF47" s="491">
        <v>1</v>
      </c>
      <c r="AG47" s="490">
        <v>0.97</v>
      </c>
      <c r="AH47" s="490">
        <v>0.93</v>
      </c>
      <c r="AJ47" s="489">
        <v>90</v>
      </c>
      <c r="AK47" s="490">
        <v>1</v>
      </c>
      <c r="AL47" s="490">
        <v>1.01</v>
      </c>
      <c r="AM47" s="491">
        <v>0.99</v>
      </c>
      <c r="AN47" s="490">
        <v>0.98</v>
      </c>
      <c r="AO47" s="490">
        <v>0.96</v>
      </c>
      <c r="AQ47" s="489">
        <v>90</v>
      </c>
      <c r="AR47" s="490">
        <v>1</v>
      </c>
      <c r="AS47" s="490">
        <v>1.01</v>
      </c>
      <c r="AT47" s="491">
        <v>1.01</v>
      </c>
      <c r="AU47" s="490">
        <v>0.99</v>
      </c>
      <c r="AV47" s="490">
        <v>0.97</v>
      </c>
      <c r="AX47" s="489">
        <v>90</v>
      </c>
      <c r="AY47" s="490">
        <v>1</v>
      </c>
      <c r="AZ47" s="490">
        <v>1.01</v>
      </c>
      <c r="BA47" s="491">
        <v>1.01</v>
      </c>
      <c r="BB47" s="490">
        <v>0.99</v>
      </c>
      <c r="BC47" s="490">
        <v>0.98</v>
      </c>
      <c r="BE47" s="489">
        <v>90</v>
      </c>
      <c r="BF47" s="490">
        <v>1</v>
      </c>
      <c r="BG47" s="490">
        <v>1.01</v>
      </c>
      <c r="BH47" s="491">
        <v>1.01</v>
      </c>
      <c r="BI47" s="490">
        <v>0.99</v>
      </c>
      <c r="BJ47" s="490">
        <v>0.97</v>
      </c>
      <c r="BL47" s="489">
        <v>90</v>
      </c>
      <c r="BM47" s="490">
        <v>1</v>
      </c>
      <c r="BN47" s="490">
        <v>1.01</v>
      </c>
      <c r="BO47" s="491">
        <v>0.99</v>
      </c>
      <c r="BP47" s="490">
        <v>0.98</v>
      </c>
      <c r="BQ47" s="490">
        <v>0.95</v>
      </c>
      <c r="BS47" s="489">
        <v>90</v>
      </c>
      <c r="BT47" s="490">
        <v>1</v>
      </c>
      <c r="BU47" s="490">
        <v>1</v>
      </c>
      <c r="BV47" s="491">
        <v>0.99</v>
      </c>
      <c r="BW47" s="490">
        <v>0.96</v>
      </c>
      <c r="BX47" s="490">
        <v>0.93</v>
      </c>
      <c r="BZ47" s="489">
        <v>90</v>
      </c>
      <c r="CA47" s="490">
        <v>1</v>
      </c>
      <c r="CB47" s="490">
        <v>1</v>
      </c>
      <c r="CC47" s="491">
        <v>0.98</v>
      </c>
      <c r="CD47" s="490">
        <v>0.95</v>
      </c>
      <c r="CE47" s="490">
        <v>0.9</v>
      </c>
      <c r="CG47" s="489">
        <v>90</v>
      </c>
      <c r="CH47" s="490">
        <v>1</v>
      </c>
      <c r="CI47" s="490">
        <v>1</v>
      </c>
      <c r="CJ47" s="491">
        <v>0.98</v>
      </c>
      <c r="CK47" s="490">
        <v>0.95</v>
      </c>
      <c r="CL47" s="490">
        <v>0.91</v>
      </c>
      <c r="CN47" s="489">
        <v>90</v>
      </c>
      <c r="CO47" s="490">
        <v>1</v>
      </c>
      <c r="CP47" s="490">
        <v>1</v>
      </c>
      <c r="CQ47" s="491">
        <v>0.98</v>
      </c>
      <c r="CR47" s="490">
        <v>0.95</v>
      </c>
      <c r="CS47" s="490">
        <v>0.91</v>
      </c>
    </row>
    <row r="48" spans="3:97" ht="15.75" thickBot="1" x14ac:dyDescent="0.3">
      <c r="C48" s="489">
        <v>200</v>
      </c>
      <c r="D48" s="490">
        <v>0.9</v>
      </c>
      <c r="E48" s="490">
        <v>0.85</v>
      </c>
      <c r="F48" s="490">
        <v>0.78</v>
      </c>
      <c r="G48" s="491">
        <v>0.7</v>
      </c>
      <c r="H48" s="490">
        <v>0.6</v>
      </c>
      <c r="I48" s="490">
        <v>0.52</v>
      </c>
      <c r="J48" s="490">
        <v>0.45</v>
      </c>
      <c r="K48" s="490">
        <v>0.38</v>
      </c>
      <c r="L48" s="490">
        <v>0.32</v>
      </c>
      <c r="M48" s="490">
        <v>0.28999999999999998</v>
      </c>
      <c r="P48" s="492"/>
      <c r="Q48" s="492"/>
      <c r="R48" s="492"/>
      <c r="S48" s="492"/>
      <c r="T48" s="492"/>
      <c r="W48" s="492"/>
      <c r="X48" s="492"/>
      <c r="Y48" s="492"/>
      <c r="Z48" s="492"/>
      <c r="AA48" s="492"/>
      <c r="AD48" s="492"/>
      <c r="AE48" s="492"/>
      <c r="AF48" s="492"/>
      <c r="AG48" s="492"/>
      <c r="AH48" s="492"/>
      <c r="AK48" s="492"/>
      <c r="AL48" s="492"/>
      <c r="AM48" s="492"/>
      <c r="AN48" s="492"/>
      <c r="AO48" s="492"/>
      <c r="AR48" s="492"/>
      <c r="AS48" s="492"/>
      <c r="AT48" s="492"/>
      <c r="AU48" s="492"/>
      <c r="AV48" s="492"/>
      <c r="AY48" s="492"/>
      <c r="AZ48" s="492"/>
      <c r="BA48" s="492"/>
      <c r="BB48" s="492"/>
      <c r="BC48" s="492"/>
      <c r="BF48" s="492"/>
      <c r="BG48" s="492"/>
      <c r="BH48" s="492"/>
      <c r="BI48" s="492"/>
      <c r="BJ48" s="492"/>
      <c r="BM48" s="492"/>
      <c r="BN48" s="492"/>
      <c r="BO48" s="492"/>
      <c r="BP48" s="492"/>
      <c r="BQ48" s="492"/>
      <c r="BT48" s="492"/>
      <c r="BU48" s="492"/>
      <c r="BV48" s="492"/>
      <c r="BW48" s="492"/>
      <c r="BX48" s="492"/>
      <c r="CA48" s="492"/>
      <c r="CB48" s="492"/>
      <c r="CC48" s="492"/>
      <c r="CD48" s="492"/>
      <c r="CE48" s="492"/>
      <c r="CH48" s="492"/>
      <c r="CI48" s="492"/>
      <c r="CJ48" s="492"/>
      <c r="CK48" s="492"/>
      <c r="CL48" s="492"/>
      <c r="CO48" s="492"/>
      <c r="CP48" s="492"/>
      <c r="CQ48" s="492"/>
      <c r="CR48" s="492"/>
      <c r="CS48" s="492"/>
    </row>
    <row r="49" spans="3:97" ht="15.75" thickBot="1" x14ac:dyDescent="0.3">
      <c r="C49" s="489">
        <v>210</v>
      </c>
      <c r="D49" s="490">
        <v>0.9</v>
      </c>
      <c r="E49" s="490">
        <v>0.85</v>
      </c>
      <c r="F49" s="490">
        <v>0.79</v>
      </c>
      <c r="G49" s="491">
        <v>0.71</v>
      </c>
      <c r="H49" s="490">
        <v>0.62</v>
      </c>
      <c r="I49" s="490">
        <v>0.54</v>
      </c>
      <c r="J49" s="490">
        <v>0.47</v>
      </c>
      <c r="K49" s="490">
        <v>0.41</v>
      </c>
      <c r="L49" s="490">
        <v>0.36</v>
      </c>
      <c r="M49" s="490">
        <v>0.31</v>
      </c>
      <c r="P49" s="492"/>
      <c r="Q49" s="492"/>
      <c r="R49" s="492"/>
      <c r="S49" s="492"/>
      <c r="T49" s="492"/>
      <c r="W49" s="492"/>
      <c r="X49" s="492"/>
      <c r="Y49" s="492"/>
      <c r="Z49" s="492"/>
      <c r="AA49" s="492"/>
      <c r="AD49" s="492"/>
      <c r="AE49" s="492"/>
      <c r="AF49" s="492"/>
      <c r="AG49" s="492"/>
      <c r="AH49" s="492"/>
      <c r="AK49" s="492"/>
      <c r="AL49" s="492"/>
      <c r="AM49" s="492"/>
      <c r="AN49" s="492"/>
      <c r="AO49" s="492"/>
      <c r="AR49" s="492"/>
      <c r="AS49" s="492"/>
      <c r="AT49" s="492"/>
      <c r="AU49" s="492"/>
      <c r="AV49" s="492"/>
      <c r="AY49" s="492"/>
      <c r="AZ49" s="492"/>
      <c r="BA49" s="492"/>
      <c r="BB49" s="492"/>
      <c r="BC49" s="492"/>
      <c r="BF49" s="492"/>
      <c r="BG49" s="492"/>
      <c r="BH49" s="492"/>
      <c r="BI49" s="492"/>
      <c r="BJ49" s="492"/>
      <c r="BM49" s="492"/>
      <c r="BN49" s="492"/>
      <c r="BO49" s="492"/>
      <c r="BP49" s="492"/>
      <c r="BQ49" s="492"/>
      <c r="BT49" s="492"/>
      <c r="BU49" s="492"/>
      <c r="BV49" s="492"/>
      <c r="BW49" s="492"/>
      <c r="BX49" s="492"/>
      <c r="CA49" s="492"/>
      <c r="CB49" s="492"/>
      <c r="CC49" s="492"/>
      <c r="CD49" s="492"/>
      <c r="CE49" s="492"/>
      <c r="CH49" s="492"/>
      <c r="CI49" s="492"/>
      <c r="CJ49" s="492"/>
      <c r="CK49" s="492"/>
      <c r="CL49" s="492"/>
      <c r="CO49" s="492"/>
      <c r="CP49" s="492"/>
      <c r="CQ49" s="492"/>
      <c r="CR49" s="492"/>
      <c r="CS49" s="492"/>
    </row>
    <row r="50" spans="3:97" ht="15.75" thickBot="1" x14ac:dyDescent="0.3">
      <c r="C50" s="489">
        <v>220</v>
      </c>
      <c r="D50" s="490">
        <v>0.9</v>
      </c>
      <c r="E50" s="490">
        <v>0.86</v>
      </c>
      <c r="F50" s="490">
        <v>0.8</v>
      </c>
      <c r="G50" s="491">
        <v>0.73</v>
      </c>
      <c r="H50" s="490">
        <v>0.65</v>
      </c>
      <c r="I50" s="490">
        <v>0.56999999999999995</v>
      </c>
      <c r="J50" s="490">
        <v>0.51</v>
      </c>
      <c r="K50" s="490">
        <v>0.45</v>
      </c>
      <c r="L50" s="490">
        <v>0.39</v>
      </c>
      <c r="M50" s="490">
        <v>0.35</v>
      </c>
      <c r="P50" s="492"/>
      <c r="Q50" s="492"/>
      <c r="R50" s="492"/>
      <c r="S50" s="492"/>
      <c r="T50" s="492"/>
      <c r="W50" s="492"/>
      <c r="X50" s="492"/>
      <c r="Y50" s="492"/>
      <c r="Z50" s="492"/>
      <c r="AA50" s="492"/>
      <c r="AD50" s="492"/>
      <c r="AE50" s="492"/>
      <c r="AF50" s="492"/>
      <c r="AG50" s="492"/>
      <c r="AH50" s="492"/>
      <c r="AK50" s="492"/>
      <c r="AL50" s="492"/>
      <c r="AM50" s="492"/>
      <c r="AN50" s="492"/>
      <c r="AO50" s="492"/>
      <c r="AR50" s="492"/>
      <c r="AS50" s="492"/>
      <c r="AT50" s="492"/>
      <c r="AU50" s="492"/>
      <c r="AV50" s="492"/>
      <c r="AY50" s="492"/>
      <c r="AZ50" s="492"/>
      <c r="BA50" s="492"/>
      <c r="BB50" s="492"/>
      <c r="BC50" s="492"/>
      <c r="BF50" s="492"/>
      <c r="BG50" s="492"/>
      <c r="BH50" s="492"/>
      <c r="BI50" s="492"/>
      <c r="BJ50" s="492"/>
      <c r="BM50" s="492"/>
      <c r="BN50" s="492"/>
      <c r="BO50" s="492"/>
      <c r="BP50" s="492"/>
      <c r="BQ50" s="492"/>
      <c r="BT50" s="492"/>
      <c r="BU50" s="492"/>
      <c r="BV50" s="492"/>
      <c r="BW50" s="492"/>
      <c r="BX50" s="492"/>
      <c r="CA50" s="492"/>
      <c r="CB50" s="492"/>
      <c r="CC50" s="492"/>
      <c r="CD50" s="492"/>
      <c r="CE50" s="492"/>
      <c r="CH50" s="492"/>
      <c r="CI50" s="492"/>
      <c r="CJ50" s="492"/>
      <c r="CK50" s="492"/>
      <c r="CL50" s="492"/>
      <c r="CO50" s="492"/>
      <c r="CP50" s="492"/>
      <c r="CQ50" s="492"/>
      <c r="CR50" s="492"/>
      <c r="CS50" s="492"/>
    </row>
    <row r="51" spans="3:97" ht="15.75" thickBot="1" x14ac:dyDescent="0.3">
      <c r="C51" s="489">
        <v>230</v>
      </c>
      <c r="D51" s="490">
        <v>0.9</v>
      </c>
      <c r="E51" s="490">
        <v>0.86</v>
      </c>
      <c r="F51" s="490">
        <v>0.81</v>
      </c>
      <c r="G51" s="491">
        <v>0.75</v>
      </c>
      <c r="H51" s="490">
        <v>0.68</v>
      </c>
      <c r="I51" s="490">
        <v>0.61</v>
      </c>
      <c r="J51" s="490">
        <v>0.55000000000000004</v>
      </c>
      <c r="K51" s="490">
        <v>0.49</v>
      </c>
      <c r="L51" s="490">
        <v>0.43</v>
      </c>
      <c r="M51" s="490">
        <v>0.38</v>
      </c>
      <c r="P51" s="492"/>
      <c r="Q51" s="492"/>
      <c r="R51" s="492"/>
      <c r="S51" s="492"/>
      <c r="T51" s="492"/>
      <c r="W51" s="492"/>
      <c r="X51" s="492"/>
      <c r="Y51" s="492"/>
      <c r="Z51" s="492"/>
      <c r="AA51" s="492"/>
      <c r="AD51" s="492"/>
      <c r="AE51" s="492"/>
      <c r="AF51" s="492"/>
      <c r="AG51" s="492"/>
      <c r="AH51" s="492"/>
      <c r="AK51" s="492"/>
      <c r="AL51" s="492"/>
      <c r="AM51" s="492"/>
      <c r="AN51" s="492"/>
      <c r="AO51" s="492"/>
      <c r="AR51" s="492"/>
      <c r="AS51" s="492"/>
      <c r="AT51" s="492"/>
      <c r="AU51" s="492"/>
      <c r="AV51" s="492"/>
      <c r="AY51" s="492"/>
      <c r="AZ51" s="492"/>
      <c r="BA51" s="492"/>
      <c r="BB51" s="492"/>
      <c r="BC51" s="492"/>
      <c r="BF51" s="492"/>
      <c r="BG51" s="492"/>
      <c r="BH51" s="492"/>
      <c r="BI51" s="492"/>
      <c r="BJ51" s="492"/>
      <c r="BM51" s="492"/>
      <c r="BN51" s="492"/>
      <c r="BO51" s="492"/>
      <c r="BP51" s="492"/>
      <c r="BQ51" s="492"/>
      <c r="BT51" s="492"/>
      <c r="BU51" s="492"/>
      <c r="BV51" s="492"/>
      <c r="BW51" s="492"/>
      <c r="BX51" s="492"/>
      <c r="CA51" s="492"/>
      <c r="CB51" s="492"/>
      <c r="CC51" s="492"/>
      <c r="CD51" s="492"/>
      <c r="CE51" s="492"/>
      <c r="CH51" s="492"/>
      <c r="CI51" s="492"/>
      <c r="CJ51" s="492"/>
      <c r="CK51" s="492"/>
      <c r="CL51" s="492"/>
      <c r="CO51" s="492"/>
      <c r="CP51" s="492"/>
      <c r="CQ51" s="492"/>
      <c r="CR51" s="492"/>
      <c r="CS51" s="492"/>
    </row>
    <row r="52" spans="3:97" ht="15.75" thickBot="1" x14ac:dyDescent="0.3">
      <c r="C52" s="489">
        <v>240</v>
      </c>
      <c r="D52" s="490">
        <v>0.9</v>
      </c>
      <c r="E52" s="490">
        <v>0.87</v>
      </c>
      <c r="F52" s="490">
        <v>0.83</v>
      </c>
      <c r="G52" s="491">
        <v>0.77</v>
      </c>
      <c r="H52" s="490">
        <v>0.71</v>
      </c>
      <c r="I52" s="490">
        <v>0.65</v>
      </c>
      <c r="J52" s="490">
        <v>0.59</v>
      </c>
      <c r="K52" s="490">
        <v>0.53</v>
      </c>
      <c r="L52" s="490">
        <v>0.48</v>
      </c>
      <c r="M52" s="490">
        <v>0.42</v>
      </c>
      <c r="P52" s="492"/>
      <c r="Q52" s="492"/>
      <c r="R52" s="492"/>
      <c r="S52" s="492"/>
      <c r="T52" s="492"/>
      <c r="W52" s="492"/>
      <c r="X52" s="492"/>
      <c r="Y52" s="492"/>
      <c r="Z52" s="492"/>
      <c r="AA52" s="492"/>
      <c r="AD52" s="492"/>
      <c r="AE52" s="492"/>
      <c r="AF52" s="492"/>
      <c r="AG52" s="492"/>
      <c r="AH52" s="492"/>
      <c r="AK52" s="492"/>
      <c r="AL52" s="492"/>
      <c r="AM52" s="492"/>
      <c r="AN52" s="492"/>
      <c r="AO52" s="492"/>
      <c r="AR52" s="492"/>
      <c r="AS52" s="492"/>
      <c r="AT52" s="492"/>
      <c r="AU52" s="492"/>
      <c r="AV52" s="492"/>
      <c r="AY52" s="492"/>
      <c r="AZ52" s="492"/>
      <c r="BA52" s="492"/>
      <c r="BB52" s="492"/>
      <c r="BC52" s="492"/>
      <c r="BF52" s="492"/>
      <c r="BG52" s="492"/>
      <c r="BH52" s="492"/>
      <c r="BI52" s="492"/>
      <c r="BJ52" s="492"/>
      <c r="BM52" s="492"/>
      <c r="BN52" s="492"/>
      <c r="BO52" s="492"/>
      <c r="BP52" s="492"/>
      <c r="BQ52" s="492"/>
      <c r="BT52" s="492"/>
      <c r="BU52" s="492"/>
      <c r="BV52" s="492"/>
      <c r="BW52" s="492"/>
      <c r="BX52" s="492"/>
      <c r="CA52" s="492"/>
      <c r="CB52" s="492"/>
      <c r="CC52" s="492"/>
      <c r="CD52" s="492"/>
      <c r="CE52" s="492"/>
      <c r="CH52" s="492"/>
      <c r="CI52" s="492"/>
      <c r="CJ52" s="492"/>
      <c r="CK52" s="492"/>
      <c r="CL52" s="492"/>
      <c r="CO52" s="492"/>
      <c r="CP52" s="492"/>
      <c r="CQ52" s="492"/>
      <c r="CR52" s="492"/>
      <c r="CS52" s="492"/>
    </row>
    <row r="53" spans="3:97" ht="15.75" thickBot="1" x14ac:dyDescent="0.3">
      <c r="C53" s="489">
        <v>250</v>
      </c>
      <c r="D53" s="490">
        <v>0.9</v>
      </c>
      <c r="E53" s="490">
        <v>0.88</v>
      </c>
      <c r="F53" s="490">
        <v>0.84</v>
      </c>
      <c r="G53" s="491">
        <v>0.8</v>
      </c>
      <c r="H53" s="490">
        <v>0.74</v>
      </c>
      <c r="I53" s="490">
        <v>0.69</v>
      </c>
      <c r="J53" s="490">
        <v>0.63</v>
      </c>
      <c r="K53" s="490">
        <v>0.56999999999999995</v>
      </c>
      <c r="L53" s="490">
        <v>0.52</v>
      </c>
      <c r="M53" s="490">
        <v>0.46</v>
      </c>
      <c r="P53" s="492"/>
      <c r="Q53" s="492"/>
      <c r="R53" s="492"/>
      <c r="S53" s="492"/>
      <c r="T53" s="492"/>
      <c r="W53" s="492"/>
      <c r="X53" s="492"/>
      <c r="Y53" s="492"/>
      <c r="Z53" s="492"/>
      <c r="AA53" s="492"/>
      <c r="AD53" s="492"/>
      <c r="AE53" s="492"/>
      <c r="AF53" s="492"/>
      <c r="AG53" s="492"/>
      <c r="AH53" s="492"/>
      <c r="AK53" s="492"/>
      <c r="AL53" s="492"/>
      <c r="AM53" s="492"/>
      <c r="AN53" s="492"/>
      <c r="AO53" s="492"/>
      <c r="AR53" s="492"/>
      <c r="AS53" s="492"/>
      <c r="AT53" s="492"/>
      <c r="AU53" s="492"/>
      <c r="AV53" s="492"/>
      <c r="AY53" s="492"/>
      <c r="AZ53" s="492"/>
      <c r="BA53" s="492"/>
      <c r="BB53" s="492"/>
      <c r="BC53" s="492"/>
      <c r="BF53" s="492"/>
      <c r="BG53" s="492"/>
      <c r="BH53" s="492"/>
      <c r="BI53" s="492"/>
      <c r="BJ53" s="492"/>
      <c r="BM53" s="492"/>
      <c r="BN53" s="492"/>
      <c r="BO53" s="492"/>
      <c r="BP53" s="492"/>
      <c r="BQ53" s="492"/>
      <c r="BT53" s="492"/>
      <c r="BU53" s="492"/>
      <c r="BV53" s="492"/>
      <c r="BW53" s="492"/>
      <c r="BX53" s="492"/>
      <c r="CA53" s="492"/>
      <c r="CB53" s="492"/>
      <c r="CC53" s="492"/>
      <c r="CD53" s="492"/>
      <c r="CE53" s="492"/>
      <c r="CH53" s="492"/>
      <c r="CI53" s="492"/>
      <c r="CJ53" s="492"/>
      <c r="CK53" s="492"/>
      <c r="CL53" s="492"/>
      <c r="CO53" s="492"/>
      <c r="CP53" s="492"/>
      <c r="CQ53" s="492"/>
      <c r="CR53" s="492"/>
      <c r="CS53" s="492"/>
    </row>
    <row r="54" spans="3:97" ht="15.75" thickBot="1" x14ac:dyDescent="0.3">
      <c r="C54" s="489">
        <v>260</v>
      </c>
      <c r="D54" s="490">
        <v>0.9</v>
      </c>
      <c r="E54" s="490">
        <v>0.89</v>
      </c>
      <c r="F54" s="490">
        <v>0.86</v>
      </c>
      <c r="G54" s="491">
        <v>0.82</v>
      </c>
      <c r="H54" s="490">
        <v>0.78</v>
      </c>
      <c r="I54" s="490">
        <v>0.73</v>
      </c>
      <c r="J54" s="490">
        <v>0.67</v>
      </c>
      <c r="K54" s="490">
        <v>0.61</v>
      </c>
      <c r="L54" s="490">
        <v>0.55000000000000004</v>
      </c>
      <c r="M54" s="490">
        <v>0.49</v>
      </c>
      <c r="P54" s="492"/>
      <c r="Q54" s="492"/>
      <c r="R54" s="492"/>
      <c r="S54" s="492"/>
      <c r="T54" s="492"/>
      <c r="W54" s="492"/>
      <c r="X54" s="492"/>
      <c r="Y54" s="492"/>
      <c r="Z54" s="492"/>
      <c r="AA54" s="492"/>
      <c r="AD54" s="492"/>
      <c r="AE54" s="492"/>
      <c r="AF54" s="492"/>
      <c r="AG54" s="492"/>
      <c r="AH54" s="492"/>
      <c r="AK54" s="492"/>
      <c r="AL54" s="492"/>
      <c r="AM54" s="492"/>
      <c r="AN54" s="492"/>
      <c r="AO54" s="492"/>
      <c r="AR54" s="492"/>
      <c r="AS54" s="492"/>
      <c r="AT54" s="492"/>
      <c r="AU54" s="492"/>
      <c r="AV54" s="492"/>
      <c r="AY54" s="492"/>
      <c r="AZ54" s="492"/>
      <c r="BA54" s="492"/>
      <c r="BB54" s="492"/>
      <c r="BC54" s="492"/>
      <c r="BF54" s="492"/>
      <c r="BG54" s="492"/>
      <c r="BH54" s="492"/>
      <c r="BI54" s="492"/>
      <c r="BJ54" s="492"/>
      <c r="BM54" s="492"/>
      <c r="BN54" s="492"/>
      <c r="BO54" s="492"/>
      <c r="BP54" s="492"/>
      <c r="BQ54" s="492"/>
      <c r="BT54" s="492"/>
      <c r="BU54" s="492"/>
      <c r="BV54" s="492"/>
      <c r="BW54" s="492"/>
      <c r="BX54" s="492"/>
      <c r="CA54" s="492"/>
      <c r="CB54" s="492"/>
      <c r="CC54" s="492"/>
      <c r="CD54" s="492"/>
      <c r="CE54" s="492"/>
      <c r="CH54" s="492"/>
      <c r="CI54" s="492"/>
      <c r="CJ54" s="492"/>
      <c r="CK54" s="492"/>
      <c r="CL54" s="492"/>
      <c r="CO54" s="492"/>
      <c r="CP54" s="492"/>
      <c r="CQ54" s="492"/>
      <c r="CR54" s="492"/>
      <c r="CS54" s="492"/>
    </row>
    <row r="55" spans="3:97" ht="15.75" thickBot="1" x14ac:dyDescent="0.3">
      <c r="C55" s="489">
        <v>270</v>
      </c>
      <c r="D55" s="490">
        <v>0.9</v>
      </c>
      <c r="E55" s="490">
        <v>0.9</v>
      </c>
      <c r="F55" s="490">
        <v>0.88</v>
      </c>
      <c r="G55" s="491">
        <v>0.85</v>
      </c>
      <c r="H55" s="490">
        <v>0.81</v>
      </c>
      <c r="I55" s="490">
        <v>0.76</v>
      </c>
      <c r="J55" s="490">
        <v>0.71</v>
      </c>
      <c r="K55" s="490">
        <v>0.65</v>
      </c>
      <c r="L55" s="490">
        <v>0.59</v>
      </c>
      <c r="M55" s="490">
        <v>0.52</v>
      </c>
      <c r="P55" s="492"/>
      <c r="Q55" s="492"/>
      <c r="R55" s="492"/>
      <c r="S55" s="492"/>
      <c r="T55" s="492"/>
      <c r="W55" s="492"/>
      <c r="X55" s="492"/>
      <c r="Y55" s="492"/>
      <c r="Z55" s="492"/>
      <c r="AA55" s="492"/>
      <c r="AD55" s="492"/>
      <c r="AE55" s="492"/>
      <c r="AF55" s="492"/>
      <c r="AG55" s="492"/>
      <c r="AH55" s="492"/>
      <c r="AK55" s="492"/>
      <c r="AL55" s="492"/>
      <c r="AM55" s="492"/>
      <c r="AN55" s="492"/>
      <c r="AO55" s="492"/>
      <c r="AR55" s="492"/>
      <c r="AS55" s="492"/>
      <c r="AT55" s="492"/>
      <c r="AU55" s="492"/>
      <c r="AV55" s="492"/>
      <c r="AY55" s="492"/>
      <c r="AZ55" s="492"/>
      <c r="BA55" s="492"/>
      <c r="BB55" s="492"/>
      <c r="BC55" s="492"/>
      <c r="BF55" s="492"/>
      <c r="BG55" s="492"/>
      <c r="BH55" s="492"/>
      <c r="BI55" s="492"/>
      <c r="BJ55" s="492"/>
      <c r="BM55" s="492"/>
      <c r="BN55" s="492"/>
      <c r="BO55" s="492"/>
      <c r="BP55" s="492"/>
      <c r="BQ55" s="492"/>
      <c r="BT55" s="492"/>
      <c r="BU55" s="492"/>
      <c r="BV55" s="492"/>
      <c r="BW55" s="492"/>
      <c r="BX55" s="492"/>
      <c r="CA55" s="492"/>
      <c r="CB55" s="492"/>
      <c r="CC55" s="492"/>
      <c r="CD55" s="492"/>
      <c r="CE55" s="492"/>
      <c r="CH55" s="492"/>
      <c r="CI55" s="492"/>
      <c r="CJ55" s="492"/>
      <c r="CK55" s="492"/>
      <c r="CL55" s="492"/>
      <c r="CO55" s="492"/>
      <c r="CP55" s="492"/>
      <c r="CQ55" s="492"/>
      <c r="CR55" s="492"/>
      <c r="CS55" s="492"/>
    </row>
    <row r="56" spans="3:97" ht="15.75" thickBot="1" x14ac:dyDescent="0.3">
      <c r="C56" s="489">
        <v>280</v>
      </c>
      <c r="D56" s="490">
        <v>0.9</v>
      </c>
      <c r="E56" s="490">
        <v>0.91</v>
      </c>
      <c r="F56" s="490">
        <v>0.9</v>
      </c>
      <c r="G56" s="491">
        <v>0.87</v>
      </c>
      <c r="H56" s="490">
        <v>0.84</v>
      </c>
      <c r="I56" s="490">
        <v>0.79</v>
      </c>
      <c r="J56" s="490">
        <v>0.74</v>
      </c>
      <c r="K56" s="490">
        <v>0.68</v>
      </c>
      <c r="L56" s="490">
        <v>0.61</v>
      </c>
      <c r="M56" s="490">
        <v>0.55000000000000004</v>
      </c>
      <c r="P56" s="492"/>
      <c r="Q56" s="492"/>
      <c r="R56" s="492"/>
      <c r="S56" s="492"/>
      <c r="T56" s="492"/>
      <c r="W56" s="492"/>
      <c r="X56" s="492"/>
      <c r="Y56" s="492"/>
      <c r="Z56" s="492"/>
      <c r="AA56" s="492"/>
      <c r="AD56" s="492"/>
      <c r="AE56" s="492"/>
      <c r="AF56" s="492"/>
      <c r="AG56" s="492"/>
      <c r="AH56" s="492"/>
      <c r="AK56" s="492"/>
      <c r="AL56" s="492"/>
      <c r="AM56" s="492"/>
      <c r="AN56" s="492"/>
      <c r="AO56" s="492"/>
      <c r="AR56" s="492"/>
      <c r="AS56" s="492"/>
      <c r="AT56" s="492"/>
      <c r="AU56" s="492"/>
      <c r="AV56" s="492"/>
      <c r="AY56" s="492"/>
      <c r="AZ56" s="492"/>
      <c r="BA56" s="492"/>
      <c r="BB56" s="492"/>
      <c r="BC56" s="492"/>
      <c r="BF56" s="492"/>
      <c r="BG56" s="492"/>
      <c r="BH56" s="492"/>
      <c r="BI56" s="492"/>
      <c r="BJ56" s="492"/>
      <c r="BM56" s="492"/>
      <c r="BN56" s="492"/>
      <c r="BO56" s="492"/>
      <c r="BP56" s="492"/>
      <c r="BQ56" s="492"/>
      <c r="BT56" s="492"/>
      <c r="BU56" s="492"/>
      <c r="BV56" s="492"/>
      <c r="BW56" s="492"/>
      <c r="BX56" s="492"/>
      <c r="CA56" s="492"/>
      <c r="CB56" s="492"/>
      <c r="CC56" s="492"/>
      <c r="CD56" s="492"/>
      <c r="CE56" s="492"/>
      <c r="CH56" s="492"/>
      <c r="CI56" s="492"/>
      <c r="CJ56" s="492"/>
      <c r="CK56" s="492"/>
      <c r="CL56" s="492"/>
      <c r="CO56" s="492"/>
      <c r="CP56" s="492"/>
      <c r="CQ56" s="492"/>
      <c r="CR56" s="492"/>
      <c r="CS56" s="492"/>
    </row>
    <row r="57" spans="3:97" ht="15.75" thickBot="1" x14ac:dyDescent="0.3">
      <c r="C57" s="489">
        <v>290</v>
      </c>
      <c r="D57" s="490">
        <v>0.9</v>
      </c>
      <c r="E57" s="490">
        <v>0.92</v>
      </c>
      <c r="F57" s="490">
        <v>0.91</v>
      </c>
      <c r="G57" s="491">
        <v>0.9</v>
      </c>
      <c r="H57" s="490">
        <v>0.86</v>
      </c>
      <c r="I57" s="490">
        <v>0.82</v>
      </c>
      <c r="J57" s="490">
        <v>0.77</v>
      </c>
      <c r="K57" s="490">
        <v>0.71</v>
      </c>
      <c r="L57" s="490">
        <v>0.64</v>
      </c>
      <c r="M57" s="490">
        <v>0.56000000000000005</v>
      </c>
      <c r="P57" s="492"/>
      <c r="Q57" s="492"/>
      <c r="R57" s="492"/>
      <c r="S57" s="492"/>
      <c r="T57" s="492"/>
      <c r="W57" s="492"/>
      <c r="X57" s="492"/>
      <c r="Y57" s="492"/>
      <c r="Z57" s="492"/>
      <c r="AA57" s="492"/>
      <c r="AD57" s="492"/>
      <c r="AE57" s="492"/>
      <c r="AF57" s="492"/>
      <c r="AG57" s="492"/>
      <c r="AH57" s="492"/>
      <c r="AK57" s="492"/>
      <c r="AL57" s="492"/>
      <c r="AM57" s="492"/>
      <c r="AN57" s="492"/>
      <c r="AO57" s="492"/>
      <c r="AR57" s="492"/>
      <c r="AS57" s="492"/>
      <c r="AT57" s="492"/>
      <c r="AU57" s="492"/>
      <c r="AV57" s="492"/>
      <c r="AY57" s="492"/>
      <c r="AZ57" s="492"/>
      <c r="BA57" s="492"/>
      <c r="BB57" s="492"/>
      <c r="BC57" s="492"/>
      <c r="BF57" s="492"/>
      <c r="BG57" s="492"/>
      <c r="BH57" s="492"/>
      <c r="BI57" s="492"/>
      <c r="BJ57" s="492"/>
      <c r="BM57" s="492"/>
      <c r="BN57" s="492"/>
      <c r="BO57" s="492"/>
      <c r="BP57" s="492"/>
      <c r="BQ57" s="492"/>
      <c r="BT57" s="492"/>
      <c r="BU57" s="492"/>
      <c r="BV57" s="492"/>
      <c r="BW57" s="492"/>
      <c r="BX57" s="492"/>
      <c r="CA57" s="492"/>
      <c r="CB57" s="492"/>
      <c r="CC57" s="492"/>
      <c r="CD57" s="492"/>
      <c r="CE57" s="492"/>
      <c r="CH57" s="492"/>
      <c r="CI57" s="492"/>
      <c r="CJ57" s="492"/>
      <c r="CK57" s="492"/>
      <c r="CL57" s="492"/>
      <c r="CO57" s="492"/>
      <c r="CP57" s="492"/>
      <c r="CQ57" s="492"/>
      <c r="CR57" s="492"/>
      <c r="CS57" s="492"/>
    </row>
    <row r="58" spans="3:97" ht="15.75" thickBot="1" x14ac:dyDescent="0.3">
      <c r="C58" s="489">
        <v>300</v>
      </c>
      <c r="D58" s="490">
        <v>0.9</v>
      </c>
      <c r="E58" s="490">
        <v>0.92</v>
      </c>
      <c r="F58" s="490">
        <v>0.93</v>
      </c>
      <c r="G58" s="491">
        <v>0.92</v>
      </c>
      <c r="H58" s="490">
        <v>0.89</v>
      </c>
      <c r="I58" s="490">
        <v>0.85</v>
      </c>
      <c r="J58" s="490">
        <v>0.79</v>
      </c>
      <c r="K58" s="490">
        <v>0.73</v>
      </c>
      <c r="L58" s="490">
        <v>0.66</v>
      </c>
      <c r="M58" s="490">
        <v>0.57999999999999996</v>
      </c>
      <c r="P58" s="492"/>
      <c r="Q58" s="492"/>
      <c r="R58" s="492"/>
      <c r="S58" s="492"/>
      <c r="T58" s="492"/>
      <c r="W58" s="492"/>
      <c r="X58" s="492"/>
      <c r="Y58" s="492"/>
      <c r="Z58" s="492"/>
      <c r="AA58" s="492"/>
      <c r="AD58" s="492"/>
      <c r="AE58" s="492"/>
      <c r="AF58" s="492"/>
      <c r="AG58" s="492"/>
      <c r="AH58" s="492"/>
      <c r="AK58" s="492"/>
      <c r="AL58" s="492"/>
      <c r="AM58" s="492"/>
      <c r="AN58" s="492"/>
      <c r="AO58" s="492"/>
      <c r="AR58" s="492"/>
      <c r="AS58" s="492"/>
      <c r="AT58" s="492"/>
      <c r="AU58" s="492"/>
      <c r="AV58" s="492"/>
      <c r="AY58" s="492"/>
      <c r="AZ58" s="492"/>
      <c r="BA58" s="492"/>
      <c r="BB58" s="492"/>
      <c r="BC58" s="492"/>
      <c r="BF58" s="492"/>
      <c r="BG58" s="492"/>
      <c r="BH58" s="492"/>
      <c r="BI58" s="492"/>
      <c r="BJ58" s="492"/>
      <c r="BM58" s="492"/>
      <c r="BN58" s="492"/>
      <c r="BO58" s="492"/>
      <c r="BP58" s="492"/>
      <c r="BQ58" s="492"/>
      <c r="BT58" s="492"/>
      <c r="BU58" s="492"/>
      <c r="BV58" s="492"/>
      <c r="BW58" s="492"/>
      <c r="BX58" s="492"/>
      <c r="CA58" s="492"/>
      <c r="CB58" s="492"/>
      <c r="CC58" s="492"/>
      <c r="CD58" s="492"/>
      <c r="CE58" s="492"/>
      <c r="CH58" s="492"/>
      <c r="CI58" s="492"/>
      <c r="CJ58" s="492"/>
      <c r="CK58" s="492"/>
      <c r="CL58" s="492"/>
      <c r="CO58" s="492"/>
      <c r="CP58" s="492"/>
      <c r="CQ58" s="492"/>
      <c r="CR58" s="492"/>
      <c r="CS58" s="492"/>
    </row>
    <row r="59" spans="3:97" ht="15.75" thickBot="1" x14ac:dyDescent="0.3">
      <c r="C59" s="489">
        <v>310</v>
      </c>
      <c r="D59" s="490">
        <v>0.9</v>
      </c>
      <c r="E59" s="490">
        <v>0.93</v>
      </c>
      <c r="F59" s="490">
        <v>0.94</v>
      </c>
      <c r="G59" s="491">
        <v>0.94</v>
      </c>
      <c r="H59" s="490">
        <v>0.91</v>
      </c>
      <c r="I59" s="490">
        <v>0.87</v>
      </c>
      <c r="J59" s="490">
        <v>0.82</v>
      </c>
      <c r="K59" s="490">
        <v>0.75</v>
      </c>
      <c r="L59" s="490">
        <v>0.67</v>
      </c>
      <c r="M59" s="490">
        <v>0.59</v>
      </c>
      <c r="P59" s="492"/>
      <c r="Q59" s="492"/>
      <c r="R59" s="492"/>
      <c r="S59" s="492"/>
      <c r="T59" s="492"/>
      <c r="W59" s="492"/>
      <c r="X59" s="492"/>
      <c r="Y59" s="492"/>
      <c r="Z59" s="492"/>
      <c r="AA59" s="492"/>
      <c r="AD59" s="492"/>
      <c r="AE59" s="492"/>
      <c r="AF59" s="492"/>
      <c r="AG59" s="492"/>
      <c r="AH59" s="492"/>
      <c r="AK59" s="492"/>
      <c r="AL59" s="492"/>
      <c r="AM59" s="492"/>
      <c r="AN59" s="492"/>
      <c r="AO59" s="492"/>
      <c r="AR59" s="492"/>
      <c r="AS59" s="492"/>
      <c r="AT59" s="492"/>
      <c r="AU59" s="492"/>
      <c r="AV59" s="492"/>
      <c r="AY59" s="492"/>
      <c r="AZ59" s="492"/>
      <c r="BA59" s="492"/>
      <c r="BB59" s="492"/>
      <c r="BC59" s="492"/>
      <c r="BF59" s="492"/>
      <c r="BG59" s="492"/>
      <c r="BH59" s="492"/>
      <c r="BI59" s="492"/>
      <c r="BJ59" s="492"/>
      <c r="BM59" s="492"/>
      <c r="BN59" s="492"/>
      <c r="BO59" s="492"/>
      <c r="BP59" s="492"/>
      <c r="BQ59" s="492"/>
      <c r="BT59" s="492"/>
      <c r="BU59" s="492"/>
      <c r="BV59" s="492"/>
      <c r="BW59" s="492"/>
      <c r="BX59" s="492"/>
      <c r="CA59" s="492"/>
      <c r="CB59" s="492"/>
      <c r="CC59" s="492"/>
      <c r="CD59" s="492"/>
      <c r="CE59" s="492"/>
      <c r="CH59" s="492"/>
      <c r="CI59" s="492"/>
      <c r="CJ59" s="492"/>
      <c r="CK59" s="492"/>
      <c r="CL59" s="492"/>
      <c r="CO59" s="492"/>
      <c r="CP59" s="492"/>
      <c r="CQ59" s="492"/>
      <c r="CR59" s="492"/>
      <c r="CS59" s="492"/>
    </row>
    <row r="60" spans="3:97" ht="15.75" thickBot="1" x14ac:dyDescent="0.3">
      <c r="C60" s="489">
        <v>320</v>
      </c>
      <c r="D60" s="490">
        <v>0.9</v>
      </c>
      <c r="E60" s="490">
        <v>0.94</v>
      </c>
      <c r="F60" s="490">
        <v>0.96</v>
      </c>
      <c r="G60" s="491">
        <v>0.96</v>
      </c>
      <c r="H60" s="490">
        <v>0.93</v>
      </c>
      <c r="I60" s="490">
        <v>0.89</v>
      </c>
      <c r="J60" s="490">
        <v>0.84</v>
      </c>
      <c r="K60" s="490">
        <v>0.77</v>
      </c>
      <c r="L60" s="490">
        <v>0.69</v>
      </c>
      <c r="M60" s="490">
        <v>0.59</v>
      </c>
      <c r="P60" s="492"/>
      <c r="Q60" s="492"/>
      <c r="R60" s="492"/>
      <c r="S60" s="492"/>
      <c r="T60" s="492"/>
      <c r="W60" s="492"/>
      <c r="X60" s="492"/>
      <c r="Y60" s="492"/>
      <c r="Z60" s="492"/>
      <c r="AA60" s="492"/>
      <c r="AD60" s="492"/>
      <c r="AE60" s="492"/>
      <c r="AF60" s="492"/>
      <c r="AG60" s="492"/>
      <c r="AH60" s="492"/>
      <c r="AK60" s="492"/>
      <c r="AL60" s="492"/>
      <c r="AM60" s="492"/>
      <c r="AN60" s="492"/>
      <c r="AO60" s="492"/>
      <c r="AR60" s="492"/>
      <c r="AS60" s="492"/>
      <c r="AT60" s="492"/>
      <c r="AU60" s="492"/>
      <c r="AV60" s="492"/>
      <c r="AY60" s="492"/>
      <c r="AZ60" s="492"/>
      <c r="BA60" s="492"/>
      <c r="BB60" s="492"/>
      <c r="BC60" s="492"/>
      <c r="BF60" s="492"/>
      <c r="BG60" s="492"/>
      <c r="BH60" s="492"/>
      <c r="BI60" s="492"/>
      <c r="BJ60" s="492"/>
      <c r="BM60" s="492"/>
      <c r="BN60" s="492"/>
      <c r="BO60" s="492"/>
      <c r="BP60" s="492"/>
      <c r="BQ60" s="492"/>
      <c r="BT60" s="492"/>
      <c r="BU60" s="492"/>
      <c r="BV60" s="492"/>
      <c r="BW60" s="492"/>
      <c r="BX60" s="492"/>
      <c r="CA60" s="492"/>
      <c r="CB60" s="492"/>
      <c r="CC60" s="492"/>
      <c r="CD60" s="492"/>
      <c r="CE60" s="492"/>
      <c r="CH60" s="492"/>
      <c r="CI60" s="492"/>
      <c r="CJ60" s="492"/>
      <c r="CK60" s="492"/>
      <c r="CL60" s="492"/>
      <c r="CO60" s="492"/>
      <c r="CP60" s="492"/>
      <c r="CQ60" s="492"/>
      <c r="CR60" s="492"/>
      <c r="CS60" s="492"/>
    </row>
    <row r="61" spans="3:97" ht="15.75" thickBot="1" x14ac:dyDescent="0.3">
      <c r="C61" s="489">
        <v>330</v>
      </c>
      <c r="D61" s="490">
        <v>0.9</v>
      </c>
      <c r="E61" s="490">
        <v>0.95</v>
      </c>
      <c r="F61" s="490">
        <v>0.97</v>
      </c>
      <c r="G61" s="491">
        <v>0.97</v>
      </c>
      <c r="H61" s="490">
        <v>0.95</v>
      </c>
      <c r="I61" s="490">
        <v>0.91</v>
      </c>
      <c r="J61" s="490">
        <v>0.85</v>
      </c>
      <c r="K61" s="490">
        <v>0.78</v>
      </c>
      <c r="L61" s="490">
        <v>0.69</v>
      </c>
      <c r="M61" s="490">
        <v>0.6</v>
      </c>
      <c r="P61" s="492"/>
      <c r="Q61" s="492"/>
      <c r="R61" s="492"/>
      <c r="S61" s="492"/>
      <c r="T61" s="492"/>
      <c r="W61" s="492"/>
      <c r="X61" s="492"/>
      <c r="Y61" s="492"/>
      <c r="Z61" s="492"/>
      <c r="AA61" s="492"/>
      <c r="AD61" s="492"/>
      <c r="AE61" s="492"/>
      <c r="AF61" s="492"/>
      <c r="AG61" s="492"/>
      <c r="AH61" s="492"/>
      <c r="AK61" s="492"/>
      <c r="AL61" s="492"/>
      <c r="AM61" s="492"/>
      <c r="AN61" s="492"/>
      <c r="AO61" s="492"/>
      <c r="AR61" s="492"/>
      <c r="AS61" s="492"/>
      <c r="AT61" s="492"/>
      <c r="AU61" s="492"/>
      <c r="AV61" s="492"/>
      <c r="AY61" s="492"/>
      <c r="AZ61" s="492"/>
      <c r="BA61" s="492"/>
      <c r="BB61" s="492"/>
      <c r="BC61" s="492"/>
      <c r="BF61" s="492"/>
      <c r="BG61" s="492"/>
      <c r="BH61" s="492"/>
      <c r="BI61" s="492"/>
      <c r="BJ61" s="492"/>
      <c r="BM61" s="492"/>
      <c r="BN61" s="492"/>
      <c r="BO61" s="492"/>
      <c r="BP61" s="492"/>
      <c r="BQ61" s="492"/>
      <c r="BT61" s="492"/>
      <c r="BU61" s="492"/>
      <c r="BV61" s="492"/>
      <c r="BW61" s="492"/>
      <c r="BX61" s="492"/>
      <c r="CA61" s="492"/>
      <c r="CB61" s="492"/>
      <c r="CC61" s="492"/>
      <c r="CD61" s="492"/>
      <c r="CE61" s="492"/>
      <c r="CH61" s="492"/>
      <c r="CI61" s="492"/>
      <c r="CJ61" s="492"/>
      <c r="CK61" s="492"/>
      <c r="CL61" s="492"/>
      <c r="CO61" s="492"/>
      <c r="CP61" s="492"/>
      <c r="CQ61" s="492"/>
      <c r="CR61" s="492"/>
      <c r="CS61" s="492"/>
    </row>
    <row r="62" spans="3:97" ht="15.75" thickBot="1" x14ac:dyDescent="0.3">
      <c r="C62" s="489">
        <v>340</v>
      </c>
      <c r="D62" s="490">
        <v>0.9</v>
      </c>
      <c r="E62" s="490">
        <v>0.95</v>
      </c>
      <c r="F62" s="490">
        <v>0.98</v>
      </c>
      <c r="G62" s="491">
        <v>0.98</v>
      </c>
      <c r="H62" s="490">
        <v>0.97</v>
      </c>
      <c r="I62" s="490">
        <v>0.93</v>
      </c>
      <c r="J62" s="490">
        <v>0.87</v>
      </c>
      <c r="K62" s="490">
        <v>0.79</v>
      </c>
      <c r="L62" s="490">
        <v>0.7</v>
      </c>
      <c r="M62" s="490">
        <v>0.6</v>
      </c>
      <c r="P62" s="492"/>
      <c r="Q62" s="492"/>
      <c r="R62" s="492"/>
      <c r="S62" s="492"/>
      <c r="T62" s="492"/>
      <c r="W62" s="492"/>
      <c r="X62" s="492"/>
      <c r="Y62" s="492"/>
      <c r="Z62" s="492"/>
      <c r="AA62" s="492"/>
      <c r="AD62" s="492"/>
      <c r="AE62" s="492"/>
      <c r="AF62" s="492"/>
      <c r="AG62" s="492"/>
      <c r="AH62" s="492"/>
      <c r="AK62" s="492"/>
      <c r="AL62" s="492"/>
      <c r="AM62" s="492"/>
      <c r="AN62" s="492"/>
      <c r="AO62" s="492"/>
      <c r="AR62" s="492"/>
      <c r="AS62" s="492"/>
      <c r="AT62" s="492"/>
      <c r="AU62" s="492"/>
      <c r="AV62" s="492"/>
      <c r="AY62" s="492"/>
      <c r="AZ62" s="492"/>
      <c r="BA62" s="492"/>
      <c r="BB62" s="492"/>
      <c r="BC62" s="492"/>
      <c r="BF62" s="492"/>
      <c r="BG62" s="492"/>
      <c r="BH62" s="492"/>
      <c r="BI62" s="492"/>
      <c r="BJ62" s="492"/>
      <c r="BM62" s="492"/>
      <c r="BN62" s="492"/>
      <c r="BO62" s="492"/>
      <c r="BP62" s="492"/>
      <c r="BQ62" s="492"/>
      <c r="BT62" s="492"/>
      <c r="BU62" s="492"/>
      <c r="BV62" s="492"/>
      <c r="BW62" s="492"/>
      <c r="BX62" s="492"/>
      <c r="CA62" s="492"/>
      <c r="CB62" s="492"/>
      <c r="CC62" s="492"/>
      <c r="CD62" s="492"/>
      <c r="CE62" s="492"/>
      <c r="CH62" s="492"/>
      <c r="CI62" s="492"/>
      <c r="CJ62" s="492"/>
      <c r="CK62" s="492"/>
      <c r="CL62" s="492"/>
      <c r="CO62" s="492"/>
      <c r="CP62" s="492"/>
      <c r="CQ62" s="492"/>
      <c r="CR62" s="492"/>
      <c r="CS62" s="492"/>
    </row>
    <row r="63" spans="3:97" ht="15.75" thickBot="1" x14ac:dyDescent="0.3">
      <c r="C63" s="489">
        <v>350</v>
      </c>
      <c r="D63" s="490">
        <v>0.9</v>
      </c>
      <c r="E63" s="490">
        <v>0.95</v>
      </c>
      <c r="F63" s="490">
        <v>0.98</v>
      </c>
      <c r="G63" s="491">
        <v>0.99</v>
      </c>
      <c r="H63" s="490">
        <v>0.98</v>
      </c>
      <c r="I63" s="490">
        <v>0.94</v>
      </c>
      <c r="J63" s="490">
        <v>0.88</v>
      </c>
      <c r="K63" s="490">
        <v>0.8</v>
      </c>
      <c r="L63" s="490">
        <v>0.7</v>
      </c>
      <c r="M63" s="490">
        <v>0.59</v>
      </c>
      <c r="P63" s="492"/>
      <c r="Q63" s="492"/>
      <c r="R63" s="492"/>
      <c r="S63" s="492"/>
      <c r="T63" s="492"/>
      <c r="W63" s="492"/>
      <c r="X63" s="492"/>
      <c r="Y63" s="492"/>
      <c r="Z63" s="492"/>
      <c r="AA63" s="492"/>
      <c r="AD63" s="492"/>
      <c r="AE63" s="492"/>
      <c r="AF63" s="492"/>
      <c r="AG63" s="492"/>
      <c r="AH63" s="492"/>
      <c r="AK63" s="492"/>
      <c r="AL63" s="492"/>
      <c r="AM63" s="492"/>
      <c r="AN63" s="492"/>
      <c r="AO63" s="492"/>
      <c r="AR63" s="492"/>
      <c r="AS63" s="492"/>
      <c r="AT63" s="492"/>
      <c r="AU63" s="492"/>
      <c r="AV63" s="492"/>
      <c r="AY63" s="492"/>
      <c r="AZ63" s="492"/>
      <c r="BA63" s="492"/>
      <c r="BB63" s="492"/>
      <c r="BC63" s="492"/>
      <c r="BF63" s="492"/>
      <c r="BG63" s="492"/>
      <c r="BH63" s="492"/>
      <c r="BI63" s="492"/>
      <c r="BJ63" s="492"/>
      <c r="BM63" s="492"/>
      <c r="BN63" s="492"/>
      <c r="BO63" s="492"/>
      <c r="BP63" s="492"/>
      <c r="BQ63" s="492"/>
      <c r="BT63" s="492"/>
      <c r="BU63" s="492"/>
      <c r="BV63" s="492"/>
      <c r="BW63" s="492"/>
      <c r="BX63" s="492"/>
      <c r="CA63" s="492"/>
      <c r="CB63" s="492"/>
      <c r="CC63" s="492"/>
      <c r="CD63" s="492"/>
      <c r="CE63" s="492"/>
      <c r="CH63" s="492"/>
      <c r="CI63" s="492"/>
      <c r="CJ63" s="492"/>
      <c r="CK63" s="492"/>
      <c r="CL63" s="492"/>
      <c r="CO63" s="492"/>
      <c r="CP63" s="492"/>
      <c r="CQ63" s="492"/>
      <c r="CR63" s="492"/>
      <c r="CS63" s="492"/>
    </row>
    <row r="64" spans="3:97" x14ac:dyDescent="0.25">
      <c r="P64" s="492"/>
      <c r="Q64" s="492"/>
      <c r="R64" s="492"/>
      <c r="S64" s="492"/>
      <c r="T64" s="492"/>
      <c r="W64" s="492"/>
      <c r="X64" s="492"/>
      <c r="Y64" s="492"/>
      <c r="Z64" s="492"/>
      <c r="AA64" s="492"/>
      <c r="AD64" s="492"/>
      <c r="AE64" s="492"/>
      <c r="AF64" s="492"/>
      <c r="AG64" s="492"/>
      <c r="AH64" s="492"/>
      <c r="AK64" s="492"/>
      <c r="AL64" s="492"/>
      <c r="AM64" s="492"/>
      <c r="AN64" s="492"/>
      <c r="AO64" s="492"/>
      <c r="AR64" s="492"/>
      <c r="AS64" s="492"/>
      <c r="AT64" s="492"/>
      <c r="AU64" s="492"/>
      <c r="AV64" s="492"/>
      <c r="AY64" s="492"/>
      <c r="AZ64" s="492"/>
      <c r="BA64" s="492"/>
      <c r="BB64" s="492"/>
      <c r="BC64" s="492"/>
      <c r="BF64" s="492"/>
      <c r="BG64" s="492"/>
      <c r="BH64" s="492"/>
      <c r="BI64" s="492"/>
      <c r="BJ64" s="492"/>
      <c r="BM64" s="492"/>
      <c r="BN64" s="492"/>
      <c r="BO64" s="492"/>
      <c r="BP64" s="492"/>
      <c r="BQ64" s="492"/>
      <c r="BT64" s="492"/>
      <c r="BU64" s="492"/>
      <c r="BV64" s="492"/>
      <c r="BW64" s="492"/>
      <c r="BX64" s="492"/>
      <c r="CA64" s="492"/>
      <c r="CB64" s="492"/>
      <c r="CC64" s="492"/>
      <c r="CD64" s="492"/>
      <c r="CE64" s="492"/>
      <c r="CH64" s="492"/>
      <c r="CI64" s="492"/>
      <c r="CJ64" s="492"/>
      <c r="CK64" s="492"/>
      <c r="CL64" s="492"/>
      <c r="CO64" s="492"/>
      <c r="CP64" s="492"/>
      <c r="CQ64" s="492"/>
      <c r="CR64" s="492"/>
      <c r="CS64" s="492"/>
    </row>
    <row r="65" spans="3:97" ht="15.75" thickBot="1" x14ac:dyDescent="0.3">
      <c r="P65" s="492"/>
      <c r="Q65" s="492"/>
      <c r="R65" s="492"/>
      <c r="S65" s="492"/>
      <c r="T65" s="492"/>
      <c r="W65" s="492"/>
      <c r="X65" s="492"/>
      <c r="Y65" s="492"/>
      <c r="Z65" s="492"/>
      <c r="AA65" s="492"/>
      <c r="AD65" s="492"/>
      <c r="AE65" s="492"/>
      <c r="AF65" s="492"/>
      <c r="AG65" s="492"/>
      <c r="AH65" s="492"/>
      <c r="AK65" s="492"/>
      <c r="AL65" s="492"/>
      <c r="AM65" s="492"/>
      <c r="AN65" s="492"/>
      <c r="AO65" s="492"/>
      <c r="AR65" s="492"/>
      <c r="AS65" s="492"/>
      <c r="AT65" s="492"/>
      <c r="AU65" s="492"/>
      <c r="AV65" s="492"/>
      <c r="AY65" s="492"/>
      <c r="AZ65" s="492"/>
      <c r="BA65" s="492"/>
      <c r="BB65" s="492"/>
      <c r="BC65" s="492"/>
      <c r="BF65" s="492"/>
      <c r="BG65" s="492"/>
      <c r="BH65" s="492"/>
      <c r="BI65" s="492"/>
      <c r="BJ65" s="492"/>
      <c r="BM65" s="492"/>
      <c r="BN65" s="492"/>
      <c r="BO65" s="492"/>
      <c r="BP65" s="492"/>
      <c r="BQ65" s="492"/>
      <c r="BT65" s="492"/>
      <c r="BU65" s="492"/>
      <c r="BV65" s="492"/>
      <c r="BW65" s="492"/>
      <c r="BX65" s="492"/>
      <c r="CA65" s="492"/>
      <c r="CB65" s="492"/>
      <c r="CC65" s="492"/>
      <c r="CD65" s="492"/>
      <c r="CE65" s="492"/>
      <c r="CH65" s="492"/>
      <c r="CI65" s="492"/>
      <c r="CJ65" s="492"/>
      <c r="CK65" s="492"/>
      <c r="CL65" s="492"/>
      <c r="CO65" s="492"/>
      <c r="CP65" s="492"/>
      <c r="CQ65" s="492"/>
      <c r="CR65" s="492"/>
      <c r="CS65" s="492"/>
    </row>
    <row r="66" spans="3:97" ht="15.75" thickBot="1" x14ac:dyDescent="0.3">
      <c r="C66" s="784" t="s">
        <v>3722</v>
      </c>
      <c r="D66" s="785"/>
      <c r="E66" s="785"/>
      <c r="F66" s="785"/>
      <c r="G66" s="785"/>
      <c r="H66" s="785"/>
      <c r="I66" s="785"/>
      <c r="J66" s="785"/>
      <c r="K66" s="785"/>
      <c r="L66" s="785"/>
      <c r="M66" s="786"/>
      <c r="O66" s="486" t="s">
        <v>3723</v>
      </c>
    </row>
    <row r="67" spans="3:97" ht="15.75" customHeight="1" thickBot="1" x14ac:dyDescent="0.3">
      <c r="C67" s="780" t="s">
        <v>3720</v>
      </c>
      <c r="D67" s="781" t="s">
        <v>3721</v>
      </c>
      <c r="E67" s="782"/>
      <c r="F67" s="782"/>
      <c r="G67" s="782"/>
      <c r="H67" s="782"/>
      <c r="I67" s="782"/>
      <c r="J67" s="782"/>
      <c r="K67" s="782"/>
      <c r="L67" s="782"/>
      <c r="M67" s="783"/>
      <c r="O67" s="777" t="str">
        <f>O66&amp;" - Janurary"</f>
        <v>CANBERRA - Janurary</v>
      </c>
      <c r="P67" s="778"/>
      <c r="Q67" s="778"/>
      <c r="R67" s="778"/>
      <c r="S67" s="778"/>
      <c r="T67" s="779"/>
      <c r="V67" s="777" t="str">
        <f>O66&amp;" - February"</f>
        <v>CANBERRA - February</v>
      </c>
      <c r="W67" s="778"/>
      <c r="X67" s="778"/>
      <c r="Y67" s="778"/>
      <c r="Z67" s="778"/>
      <c r="AA67" s="779"/>
      <c r="AC67" s="777" t="str">
        <f>O66&amp;" - March"</f>
        <v>CANBERRA - March</v>
      </c>
      <c r="AD67" s="778"/>
      <c r="AE67" s="778"/>
      <c r="AF67" s="778"/>
      <c r="AG67" s="778"/>
      <c r="AH67" s="779"/>
      <c r="AJ67" s="777" t="str">
        <f>O66&amp;" - April"</f>
        <v>CANBERRA - April</v>
      </c>
      <c r="AK67" s="778"/>
      <c r="AL67" s="778"/>
      <c r="AM67" s="778"/>
      <c r="AN67" s="778"/>
      <c r="AO67" s="779"/>
      <c r="AQ67" s="777" t="str">
        <f>O66&amp;" - May"</f>
        <v>CANBERRA - May</v>
      </c>
      <c r="AR67" s="778"/>
      <c r="AS67" s="778"/>
      <c r="AT67" s="778"/>
      <c r="AU67" s="778"/>
      <c r="AV67" s="779"/>
      <c r="AX67" s="777" t="str">
        <f>O66&amp;" - June"</f>
        <v>CANBERRA - June</v>
      </c>
      <c r="AY67" s="778"/>
      <c r="AZ67" s="778"/>
      <c r="BA67" s="778"/>
      <c r="BB67" s="778"/>
      <c r="BC67" s="779"/>
      <c r="BE67" s="777" t="str">
        <f>O66&amp;" - July"</f>
        <v>CANBERRA - July</v>
      </c>
      <c r="BF67" s="778"/>
      <c r="BG67" s="778"/>
      <c r="BH67" s="778"/>
      <c r="BI67" s="778"/>
      <c r="BJ67" s="779"/>
      <c r="BL67" s="777" t="str">
        <f>O66&amp;" - August"</f>
        <v>CANBERRA - August</v>
      </c>
      <c r="BM67" s="778"/>
      <c r="BN67" s="778"/>
      <c r="BO67" s="778"/>
      <c r="BP67" s="778"/>
      <c r="BQ67" s="779"/>
      <c r="BS67" s="777" t="str">
        <f>O66&amp;" - September"</f>
        <v>CANBERRA - September</v>
      </c>
      <c r="BT67" s="778"/>
      <c r="BU67" s="778"/>
      <c r="BV67" s="778"/>
      <c r="BW67" s="778"/>
      <c r="BX67" s="779"/>
      <c r="BZ67" s="777" t="str">
        <f>O66&amp;" - October"</f>
        <v>CANBERRA - October</v>
      </c>
      <c r="CA67" s="778"/>
      <c r="CB67" s="778"/>
      <c r="CC67" s="778"/>
      <c r="CD67" s="778"/>
      <c r="CE67" s="779"/>
      <c r="CG67" s="777" t="str">
        <f>O66&amp;" - November"</f>
        <v>CANBERRA - November</v>
      </c>
      <c r="CH67" s="778"/>
      <c r="CI67" s="778"/>
      <c r="CJ67" s="778"/>
      <c r="CK67" s="778"/>
      <c r="CL67" s="779"/>
      <c r="CN67" s="777" t="str">
        <f>O66&amp;" - December"</f>
        <v>CANBERRA - December</v>
      </c>
      <c r="CO67" s="778"/>
      <c r="CP67" s="778"/>
      <c r="CQ67" s="778"/>
      <c r="CR67" s="778"/>
      <c r="CS67" s="779"/>
    </row>
    <row r="68" spans="3:97" ht="15.75" thickBot="1" x14ac:dyDescent="0.3">
      <c r="C68" s="773"/>
      <c r="D68" s="488">
        <v>0</v>
      </c>
      <c r="E68" s="488">
        <v>10</v>
      </c>
      <c r="F68" s="488">
        <v>20</v>
      </c>
      <c r="G68" s="488">
        <v>30</v>
      </c>
      <c r="H68" s="488">
        <v>40</v>
      </c>
      <c r="I68" s="488">
        <v>50</v>
      </c>
      <c r="J68" s="488">
        <v>60</v>
      </c>
      <c r="K68" s="488">
        <v>70</v>
      </c>
      <c r="L68" s="488">
        <v>80</v>
      </c>
      <c r="M68" s="488">
        <v>90</v>
      </c>
      <c r="O68" s="772" t="s">
        <v>3720</v>
      </c>
      <c r="P68" s="774" t="s">
        <v>3721</v>
      </c>
      <c r="Q68" s="775"/>
      <c r="R68" s="775"/>
      <c r="S68" s="775"/>
      <c r="T68" s="776"/>
      <c r="V68" s="772" t="s">
        <v>3720</v>
      </c>
      <c r="W68" s="774" t="s">
        <v>3721</v>
      </c>
      <c r="X68" s="775"/>
      <c r="Y68" s="775"/>
      <c r="Z68" s="775"/>
      <c r="AA68" s="776"/>
      <c r="AC68" s="772" t="s">
        <v>3720</v>
      </c>
      <c r="AD68" s="774" t="s">
        <v>3721</v>
      </c>
      <c r="AE68" s="775"/>
      <c r="AF68" s="775"/>
      <c r="AG68" s="775"/>
      <c r="AH68" s="776"/>
      <c r="AJ68" s="772" t="s">
        <v>3720</v>
      </c>
      <c r="AK68" s="774" t="s">
        <v>3721</v>
      </c>
      <c r="AL68" s="775"/>
      <c r="AM68" s="775"/>
      <c r="AN68" s="775"/>
      <c r="AO68" s="776"/>
      <c r="AQ68" s="772" t="s">
        <v>3720</v>
      </c>
      <c r="AR68" s="774" t="s">
        <v>3721</v>
      </c>
      <c r="AS68" s="775"/>
      <c r="AT68" s="775"/>
      <c r="AU68" s="775"/>
      <c r="AV68" s="776"/>
      <c r="AX68" s="772" t="s">
        <v>3720</v>
      </c>
      <c r="AY68" s="774" t="s">
        <v>3721</v>
      </c>
      <c r="AZ68" s="775"/>
      <c r="BA68" s="775"/>
      <c r="BB68" s="775"/>
      <c r="BC68" s="776"/>
      <c r="BE68" s="772" t="s">
        <v>3720</v>
      </c>
      <c r="BF68" s="774" t="s">
        <v>3721</v>
      </c>
      <c r="BG68" s="775"/>
      <c r="BH68" s="775"/>
      <c r="BI68" s="775"/>
      <c r="BJ68" s="776"/>
      <c r="BL68" s="772" t="s">
        <v>3720</v>
      </c>
      <c r="BM68" s="774" t="s">
        <v>3721</v>
      </c>
      <c r="BN68" s="775"/>
      <c r="BO68" s="775"/>
      <c r="BP68" s="775"/>
      <c r="BQ68" s="776"/>
      <c r="BS68" s="772" t="s">
        <v>3720</v>
      </c>
      <c r="BT68" s="774" t="s">
        <v>3721</v>
      </c>
      <c r="BU68" s="775"/>
      <c r="BV68" s="775"/>
      <c r="BW68" s="775"/>
      <c r="BX68" s="776"/>
      <c r="BZ68" s="772" t="s">
        <v>3720</v>
      </c>
      <c r="CA68" s="774" t="s">
        <v>3721</v>
      </c>
      <c r="CB68" s="775"/>
      <c r="CC68" s="775"/>
      <c r="CD68" s="775"/>
      <c r="CE68" s="776"/>
      <c r="CG68" s="772" t="s">
        <v>3720</v>
      </c>
      <c r="CH68" s="774" t="s">
        <v>3721</v>
      </c>
      <c r="CI68" s="775"/>
      <c r="CJ68" s="775"/>
      <c r="CK68" s="775"/>
      <c r="CL68" s="776"/>
      <c r="CN68" s="772" t="s">
        <v>3720</v>
      </c>
      <c r="CO68" s="774" t="s">
        <v>3721</v>
      </c>
      <c r="CP68" s="775"/>
      <c r="CQ68" s="775"/>
      <c r="CR68" s="775"/>
      <c r="CS68" s="776"/>
    </row>
    <row r="69" spans="3:97" ht="15.75" thickBot="1" x14ac:dyDescent="0.3">
      <c r="C69" s="489">
        <v>0</v>
      </c>
      <c r="D69" s="490">
        <v>0.87</v>
      </c>
      <c r="E69" s="490">
        <v>0.94</v>
      </c>
      <c r="F69" s="490">
        <v>0.98</v>
      </c>
      <c r="G69" s="491">
        <v>1</v>
      </c>
      <c r="H69" s="490">
        <v>0.99</v>
      </c>
      <c r="I69" s="490">
        <v>0.96</v>
      </c>
      <c r="J69" s="490">
        <v>0.91</v>
      </c>
      <c r="K69" s="490">
        <v>0.83</v>
      </c>
      <c r="L69" s="490">
        <v>0.74</v>
      </c>
      <c r="M69" s="490">
        <v>0.64</v>
      </c>
      <c r="O69" s="773"/>
      <c r="P69" s="488">
        <v>0</v>
      </c>
      <c r="Q69" s="488">
        <v>10</v>
      </c>
      <c r="R69" s="488">
        <v>20</v>
      </c>
      <c r="S69" s="488">
        <v>30</v>
      </c>
      <c r="T69" s="488">
        <v>40</v>
      </c>
      <c r="V69" s="773"/>
      <c r="W69" s="488">
        <v>0</v>
      </c>
      <c r="X69" s="488">
        <v>10</v>
      </c>
      <c r="Y69" s="488">
        <v>20</v>
      </c>
      <c r="Z69" s="488">
        <v>30</v>
      </c>
      <c r="AA69" s="488">
        <v>40</v>
      </c>
      <c r="AC69" s="773"/>
      <c r="AD69" s="488">
        <v>0</v>
      </c>
      <c r="AE69" s="488">
        <v>10</v>
      </c>
      <c r="AF69" s="488">
        <v>20</v>
      </c>
      <c r="AG69" s="488">
        <v>30</v>
      </c>
      <c r="AH69" s="488">
        <v>40</v>
      </c>
      <c r="AJ69" s="773"/>
      <c r="AK69" s="488">
        <v>0</v>
      </c>
      <c r="AL69" s="488">
        <v>10</v>
      </c>
      <c r="AM69" s="488">
        <v>20</v>
      </c>
      <c r="AN69" s="488">
        <v>30</v>
      </c>
      <c r="AO69" s="488">
        <v>40</v>
      </c>
      <c r="AQ69" s="773"/>
      <c r="AR69" s="488">
        <v>0</v>
      </c>
      <c r="AS69" s="488">
        <v>10</v>
      </c>
      <c r="AT69" s="488">
        <v>20</v>
      </c>
      <c r="AU69" s="488">
        <v>30</v>
      </c>
      <c r="AV69" s="488">
        <v>40</v>
      </c>
      <c r="AX69" s="773"/>
      <c r="AY69" s="488">
        <v>0</v>
      </c>
      <c r="AZ69" s="488">
        <v>10</v>
      </c>
      <c r="BA69" s="488">
        <v>20</v>
      </c>
      <c r="BB69" s="488">
        <v>30</v>
      </c>
      <c r="BC69" s="488">
        <v>40</v>
      </c>
      <c r="BE69" s="773"/>
      <c r="BF69" s="488">
        <v>0</v>
      </c>
      <c r="BG69" s="488">
        <v>10</v>
      </c>
      <c r="BH69" s="488">
        <v>20</v>
      </c>
      <c r="BI69" s="488">
        <v>30</v>
      </c>
      <c r="BJ69" s="488">
        <v>40</v>
      </c>
      <c r="BL69" s="773"/>
      <c r="BM69" s="488">
        <v>0</v>
      </c>
      <c r="BN69" s="488">
        <v>10</v>
      </c>
      <c r="BO69" s="488">
        <v>20</v>
      </c>
      <c r="BP69" s="488">
        <v>30</v>
      </c>
      <c r="BQ69" s="488">
        <v>40</v>
      </c>
      <c r="BS69" s="773"/>
      <c r="BT69" s="488">
        <v>0</v>
      </c>
      <c r="BU69" s="488">
        <v>10</v>
      </c>
      <c r="BV69" s="488">
        <v>20</v>
      </c>
      <c r="BW69" s="488">
        <v>30</v>
      </c>
      <c r="BX69" s="488">
        <v>40</v>
      </c>
      <c r="BZ69" s="773"/>
      <c r="CA69" s="488">
        <v>0</v>
      </c>
      <c r="CB69" s="488">
        <v>10</v>
      </c>
      <c r="CC69" s="488">
        <v>20</v>
      </c>
      <c r="CD69" s="488">
        <v>30</v>
      </c>
      <c r="CE69" s="488">
        <v>40</v>
      </c>
      <c r="CG69" s="773"/>
      <c r="CH69" s="488">
        <v>0</v>
      </c>
      <c r="CI69" s="488">
        <v>10</v>
      </c>
      <c r="CJ69" s="488">
        <v>20</v>
      </c>
      <c r="CK69" s="488">
        <v>30</v>
      </c>
      <c r="CL69" s="488">
        <v>40</v>
      </c>
      <c r="CN69" s="773"/>
      <c r="CO69" s="488">
        <v>0</v>
      </c>
      <c r="CP69" s="488">
        <v>10</v>
      </c>
      <c r="CQ69" s="488">
        <v>20</v>
      </c>
      <c r="CR69" s="488">
        <v>30</v>
      </c>
      <c r="CS69" s="488">
        <v>40</v>
      </c>
    </row>
    <row r="70" spans="3:97" ht="15.75" thickBot="1" x14ac:dyDescent="0.3">
      <c r="C70" s="489">
        <v>10</v>
      </c>
      <c r="D70" s="490">
        <v>0.87</v>
      </c>
      <c r="E70" s="490">
        <v>0.94</v>
      </c>
      <c r="F70" s="490">
        <v>0.98</v>
      </c>
      <c r="G70" s="491">
        <v>0.99</v>
      </c>
      <c r="H70" s="490">
        <v>0.99</v>
      </c>
      <c r="I70" s="490">
        <v>0.96</v>
      </c>
      <c r="J70" s="490">
        <v>0.91</v>
      </c>
      <c r="K70" s="490">
        <v>0.83</v>
      </c>
      <c r="L70" s="490">
        <v>0.74</v>
      </c>
      <c r="M70" s="490">
        <v>0.64</v>
      </c>
      <c r="O70" s="489">
        <v>270</v>
      </c>
      <c r="P70" s="490">
        <v>1</v>
      </c>
      <c r="Q70" s="490">
        <v>1</v>
      </c>
      <c r="R70" s="490">
        <v>0.99</v>
      </c>
      <c r="S70" s="490">
        <v>0.96</v>
      </c>
      <c r="T70" s="490">
        <v>0.93</v>
      </c>
      <c r="V70" s="489">
        <v>270</v>
      </c>
      <c r="W70" s="490">
        <v>1</v>
      </c>
      <c r="X70" s="490">
        <v>1</v>
      </c>
      <c r="Y70" s="490">
        <v>0.99</v>
      </c>
      <c r="Z70" s="490">
        <v>0.97</v>
      </c>
      <c r="AA70" s="490">
        <v>0.93</v>
      </c>
      <c r="AC70" s="489">
        <v>270</v>
      </c>
      <c r="AD70" s="490">
        <v>1</v>
      </c>
      <c r="AE70" s="490">
        <v>1.01</v>
      </c>
      <c r="AF70" s="490">
        <v>1.01</v>
      </c>
      <c r="AG70" s="490">
        <v>0.99</v>
      </c>
      <c r="AH70" s="490">
        <v>0.96</v>
      </c>
      <c r="AJ70" s="489">
        <v>270</v>
      </c>
      <c r="AK70" s="490">
        <v>1</v>
      </c>
      <c r="AL70" s="490">
        <v>1.01</v>
      </c>
      <c r="AM70" s="490">
        <v>1.01</v>
      </c>
      <c r="AN70" s="490">
        <v>1</v>
      </c>
      <c r="AO70" s="490">
        <v>0.98</v>
      </c>
      <c r="AQ70" s="489">
        <v>270</v>
      </c>
      <c r="AR70" s="490">
        <v>1</v>
      </c>
      <c r="AS70" s="490">
        <v>1.01</v>
      </c>
      <c r="AT70" s="490">
        <v>1.02</v>
      </c>
      <c r="AU70" s="490">
        <v>1.01</v>
      </c>
      <c r="AV70" s="490">
        <v>1</v>
      </c>
      <c r="AX70" s="489">
        <v>270</v>
      </c>
      <c r="AY70" s="490">
        <v>1</v>
      </c>
      <c r="AZ70" s="490">
        <v>1.01</v>
      </c>
      <c r="BA70" s="490">
        <v>1.03</v>
      </c>
      <c r="BB70" s="490">
        <v>1.03</v>
      </c>
      <c r="BC70" s="490">
        <v>1.02</v>
      </c>
      <c r="BE70" s="489">
        <v>270</v>
      </c>
      <c r="BF70" s="490">
        <v>1</v>
      </c>
      <c r="BG70" s="490">
        <v>1.02</v>
      </c>
      <c r="BH70" s="490">
        <v>1.03</v>
      </c>
      <c r="BI70" s="490">
        <v>1.03</v>
      </c>
      <c r="BJ70" s="490">
        <v>1.02</v>
      </c>
      <c r="BL70" s="489">
        <v>270</v>
      </c>
      <c r="BM70" s="490">
        <v>1</v>
      </c>
      <c r="BN70" s="490">
        <v>1.01</v>
      </c>
      <c r="BO70" s="490">
        <v>1.01</v>
      </c>
      <c r="BP70" s="490">
        <v>1</v>
      </c>
      <c r="BQ70" s="490">
        <v>0.99</v>
      </c>
      <c r="BS70" s="489">
        <v>270</v>
      </c>
      <c r="BT70" s="490">
        <v>1</v>
      </c>
      <c r="BU70" s="490">
        <v>1.01</v>
      </c>
      <c r="BV70" s="490">
        <v>1.01</v>
      </c>
      <c r="BW70" s="490">
        <v>0.99</v>
      </c>
      <c r="BX70" s="490">
        <v>0.96</v>
      </c>
      <c r="BZ70" s="489">
        <v>270</v>
      </c>
      <c r="CA70" s="490">
        <v>1</v>
      </c>
      <c r="CB70" s="490">
        <v>1.01</v>
      </c>
      <c r="CC70" s="490">
        <v>1</v>
      </c>
      <c r="CD70" s="490">
        <v>0.98</v>
      </c>
      <c r="CE70" s="490">
        <v>0.95</v>
      </c>
      <c r="CG70" s="489">
        <v>270</v>
      </c>
      <c r="CH70" s="490">
        <v>1</v>
      </c>
      <c r="CI70" s="490">
        <v>1</v>
      </c>
      <c r="CJ70" s="490">
        <v>0.99</v>
      </c>
      <c r="CK70" s="490">
        <v>0.97</v>
      </c>
      <c r="CL70" s="490">
        <v>0.93</v>
      </c>
      <c r="CN70" s="489">
        <v>270</v>
      </c>
      <c r="CO70" s="490">
        <v>1</v>
      </c>
      <c r="CP70" s="490">
        <v>1</v>
      </c>
      <c r="CQ70" s="490">
        <v>0.99</v>
      </c>
      <c r="CR70" s="490">
        <v>0.96</v>
      </c>
      <c r="CS70" s="490">
        <v>0.92</v>
      </c>
    </row>
    <row r="71" spans="3:97" ht="15.75" thickBot="1" x14ac:dyDescent="0.3">
      <c r="C71" s="489">
        <v>20</v>
      </c>
      <c r="D71" s="490">
        <v>0.87</v>
      </c>
      <c r="E71" s="490">
        <v>0.93</v>
      </c>
      <c r="F71" s="490">
        <v>0.97</v>
      </c>
      <c r="G71" s="491">
        <v>0.99</v>
      </c>
      <c r="H71" s="490">
        <v>0.98</v>
      </c>
      <c r="I71" s="490">
        <v>0.95</v>
      </c>
      <c r="J71" s="490">
        <v>0.9</v>
      </c>
      <c r="K71" s="490">
        <v>0.83</v>
      </c>
      <c r="L71" s="490">
        <v>0.74</v>
      </c>
      <c r="M71" s="490">
        <v>0.64</v>
      </c>
      <c r="O71" s="489">
        <v>280</v>
      </c>
      <c r="P71" s="490">
        <v>1</v>
      </c>
      <c r="Q71" s="490">
        <v>1.01</v>
      </c>
      <c r="R71" s="490">
        <v>1</v>
      </c>
      <c r="S71" s="490">
        <v>0.97</v>
      </c>
      <c r="T71" s="490">
        <v>0.93</v>
      </c>
      <c r="V71" s="489">
        <v>280</v>
      </c>
      <c r="W71" s="490">
        <v>1</v>
      </c>
      <c r="X71" s="490">
        <v>1.01</v>
      </c>
      <c r="Y71" s="490">
        <v>1.01</v>
      </c>
      <c r="Z71" s="490">
        <v>0.99</v>
      </c>
      <c r="AA71" s="490">
        <v>0.96</v>
      </c>
      <c r="AC71" s="489">
        <v>280</v>
      </c>
      <c r="AD71" s="490">
        <v>1</v>
      </c>
      <c r="AE71" s="490">
        <v>1.03</v>
      </c>
      <c r="AF71" s="490">
        <v>1.04</v>
      </c>
      <c r="AG71" s="490">
        <v>1.03</v>
      </c>
      <c r="AH71" s="490">
        <v>1.01</v>
      </c>
      <c r="AJ71" s="489">
        <v>280</v>
      </c>
      <c r="AK71" s="490">
        <v>1</v>
      </c>
      <c r="AL71" s="490">
        <v>1.03</v>
      </c>
      <c r="AM71" s="490">
        <v>1.05</v>
      </c>
      <c r="AN71" s="490">
        <v>1.07</v>
      </c>
      <c r="AO71" s="490">
        <v>1.05</v>
      </c>
      <c r="AQ71" s="489">
        <v>280</v>
      </c>
      <c r="AR71" s="490">
        <v>1</v>
      </c>
      <c r="AS71" s="490">
        <v>1.05</v>
      </c>
      <c r="AT71" s="490">
        <v>1.08</v>
      </c>
      <c r="AU71" s="490">
        <v>1.1000000000000001</v>
      </c>
      <c r="AV71" s="490">
        <v>1.1100000000000001</v>
      </c>
      <c r="AX71" s="489">
        <v>280</v>
      </c>
      <c r="AY71" s="490">
        <v>1</v>
      </c>
      <c r="AZ71" s="490">
        <v>1.05</v>
      </c>
      <c r="BA71" s="490">
        <v>1.1100000000000001</v>
      </c>
      <c r="BB71" s="490">
        <v>1.1299999999999999</v>
      </c>
      <c r="BC71" s="490">
        <v>1.1499999999999999</v>
      </c>
      <c r="BE71" s="489">
        <v>280</v>
      </c>
      <c r="BF71" s="490">
        <v>1</v>
      </c>
      <c r="BG71" s="490">
        <v>1.06</v>
      </c>
      <c r="BH71" s="490">
        <v>1.1000000000000001</v>
      </c>
      <c r="BI71" s="490">
        <v>1.1200000000000001</v>
      </c>
      <c r="BJ71" s="490">
        <v>1.1399999999999999</v>
      </c>
      <c r="BL71" s="489">
        <v>280</v>
      </c>
      <c r="BM71" s="490">
        <v>1</v>
      </c>
      <c r="BN71" s="490">
        <v>1.04</v>
      </c>
      <c r="BO71" s="490">
        <v>1.07</v>
      </c>
      <c r="BP71" s="490">
        <v>1.08</v>
      </c>
      <c r="BQ71" s="490">
        <v>1.08</v>
      </c>
      <c r="BS71" s="489">
        <v>280</v>
      </c>
      <c r="BT71" s="490">
        <v>1</v>
      </c>
      <c r="BU71" s="490">
        <v>1.03</v>
      </c>
      <c r="BV71" s="490">
        <v>1.04</v>
      </c>
      <c r="BW71" s="490">
        <v>1.04</v>
      </c>
      <c r="BX71" s="490">
        <v>1.02</v>
      </c>
      <c r="BZ71" s="489">
        <v>280</v>
      </c>
      <c r="CA71" s="490">
        <v>1</v>
      </c>
      <c r="CB71" s="490">
        <v>1.02</v>
      </c>
      <c r="CC71" s="490">
        <v>1.02</v>
      </c>
      <c r="CD71" s="490">
        <v>1.01</v>
      </c>
      <c r="CE71" s="490">
        <v>0.98</v>
      </c>
      <c r="CG71" s="489">
        <v>280</v>
      </c>
      <c r="CH71" s="490">
        <v>1</v>
      </c>
      <c r="CI71" s="490">
        <v>1.01</v>
      </c>
      <c r="CJ71" s="490">
        <v>1</v>
      </c>
      <c r="CK71" s="490">
        <v>0.98</v>
      </c>
      <c r="CL71" s="490">
        <v>0.94</v>
      </c>
      <c r="CN71" s="489">
        <v>280</v>
      </c>
      <c r="CO71" s="490">
        <v>1</v>
      </c>
      <c r="CP71" s="490">
        <v>1</v>
      </c>
      <c r="CQ71" s="490">
        <v>0.99</v>
      </c>
      <c r="CR71" s="490">
        <v>0.96</v>
      </c>
      <c r="CS71" s="490">
        <v>0.93</v>
      </c>
    </row>
    <row r="72" spans="3:97" ht="15.75" thickBot="1" x14ac:dyDescent="0.3">
      <c r="C72" s="489">
        <v>30</v>
      </c>
      <c r="D72" s="490">
        <v>0.87</v>
      </c>
      <c r="E72" s="490">
        <v>0.93</v>
      </c>
      <c r="F72" s="490">
        <v>0.96</v>
      </c>
      <c r="G72" s="491">
        <v>0.98</v>
      </c>
      <c r="H72" s="490">
        <v>0.97</v>
      </c>
      <c r="I72" s="490">
        <v>0.94</v>
      </c>
      <c r="J72" s="490">
        <v>0.89</v>
      </c>
      <c r="K72" s="490">
        <v>0.82</v>
      </c>
      <c r="L72" s="490">
        <v>0.73</v>
      </c>
      <c r="M72" s="490">
        <v>0.64</v>
      </c>
      <c r="O72" s="489">
        <v>290</v>
      </c>
      <c r="P72" s="490">
        <v>1</v>
      </c>
      <c r="Q72" s="490">
        <v>1.01</v>
      </c>
      <c r="R72" s="490">
        <v>1</v>
      </c>
      <c r="S72" s="490">
        <v>0.98</v>
      </c>
      <c r="T72" s="490">
        <v>0.94</v>
      </c>
      <c r="V72" s="489">
        <v>290</v>
      </c>
      <c r="W72" s="490">
        <v>1</v>
      </c>
      <c r="X72" s="490">
        <v>1.02</v>
      </c>
      <c r="Y72" s="490">
        <v>1.02</v>
      </c>
      <c r="Z72" s="490">
        <v>1</v>
      </c>
      <c r="AA72" s="490">
        <v>0.98</v>
      </c>
      <c r="AC72" s="489">
        <v>290</v>
      </c>
      <c r="AD72" s="490">
        <v>1</v>
      </c>
      <c r="AE72" s="490">
        <v>1.04</v>
      </c>
      <c r="AF72" s="490">
        <v>1.07</v>
      </c>
      <c r="AG72" s="490">
        <v>1.07</v>
      </c>
      <c r="AH72" s="490">
        <v>1.06</v>
      </c>
      <c r="AJ72" s="489">
        <v>290</v>
      </c>
      <c r="AK72" s="490">
        <v>1</v>
      </c>
      <c r="AL72" s="490">
        <v>1.06</v>
      </c>
      <c r="AM72" s="490">
        <v>1.1000000000000001</v>
      </c>
      <c r="AN72" s="490">
        <v>1.1200000000000001</v>
      </c>
      <c r="AO72" s="490">
        <v>1.1299999999999999</v>
      </c>
      <c r="AQ72" s="489">
        <v>290</v>
      </c>
      <c r="AR72" s="490">
        <v>1</v>
      </c>
      <c r="AS72" s="490">
        <v>1.08</v>
      </c>
      <c r="AT72" s="490">
        <v>1.1499999999999999</v>
      </c>
      <c r="AU72" s="490">
        <v>1.2</v>
      </c>
      <c r="AV72" s="490">
        <v>1.22</v>
      </c>
      <c r="AX72" s="489">
        <v>290</v>
      </c>
      <c r="AY72" s="490">
        <v>1</v>
      </c>
      <c r="AZ72" s="490">
        <v>1.1000000000000001</v>
      </c>
      <c r="BA72" s="490">
        <v>1.18</v>
      </c>
      <c r="BB72" s="490">
        <v>1.23</v>
      </c>
      <c r="BC72" s="490">
        <v>1.27</v>
      </c>
      <c r="BE72" s="489">
        <v>290</v>
      </c>
      <c r="BF72" s="490">
        <v>1</v>
      </c>
      <c r="BG72" s="490">
        <v>1.1000000000000001</v>
      </c>
      <c r="BH72" s="490">
        <v>1.17</v>
      </c>
      <c r="BI72" s="490">
        <v>1.23</v>
      </c>
      <c r="BJ72" s="490">
        <v>1.26</v>
      </c>
      <c r="BL72" s="489">
        <v>290</v>
      </c>
      <c r="BM72" s="490">
        <v>1</v>
      </c>
      <c r="BN72" s="490">
        <v>1.07</v>
      </c>
      <c r="BO72" s="490">
        <v>1.1299999999999999</v>
      </c>
      <c r="BP72" s="490">
        <v>1.1599999999999999</v>
      </c>
      <c r="BQ72" s="490">
        <v>1.17</v>
      </c>
      <c r="BS72" s="489">
        <v>290</v>
      </c>
      <c r="BT72" s="490">
        <v>1</v>
      </c>
      <c r="BU72" s="490">
        <v>1.05</v>
      </c>
      <c r="BV72" s="490">
        <v>1.08</v>
      </c>
      <c r="BW72" s="490">
        <v>1.08</v>
      </c>
      <c r="BX72" s="490">
        <v>1.08</v>
      </c>
      <c r="BZ72" s="489">
        <v>290</v>
      </c>
      <c r="CA72" s="490">
        <v>1</v>
      </c>
      <c r="CB72" s="490">
        <v>1.03</v>
      </c>
      <c r="CC72" s="490">
        <v>1.04</v>
      </c>
      <c r="CD72" s="490">
        <v>1.03</v>
      </c>
      <c r="CE72" s="490">
        <v>1.01</v>
      </c>
      <c r="CG72" s="489">
        <v>290</v>
      </c>
      <c r="CH72" s="490">
        <v>1</v>
      </c>
      <c r="CI72" s="490">
        <v>1.01</v>
      </c>
      <c r="CJ72" s="490">
        <v>1.01</v>
      </c>
      <c r="CK72" s="490">
        <v>0.98</v>
      </c>
      <c r="CL72" s="490">
        <v>0.95</v>
      </c>
      <c r="CN72" s="489">
        <v>290</v>
      </c>
      <c r="CO72" s="490">
        <v>1</v>
      </c>
      <c r="CP72" s="490">
        <v>1.01</v>
      </c>
      <c r="CQ72" s="490">
        <v>0.99</v>
      </c>
      <c r="CR72" s="490">
        <v>0.97</v>
      </c>
      <c r="CS72" s="490">
        <v>0.93</v>
      </c>
    </row>
    <row r="73" spans="3:97" ht="15.75" thickBot="1" x14ac:dyDescent="0.3">
      <c r="C73" s="489">
        <v>40</v>
      </c>
      <c r="D73" s="490">
        <v>0.87</v>
      </c>
      <c r="E73" s="490">
        <v>0.92</v>
      </c>
      <c r="F73" s="490">
        <v>0.95</v>
      </c>
      <c r="G73" s="491">
        <v>0.96</v>
      </c>
      <c r="H73" s="490">
        <v>0.95</v>
      </c>
      <c r="I73" s="490">
        <v>0.92</v>
      </c>
      <c r="J73" s="490">
        <v>0.87</v>
      </c>
      <c r="K73" s="490">
        <v>0.8</v>
      </c>
      <c r="L73" s="490">
        <v>0.72</v>
      </c>
      <c r="M73" s="490">
        <v>0.63</v>
      </c>
      <c r="O73" s="489">
        <v>300</v>
      </c>
      <c r="P73" s="490">
        <v>1</v>
      </c>
      <c r="Q73" s="490">
        <v>1.01</v>
      </c>
      <c r="R73" s="491">
        <v>1</v>
      </c>
      <c r="S73" s="490">
        <v>0.98</v>
      </c>
      <c r="T73" s="490">
        <v>0.94</v>
      </c>
      <c r="V73" s="489">
        <v>300</v>
      </c>
      <c r="W73" s="490">
        <v>1</v>
      </c>
      <c r="X73" s="490">
        <v>1.03</v>
      </c>
      <c r="Y73" s="491">
        <v>1.03</v>
      </c>
      <c r="Z73" s="490">
        <v>1.02</v>
      </c>
      <c r="AA73" s="490">
        <v>1</v>
      </c>
      <c r="AC73" s="489">
        <v>300</v>
      </c>
      <c r="AD73" s="490">
        <v>1</v>
      </c>
      <c r="AE73" s="490">
        <v>1.05</v>
      </c>
      <c r="AF73" s="491">
        <v>1.0900000000000001</v>
      </c>
      <c r="AG73" s="490">
        <v>1.1000000000000001</v>
      </c>
      <c r="AH73" s="490">
        <v>1.1000000000000001</v>
      </c>
      <c r="AJ73" s="489">
        <v>300</v>
      </c>
      <c r="AK73" s="490">
        <v>1</v>
      </c>
      <c r="AL73" s="490">
        <v>1.08</v>
      </c>
      <c r="AM73" s="491">
        <v>1.1399999999999999</v>
      </c>
      <c r="AN73" s="490">
        <v>1.18</v>
      </c>
      <c r="AO73" s="490">
        <v>1.2</v>
      </c>
      <c r="AQ73" s="489">
        <v>300</v>
      </c>
      <c r="AR73" s="490">
        <v>1</v>
      </c>
      <c r="AS73" s="490">
        <v>1.1200000000000001</v>
      </c>
      <c r="AT73" s="491">
        <v>1.21</v>
      </c>
      <c r="AU73" s="490">
        <v>1.29</v>
      </c>
      <c r="AV73" s="490">
        <v>1.33</v>
      </c>
      <c r="AX73" s="489">
        <v>300</v>
      </c>
      <c r="AY73" s="490">
        <v>1</v>
      </c>
      <c r="AZ73" s="490">
        <v>1.1399999999999999</v>
      </c>
      <c r="BA73" s="491">
        <v>1.24</v>
      </c>
      <c r="BB73" s="490">
        <v>1.33</v>
      </c>
      <c r="BC73" s="490">
        <v>1.39</v>
      </c>
      <c r="BE73" s="489">
        <v>300</v>
      </c>
      <c r="BF73" s="490">
        <v>1</v>
      </c>
      <c r="BG73" s="490">
        <v>1.1299999999999999</v>
      </c>
      <c r="BH73" s="491">
        <v>1.24</v>
      </c>
      <c r="BI73" s="490">
        <v>1.32</v>
      </c>
      <c r="BJ73" s="490">
        <v>1.37</v>
      </c>
      <c r="BL73" s="489">
        <v>300</v>
      </c>
      <c r="BM73" s="490">
        <v>1</v>
      </c>
      <c r="BN73" s="490">
        <v>1.1000000000000001</v>
      </c>
      <c r="BO73" s="491">
        <v>1.18</v>
      </c>
      <c r="BP73" s="490">
        <v>1.23</v>
      </c>
      <c r="BQ73" s="490">
        <v>1.26</v>
      </c>
      <c r="BS73" s="489">
        <v>300</v>
      </c>
      <c r="BT73" s="490">
        <v>1</v>
      </c>
      <c r="BU73" s="490">
        <v>1.07</v>
      </c>
      <c r="BV73" s="491">
        <v>1.1100000000000001</v>
      </c>
      <c r="BW73" s="490">
        <v>1.1299999999999999</v>
      </c>
      <c r="BX73" s="490">
        <v>1.1299999999999999</v>
      </c>
      <c r="BZ73" s="489">
        <v>300</v>
      </c>
      <c r="CA73" s="490">
        <v>1</v>
      </c>
      <c r="CB73" s="490">
        <v>1.04</v>
      </c>
      <c r="CC73" s="491">
        <v>1.05</v>
      </c>
      <c r="CD73" s="490">
        <v>1.05</v>
      </c>
      <c r="CE73" s="490">
        <v>1.03</v>
      </c>
      <c r="CG73" s="489">
        <v>300</v>
      </c>
      <c r="CH73" s="490">
        <v>1</v>
      </c>
      <c r="CI73" s="490">
        <v>1.02</v>
      </c>
      <c r="CJ73" s="491">
        <v>1.01</v>
      </c>
      <c r="CK73" s="490">
        <v>0.99</v>
      </c>
      <c r="CL73" s="490">
        <v>0.96</v>
      </c>
      <c r="CN73" s="489">
        <v>300</v>
      </c>
      <c r="CO73" s="490">
        <v>1</v>
      </c>
      <c r="CP73" s="490">
        <v>1.01</v>
      </c>
      <c r="CQ73" s="491">
        <v>0.99</v>
      </c>
      <c r="CR73" s="490">
        <v>0.96</v>
      </c>
      <c r="CS73" s="490">
        <v>0.92</v>
      </c>
    </row>
    <row r="74" spans="3:97" ht="15.75" thickBot="1" x14ac:dyDescent="0.3">
      <c r="C74" s="489">
        <v>50</v>
      </c>
      <c r="D74" s="490">
        <v>0.87</v>
      </c>
      <c r="E74" s="490">
        <v>0.92</v>
      </c>
      <c r="F74" s="490">
        <v>0.94</v>
      </c>
      <c r="G74" s="491">
        <v>0.94</v>
      </c>
      <c r="H74" s="490">
        <v>0.93</v>
      </c>
      <c r="I74" s="490">
        <v>0.89</v>
      </c>
      <c r="J74" s="490">
        <v>0.84</v>
      </c>
      <c r="K74" s="490">
        <v>0.78</v>
      </c>
      <c r="L74" s="490">
        <v>0.7</v>
      </c>
      <c r="M74" s="490">
        <v>0.62</v>
      </c>
      <c r="O74" s="489">
        <v>310</v>
      </c>
      <c r="P74" s="490">
        <v>1</v>
      </c>
      <c r="Q74" s="490">
        <v>1.01</v>
      </c>
      <c r="R74" s="491">
        <v>1.01</v>
      </c>
      <c r="S74" s="490">
        <v>0.98</v>
      </c>
      <c r="T74" s="490">
        <v>0.94</v>
      </c>
      <c r="V74" s="489">
        <v>310</v>
      </c>
      <c r="W74" s="490">
        <v>1</v>
      </c>
      <c r="X74" s="490">
        <v>1.03</v>
      </c>
      <c r="Y74" s="491">
        <v>1.04</v>
      </c>
      <c r="Z74" s="490">
        <v>1.03</v>
      </c>
      <c r="AA74" s="490">
        <v>1</v>
      </c>
      <c r="AC74" s="489">
        <v>310</v>
      </c>
      <c r="AD74" s="490">
        <v>1</v>
      </c>
      <c r="AE74" s="490">
        <v>1.07</v>
      </c>
      <c r="AF74" s="491">
        <v>1.1100000000000001</v>
      </c>
      <c r="AG74" s="490">
        <v>1.1299999999999999</v>
      </c>
      <c r="AH74" s="490">
        <v>1.1299999999999999</v>
      </c>
      <c r="AJ74" s="489">
        <v>310</v>
      </c>
      <c r="AK74" s="490">
        <v>1</v>
      </c>
      <c r="AL74" s="490">
        <v>1.1000000000000001</v>
      </c>
      <c r="AM74" s="491">
        <v>1.18</v>
      </c>
      <c r="AN74" s="490">
        <v>1.24</v>
      </c>
      <c r="AO74" s="490">
        <v>1.26</v>
      </c>
      <c r="AQ74" s="489">
        <v>310</v>
      </c>
      <c r="AR74" s="490">
        <v>1</v>
      </c>
      <c r="AS74" s="490">
        <v>1.1499999999999999</v>
      </c>
      <c r="AT74" s="491">
        <v>1.27</v>
      </c>
      <c r="AU74" s="490">
        <v>1.36</v>
      </c>
      <c r="AV74" s="490">
        <v>1.42</v>
      </c>
      <c r="AX74" s="489">
        <v>310</v>
      </c>
      <c r="AY74" s="490">
        <v>1</v>
      </c>
      <c r="AZ74" s="490">
        <v>1.17</v>
      </c>
      <c r="BA74" s="491">
        <v>1.31</v>
      </c>
      <c r="BB74" s="490">
        <v>1.43</v>
      </c>
      <c r="BC74" s="490">
        <v>1.5</v>
      </c>
      <c r="BE74" s="489">
        <v>310</v>
      </c>
      <c r="BF74" s="490">
        <v>1</v>
      </c>
      <c r="BG74" s="490">
        <v>1.1599999999999999</v>
      </c>
      <c r="BH74" s="491">
        <v>1.3</v>
      </c>
      <c r="BI74" s="490">
        <v>1.41</v>
      </c>
      <c r="BJ74" s="490">
        <v>1.48</v>
      </c>
      <c r="BL74" s="489">
        <v>310</v>
      </c>
      <c r="BM74" s="490">
        <v>1</v>
      </c>
      <c r="BN74" s="490">
        <v>1.1299999999999999</v>
      </c>
      <c r="BO74" s="491">
        <v>1.22</v>
      </c>
      <c r="BP74" s="490">
        <v>1.29</v>
      </c>
      <c r="BQ74" s="490">
        <v>1.33</v>
      </c>
      <c r="BS74" s="489">
        <v>310</v>
      </c>
      <c r="BT74" s="490">
        <v>1</v>
      </c>
      <c r="BU74" s="490">
        <v>1.08</v>
      </c>
      <c r="BV74" s="491">
        <v>1.1399999999999999</v>
      </c>
      <c r="BW74" s="490">
        <v>1.17</v>
      </c>
      <c r="BX74" s="490">
        <v>1.17</v>
      </c>
      <c r="BZ74" s="489">
        <v>310</v>
      </c>
      <c r="CA74" s="490">
        <v>1</v>
      </c>
      <c r="CB74" s="490">
        <v>1.04</v>
      </c>
      <c r="CC74" s="491">
        <v>1.07</v>
      </c>
      <c r="CD74" s="490">
        <v>1.07</v>
      </c>
      <c r="CE74" s="490">
        <v>1.05</v>
      </c>
      <c r="CG74" s="489">
        <v>310</v>
      </c>
      <c r="CH74" s="490">
        <v>1</v>
      </c>
      <c r="CI74" s="490">
        <v>1.02</v>
      </c>
      <c r="CJ74" s="491">
        <v>1.02</v>
      </c>
      <c r="CK74" s="490">
        <v>0.99</v>
      </c>
      <c r="CL74" s="490">
        <v>0.96</v>
      </c>
      <c r="CN74" s="489">
        <v>310</v>
      </c>
      <c r="CO74" s="490">
        <v>1</v>
      </c>
      <c r="CP74" s="490">
        <v>1.01</v>
      </c>
      <c r="CQ74" s="491">
        <v>0.99</v>
      </c>
      <c r="CR74" s="490">
        <v>0.96</v>
      </c>
      <c r="CS74" s="490">
        <v>0.92</v>
      </c>
    </row>
    <row r="75" spans="3:97" ht="15.75" thickBot="1" x14ac:dyDescent="0.3">
      <c r="C75" s="489">
        <v>60</v>
      </c>
      <c r="D75" s="490">
        <v>0.87</v>
      </c>
      <c r="E75" s="490">
        <v>0.91</v>
      </c>
      <c r="F75" s="490">
        <v>0.92</v>
      </c>
      <c r="G75" s="491">
        <v>0.92</v>
      </c>
      <c r="H75" s="490">
        <v>0.9</v>
      </c>
      <c r="I75" s="490">
        <v>0.86</v>
      </c>
      <c r="J75" s="490">
        <v>0.81</v>
      </c>
      <c r="K75" s="490">
        <v>0.75</v>
      </c>
      <c r="L75" s="490">
        <v>0.68</v>
      </c>
      <c r="M75" s="490">
        <v>0.61</v>
      </c>
      <c r="O75" s="489">
        <v>320</v>
      </c>
      <c r="P75" s="490">
        <v>1</v>
      </c>
      <c r="Q75" s="490">
        <v>1.01</v>
      </c>
      <c r="R75" s="491">
        <v>1.01</v>
      </c>
      <c r="S75" s="490">
        <v>0.98</v>
      </c>
      <c r="T75" s="490">
        <v>0.93</v>
      </c>
      <c r="V75" s="489">
        <v>320</v>
      </c>
      <c r="W75" s="490">
        <v>1</v>
      </c>
      <c r="X75" s="490">
        <v>1.03</v>
      </c>
      <c r="Y75" s="491">
        <v>1.05</v>
      </c>
      <c r="Z75" s="490">
        <v>1.04</v>
      </c>
      <c r="AA75" s="490">
        <v>1.01</v>
      </c>
      <c r="AC75" s="489">
        <v>320</v>
      </c>
      <c r="AD75" s="490">
        <v>1</v>
      </c>
      <c r="AE75" s="490">
        <v>1.08</v>
      </c>
      <c r="AF75" s="491">
        <v>1.1299999999999999</v>
      </c>
      <c r="AG75" s="490">
        <v>1.1499999999999999</v>
      </c>
      <c r="AH75" s="490">
        <v>1.1499999999999999</v>
      </c>
      <c r="AJ75" s="489">
        <v>320</v>
      </c>
      <c r="AK75" s="490">
        <v>1</v>
      </c>
      <c r="AL75" s="490">
        <v>1.1200000000000001</v>
      </c>
      <c r="AM75" s="491">
        <v>1.22</v>
      </c>
      <c r="AN75" s="490">
        <v>1.28</v>
      </c>
      <c r="AO75" s="490">
        <v>1.32</v>
      </c>
      <c r="AQ75" s="489">
        <v>320</v>
      </c>
      <c r="AR75" s="490">
        <v>1</v>
      </c>
      <c r="AS75" s="490">
        <v>1.18</v>
      </c>
      <c r="AT75" s="491">
        <v>1.32</v>
      </c>
      <c r="AU75" s="490">
        <v>1.44</v>
      </c>
      <c r="AV75" s="490">
        <v>1.52</v>
      </c>
      <c r="AX75" s="489">
        <v>320</v>
      </c>
      <c r="AY75" s="490">
        <v>1</v>
      </c>
      <c r="AZ75" s="490">
        <v>1.19</v>
      </c>
      <c r="BA75" s="491">
        <v>1.37</v>
      </c>
      <c r="BB75" s="490">
        <v>1.5</v>
      </c>
      <c r="BC75" s="490">
        <v>1.61</v>
      </c>
      <c r="BE75" s="489">
        <v>320</v>
      </c>
      <c r="BF75" s="490">
        <v>1</v>
      </c>
      <c r="BG75" s="490">
        <v>1.19</v>
      </c>
      <c r="BH75" s="491">
        <v>1.35</v>
      </c>
      <c r="BI75" s="490">
        <v>1.49</v>
      </c>
      <c r="BJ75" s="490">
        <v>1.57</v>
      </c>
      <c r="BL75" s="489">
        <v>320</v>
      </c>
      <c r="BM75" s="490">
        <v>1</v>
      </c>
      <c r="BN75" s="490">
        <v>1.1399999999999999</v>
      </c>
      <c r="BO75" s="491">
        <v>1.26</v>
      </c>
      <c r="BP75" s="490">
        <v>1.35</v>
      </c>
      <c r="BQ75" s="490">
        <v>1.4</v>
      </c>
      <c r="BS75" s="489">
        <v>320</v>
      </c>
      <c r="BT75" s="490">
        <v>1</v>
      </c>
      <c r="BU75" s="490">
        <v>1.0900000000000001</v>
      </c>
      <c r="BV75" s="491">
        <v>1.1599999999999999</v>
      </c>
      <c r="BW75" s="490">
        <v>1.2</v>
      </c>
      <c r="BX75" s="490">
        <v>1.21</v>
      </c>
      <c r="BZ75" s="489">
        <v>320</v>
      </c>
      <c r="CA75" s="490">
        <v>1</v>
      </c>
      <c r="CB75" s="490">
        <v>1.05</v>
      </c>
      <c r="CC75" s="491">
        <v>1.08</v>
      </c>
      <c r="CD75" s="490">
        <v>1.08</v>
      </c>
      <c r="CE75" s="490">
        <v>1.06</v>
      </c>
      <c r="CG75" s="489">
        <v>320</v>
      </c>
      <c r="CH75" s="490">
        <v>1</v>
      </c>
      <c r="CI75" s="490">
        <v>1.02</v>
      </c>
      <c r="CJ75" s="491">
        <v>1.02</v>
      </c>
      <c r="CK75" s="490">
        <v>1</v>
      </c>
      <c r="CL75" s="490">
        <v>0.96</v>
      </c>
      <c r="CN75" s="489">
        <v>320</v>
      </c>
      <c r="CO75" s="490">
        <v>1</v>
      </c>
      <c r="CP75" s="490">
        <v>1.01</v>
      </c>
      <c r="CQ75" s="491">
        <v>0.99</v>
      </c>
      <c r="CR75" s="490">
        <v>0.96</v>
      </c>
      <c r="CS75" s="490">
        <v>0.91</v>
      </c>
    </row>
    <row r="76" spans="3:97" ht="15.75" thickBot="1" x14ac:dyDescent="0.3">
      <c r="C76" s="489">
        <v>70</v>
      </c>
      <c r="D76" s="490">
        <v>0.87</v>
      </c>
      <c r="E76" s="490">
        <v>0.9</v>
      </c>
      <c r="F76" s="490">
        <v>0.9</v>
      </c>
      <c r="G76" s="491">
        <v>0.89</v>
      </c>
      <c r="H76" s="490">
        <v>0.87</v>
      </c>
      <c r="I76" s="490">
        <v>0.83</v>
      </c>
      <c r="J76" s="490">
        <v>0.78</v>
      </c>
      <c r="K76" s="490">
        <v>0.72</v>
      </c>
      <c r="L76" s="490">
        <v>0.66</v>
      </c>
      <c r="M76" s="490">
        <v>0.59</v>
      </c>
      <c r="O76" s="489">
        <v>330</v>
      </c>
      <c r="P76" s="490">
        <v>1</v>
      </c>
      <c r="Q76" s="490">
        <v>1.01</v>
      </c>
      <c r="R76" s="491">
        <v>1.01</v>
      </c>
      <c r="S76" s="490">
        <v>0.97</v>
      </c>
      <c r="T76" s="490">
        <v>0.93</v>
      </c>
      <c r="V76" s="489">
        <v>330</v>
      </c>
      <c r="W76" s="490">
        <v>1</v>
      </c>
      <c r="X76" s="490">
        <v>1.04</v>
      </c>
      <c r="Y76" s="491">
        <v>1.05</v>
      </c>
      <c r="Z76" s="490">
        <v>1.05</v>
      </c>
      <c r="AA76" s="490">
        <v>1.02</v>
      </c>
      <c r="AC76" s="489">
        <v>330</v>
      </c>
      <c r="AD76" s="490">
        <v>1</v>
      </c>
      <c r="AE76" s="490">
        <v>1.08</v>
      </c>
      <c r="AF76" s="491">
        <v>1.1399999999999999</v>
      </c>
      <c r="AG76" s="490">
        <v>1.17</v>
      </c>
      <c r="AH76" s="490">
        <v>1.18</v>
      </c>
      <c r="AJ76" s="489">
        <v>330</v>
      </c>
      <c r="AK76" s="490">
        <v>1</v>
      </c>
      <c r="AL76" s="490">
        <v>1.1399999999999999</v>
      </c>
      <c r="AM76" s="491">
        <v>1.24</v>
      </c>
      <c r="AN76" s="490">
        <v>1.32</v>
      </c>
      <c r="AO76" s="490">
        <v>1.37</v>
      </c>
      <c r="AQ76" s="489">
        <v>330</v>
      </c>
      <c r="AR76" s="490">
        <v>1</v>
      </c>
      <c r="AS76" s="490">
        <v>1.19</v>
      </c>
      <c r="AT76" s="491">
        <v>1.36</v>
      </c>
      <c r="AU76" s="490">
        <v>1.5</v>
      </c>
      <c r="AV76" s="490">
        <v>1.59</v>
      </c>
      <c r="AX76" s="489">
        <v>330</v>
      </c>
      <c r="AY76" s="490">
        <v>1</v>
      </c>
      <c r="AZ76" s="490">
        <v>1.22</v>
      </c>
      <c r="BA76" s="491">
        <v>1.41</v>
      </c>
      <c r="BB76" s="490">
        <v>1.57</v>
      </c>
      <c r="BC76" s="490">
        <v>1.69</v>
      </c>
      <c r="BE76" s="489">
        <v>330</v>
      </c>
      <c r="BF76" s="490">
        <v>1</v>
      </c>
      <c r="BG76" s="490">
        <v>1.21</v>
      </c>
      <c r="BH76" s="491">
        <v>1.4</v>
      </c>
      <c r="BI76" s="490">
        <v>1.54</v>
      </c>
      <c r="BJ76" s="490">
        <v>1.66</v>
      </c>
      <c r="BL76" s="489">
        <v>330</v>
      </c>
      <c r="BM76" s="490">
        <v>1</v>
      </c>
      <c r="BN76" s="490">
        <v>1.1599999999999999</v>
      </c>
      <c r="BO76" s="491">
        <v>1.29</v>
      </c>
      <c r="BP76" s="490">
        <v>1.39</v>
      </c>
      <c r="BQ76" s="490">
        <v>1.46</v>
      </c>
      <c r="BS76" s="489">
        <v>330</v>
      </c>
      <c r="BT76" s="490">
        <v>1</v>
      </c>
      <c r="BU76" s="490">
        <v>1.1000000000000001</v>
      </c>
      <c r="BV76" s="491">
        <v>1.18</v>
      </c>
      <c r="BW76" s="490">
        <v>1.22</v>
      </c>
      <c r="BX76" s="490">
        <v>1.24</v>
      </c>
      <c r="BZ76" s="489">
        <v>330</v>
      </c>
      <c r="CA76" s="490">
        <v>1</v>
      </c>
      <c r="CB76" s="490">
        <v>1.05</v>
      </c>
      <c r="CC76" s="491">
        <v>1.0900000000000001</v>
      </c>
      <c r="CD76" s="490">
        <v>1.0900000000000001</v>
      </c>
      <c r="CE76" s="490">
        <v>1.07</v>
      </c>
      <c r="CG76" s="489">
        <v>330</v>
      </c>
      <c r="CH76" s="490">
        <v>1</v>
      </c>
      <c r="CI76" s="490">
        <v>1.02</v>
      </c>
      <c r="CJ76" s="491">
        <v>1.02</v>
      </c>
      <c r="CK76" s="490">
        <v>1</v>
      </c>
      <c r="CL76" s="490">
        <v>0.95</v>
      </c>
      <c r="CN76" s="489">
        <v>330</v>
      </c>
      <c r="CO76" s="490">
        <v>1</v>
      </c>
      <c r="CP76" s="490">
        <v>1.01</v>
      </c>
      <c r="CQ76" s="491">
        <v>0.99</v>
      </c>
      <c r="CR76" s="490">
        <v>0.95</v>
      </c>
      <c r="CS76" s="490">
        <v>0.9</v>
      </c>
    </row>
    <row r="77" spans="3:97" ht="15.75" thickBot="1" x14ac:dyDescent="0.3">
      <c r="C77" s="489">
        <v>80</v>
      </c>
      <c r="D77" s="490">
        <v>0.87</v>
      </c>
      <c r="E77" s="490">
        <v>0.89</v>
      </c>
      <c r="F77" s="490">
        <v>0.88</v>
      </c>
      <c r="G77" s="491">
        <v>0.87</v>
      </c>
      <c r="H77" s="490">
        <v>0.84</v>
      </c>
      <c r="I77" s="490">
        <v>0.8</v>
      </c>
      <c r="J77" s="490">
        <v>0.75</v>
      </c>
      <c r="K77" s="490">
        <v>0.69</v>
      </c>
      <c r="L77" s="490">
        <v>0.63</v>
      </c>
      <c r="M77" s="490">
        <v>0.56000000000000005</v>
      </c>
      <c r="O77" s="489">
        <v>340</v>
      </c>
      <c r="P77" s="490">
        <v>1</v>
      </c>
      <c r="Q77" s="490">
        <v>1.01</v>
      </c>
      <c r="R77" s="491">
        <v>1.01</v>
      </c>
      <c r="S77" s="490">
        <v>0.97</v>
      </c>
      <c r="T77" s="490">
        <v>0.92</v>
      </c>
      <c r="V77" s="489">
        <v>340</v>
      </c>
      <c r="W77" s="490">
        <v>1</v>
      </c>
      <c r="X77" s="490">
        <v>1.04</v>
      </c>
      <c r="Y77" s="491">
        <v>1.06</v>
      </c>
      <c r="Z77" s="490">
        <v>1.05</v>
      </c>
      <c r="AA77" s="490">
        <v>1.02</v>
      </c>
      <c r="AC77" s="489">
        <v>340</v>
      </c>
      <c r="AD77" s="490">
        <v>1</v>
      </c>
      <c r="AE77" s="490">
        <v>1.0900000000000001</v>
      </c>
      <c r="AF77" s="491">
        <v>1.1499999999999999</v>
      </c>
      <c r="AG77" s="490">
        <v>1.18</v>
      </c>
      <c r="AH77" s="490">
        <v>1.19</v>
      </c>
      <c r="AJ77" s="489">
        <v>340</v>
      </c>
      <c r="AK77" s="490">
        <v>1</v>
      </c>
      <c r="AL77" s="490">
        <v>1.1399999999999999</v>
      </c>
      <c r="AM77" s="491">
        <v>1.26</v>
      </c>
      <c r="AN77" s="490">
        <v>1.35</v>
      </c>
      <c r="AO77" s="490">
        <v>1.4</v>
      </c>
      <c r="AQ77" s="489">
        <v>340</v>
      </c>
      <c r="AR77" s="490">
        <v>1</v>
      </c>
      <c r="AS77" s="490">
        <v>1.21</v>
      </c>
      <c r="AT77" s="491">
        <v>1.4</v>
      </c>
      <c r="AU77" s="490">
        <v>1.54</v>
      </c>
      <c r="AV77" s="490">
        <v>1.65</v>
      </c>
      <c r="AX77" s="489">
        <v>340</v>
      </c>
      <c r="AY77" s="490">
        <v>1</v>
      </c>
      <c r="AZ77" s="490">
        <v>1.23</v>
      </c>
      <c r="BA77" s="491">
        <v>1.45</v>
      </c>
      <c r="BB77" s="490">
        <v>1.62</v>
      </c>
      <c r="BC77" s="490">
        <v>1.76</v>
      </c>
      <c r="BE77" s="489">
        <v>340</v>
      </c>
      <c r="BF77" s="490">
        <v>1</v>
      </c>
      <c r="BG77" s="490">
        <v>1.23</v>
      </c>
      <c r="BH77" s="491">
        <v>1.43</v>
      </c>
      <c r="BI77" s="490">
        <v>1.59</v>
      </c>
      <c r="BJ77" s="490">
        <v>1.71</v>
      </c>
      <c r="BL77" s="489">
        <v>340</v>
      </c>
      <c r="BM77" s="490">
        <v>1</v>
      </c>
      <c r="BN77" s="490">
        <v>1.18</v>
      </c>
      <c r="BO77" s="491">
        <v>1.32</v>
      </c>
      <c r="BP77" s="490">
        <v>1.43</v>
      </c>
      <c r="BQ77" s="490">
        <v>1.5</v>
      </c>
      <c r="BS77" s="489">
        <v>340</v>
      </c>
      <c r="BT77" s="490">
        <v>1</v>
      </c>
      <c r="BU77" s="490">
        <v>1.1100000000000001</v>
      </c>
      <c r="BV77" s="491">
        <v>1.2</v>
      </c>
      <c r="BW77" s="490">
        <v>1.25</v>
      </c>
      <c r="BX77" s="490">
        <v>1.27</v>
      </c>
      <c r="BZ77" s="489">
        <v>340</v>
      </c>
      <c r="CA77" s="490">
        <v>1</v>
      </c>
      <c r="CB77" s="490">
        <v>1.06</v>
      </c>
      <c r="CC77" s="491">
        <v>1.0900000000000001</v>
      </c>
      <c r="CD77" s="490">
        <v>1.1000000000000001</v>
      </c>
      <c r="CE77" s="490">
        <v>1.08</v>
      </c>
      <c r="CG77" s="489">
        <v>340</v>
      </c>
      <c r="CH77" s="490">
        <v>1</v>
      </c>
      <c r="CI77" s="490">
        <v>1.02</v>
      </c>
      <c r="CJ77" s="491">
        <v>1.02</v>
      </c>
      <c r="CK77" s="490">
        <v>1</v>
      </c>
      <c r="CL77" s="490">
        <v>0.95</v>
      </c>
      <c r="CN77" s="489">
        <v>340</v>
      </c>
      <c r="CO77" s="490">
        <v>1</v>
      </c>
      <c r="CP77" s="490">
        <v>1</v>
      </c>
      <c r="CQ77" s="491">
        <v>0.99</v>
      </c>
      <c r="CR77" s="490">
        <v>0.95</v>
      </c>
      <c r="CS77" s="490">
        <v>0.89</v>
      </c>
    </row>
    <row r="78" spans="3:97" ht="15.75" thickBot="1" x14ac:dyDescent="0.3">
      <c r="C78" s="489">
        <v>90</v>
      </c>
      <c r="D78" s="490">
        <v>0.87</v>
      </c>
      <c r="E78" s="490">
        <v>0.88</v>
      </c>
      <c r="F78" s="490">
        <v>0.86</v>
      </c>
      <c r="G78" s="491">
        <v>0.84</v>
      </c>
      <c r="H78" s="490">
        <v>0.8</v>
      </c>
      <c r="I78" s="490">
        <v>0.76</v>
      </c>
      <c r="J78" s="490">
        <v>0.71</v>
      </c>
      <c r="K78" s="490">
        <v>0.65</v>
      </c>
      <c r="L78" s="490">
        <v>0.59</v>
      </c>
      <c r="M78" s="490">
        <v>0.53</v>
      </c>
      <c r="O78" s="489">
        <v>350</v>
      </c>
      <c r="P78" s="490">
        <v>1</v>
      </c>
      <c r="Q78" s="490">
        <v>1.01</v>
      </c>
      <c r="R78" s="491">
        <v>1</v>
      </c>
      <c r="S78" s="490">
        <v>0.97</v>
      </c>
      <c r="T78" s="490">
        <v>0.92</v>
      </c>
      <c r="V78" s="489">
        <v>350</v>
      </c>
      <c r="W78" s="490">
        <v>1</v>
      </c>
      <c r="X78" s="490">
        <v>1.04</v>
      </c>
      <c r="Y78" s="491">
        <v>1.06</v>
      </c>
      <c r="Z78" s="490">
        <v>1.05</v>
      </c>
      <c r="AA78" s="490">
        <v>1.02</v>
      </c>
      <c r="AC78" s="489">
        <v>350</v>
      </c>
      <c r="AD78" s="490">
        <v>1</v>
      </c>
      <c r="AE78" s="490">
        <v>1.0900000000000001</v>
      </c>
      <c r="AF78" s="491">
        <v>1.1599999999999999</v>
      </c>
      <c r="AG78" s="490">
        <v>1.19</v>
      </c>
      <c r="AH78" s="490">
        <v>1.2</v>
      </c>
      <c r="AJ78" s="489">
        <v>350</v>
      </c>
      <c r="AK78" s="490">
        <v>1</v>
      </c>
      <c r="AL78" s="490">
        <v>1.1499999999999999</v>
      </c>
      <c r="AM78" s="491">
        <v>1.27</v>
      </c>
      <c r="AN78" s="490">
        <v>1.37</v>
      </c>
      <c r="AO78" s="490">
        <v>1.42</v>
      </c>
      <c r="AQ78" s="489">
        <v>350</v>
      </c>
      <c r="AR78" s="490">
        <v>1</v>
      </c>
      <c r="AS78" s="490">
        <v>1.22</v>
      </c>
      <c r="AT78" s="491">
        <v>1.42</v>
      </c>
      <c r="AU78" s="490">
        <v>1.57</v>
      </c>
      <c r="AV78" s="490">
        <v>1.69</v>
      </c>
      <c r="AX78" s="489">
        <v>350</v>
      </c>
      <c r="AY78" s="490">
        <v>1</v>
      </c>
      <c r="AZ78" s="490">
        <v>1.24</v>
      </c>
      <c r="BA78" s="491">
        <v>1.47</v>
      </c>
      <c r="BB78" s="490">
        <v>1.65</v>
      </c>
      <c r="BC78" s="490">
        <v>1.79</v>
      </c>
      <c r="BE78" s="489">
        <v>350</v>
      </c>
      <c r="BF78" s="490">
        <v>1</v>
      </c>
      <c r="BG78" s="490">
        <v>1.24</v>
      </c>
      <c r="BH78" s="491">
        <v>1.45</v>
      </c>
      <c r="BI78" s="490">
        <v>1.62</v>
      </c>
      <c r="BJ78" s="490">
        <v>1.75</v>
      </c>
      <c r="BL78" s="489">
        <v>350</v>
      </c>
      <c r="BM78" s="490">
        <v>1</v>
      </c>
      <c r="BN78" s="490">
        <v>1.18</v>
      </c>
      <c r="BO78" s="491">
        <v>1.33</v>
      </c>
      <c r="BP78" s="490">
        <v>1.45</v>
      </c>
      <c r="BQ78" s="490">
        <v>1.53</v>
      </c>
      <c r="BS78" s="489">
        <v>350</v>
      </c>
      <c r="BT78" s="490">
        <v>1</v>
      </c>
      <c r="BU78" s="490">
        <v>1.1200000000000001</v>
      </c>
      <c r="BV78" s="491">
        <v>1.21</v>
      </c>
      <c r="BW78" s="490">
        <v>1.26</v>
      </c>
      <c r="BX78" s="490">
        <v>1.29</v>
      </c>
      <c r="BZ78" s="489">
        <v>350</v>
      </c>
      <c r="CA78" s="490">
        <v>1</v>
      </c>
      <c r="CB78" s="490">
        <v>1.06</v>
      </c>
      <c r="CC78" s="491">
        <v>1.0900000000000001</v>
      </c>
      <c r="CD78" s="490">
        <v>1.1000000000000001</v>
      </c>
      <c r="CE78" s="490">
        <v>1.08</v>
      </c>
      <c r="CG78" s="489">
        <v>350</v>
      </c>
      <c r="CH78" s="490">
        <v>1</v>
      </c>
      <c r="CI78" s="490">
        <v>1.02</v>
      </c>
      <c r="CJ78" s="491">
        <v>1.02</v>
      </c>
      <c r="CK78" s="490">
        <v>0.99</v>
      </c>
      <c r="CL78" s="490">
        <v>0.95</v>
      </c>
      <c r="CN78" s="489">
        <v>350</v>
      </c>
      <c r="CO78" s="490">
        <v>1</v>
      </c>
      <c r="CP78" s="490">
        <v>1</v>
      </c>
      <c r="CQ78" s="491">
        <v>0.99</v>
      </c>
      <c r="CR78" s="490">
        <v>0.95</v>
      </c>
      <c r="CS78" s="490">
        <v>0.89</v>
      </c>
    </row>
    <row r="79" spans="3:97" ht="15.75" thickBot="1" x14ac:dyDescent="0.3">
      <c r="C79" s="489">
        <v>100</v>
      </c>
      <c r="D79" s="490">
        <v>0.87</v>
      </c>
      <c r="E79" s="490">
        <v>0.87</v>
      </c>
      <c r="F79" s="490">
        <v>0.84</v>
      </c>
      <c r="G79" s="491">
        <v>0.81</v>
      </c>
      <c r="H79" s="490">
        <v>0.77</v>
      </c>
      <c r="I79" s="490">
        <v>0.72</v>
      </c>
      <c r="J79" s="490">
        <v>0.67</v>
      </c>
      <c r="K79" s="490">
        <v>0.61</v>
      </c>
      <c r="L79" s="490">
        <v>0.56000000000000005</v>
      </c>
      <c r="M79" s="490">
        <v>0.5</v>
      </c>
      <c r="O79" s="489">
        <v>0</v>
      </c>
      <c r="P79" s="490">
        <v>1</v>
      </c>
      <c r="Q79" s="490">
        <v>1.01</v>
      </c>
      <c r="R79" s="491">
        <v>1</v>
      </c>
      <c r="S79" s="490">
        <v>0.97</v>
      </c>
      <c r="T79" s="490">
        <v>0.92</v>
      </c>
      <c r="V79" s="489">
        <v>0</v>
      </c>
      <c r="W79" s="490">
        <v>1</v>
      </c>
      <c r="X79" s="490">
        <v>1.04</v>
      </c>
      <c r="Y79" s="491">
        <v>1.06</v>
      </c>
      <c r="Z79" s="490">
        <v>1.05</v>
      </c>
      <c r="AA79" s="490">
        <v>1.02</v>
      </c>
      <c r="AC79" s="489">
        <v>0</v>
      </c>
      <c r="AD79" s="490">
        <v>1</v>
      </c>
      <c r="AE79" s="490">
        <v>1.0900000000000001</v>
      </c>
      <c r="AF79" s="491">
        <v>1.1599999999999999</v>
      </c>
      <c r="AG79" s="490">
        <v>1.19</v>
      </c>
      <c r="AH79" s="490">
        <v>1.2</v>
      </c>
      <c r="AJ79" s="489">
        <v>0</v>
      </c>
      <c r="AK79" s="490">
        <v>1</v>
      </c>
      <c r="AL79" s="490">
        <v>1.1499999999999999</v>
      </c>
      <c r="AM79" s="491">
        <v>1.28</v>
      </c>
      <c r="AN79" s="490">
        <v>1.37</v>
      </c>
      <c r="AO79" s="490">
        <v>1.43</v>
      </c>
      <c r="AQ79" s="489">
        <v>0</v>
      </c>
      <c r="AR79" s="490">
        <v>1</v>
      </c>
      <c r="AS79" s="490">
        <v>1.22</v>
      </c>
      <c r="AT79" s="491">
        <v>1.42</v>
      </c>
      <c r="AU79" s="490">
        <v>1.58</v>
      </c>
      <c r="AV79" s="490">
        <v>1.69</v>
      </c>
      <c r="AX79" s="489">
        <v>0</v>
      </c>
      <c r="AY79" s="490">
        <v>1</v>
      </c>
      <c r="AZ79" s="490">
        <v>1.26</v>
      </c>
      <c r="BA79" s="491">
        <v>1.47</v>
      </c>
      <c r="BB79" s="490">
        <v>1.66</v>
      </c>
      <c r="BC79" s="490">
        <v>1.8</v>
      </c>
      <c r="BE79" s="489">
        <v>0</v>
      </c>
      <c r="BF79" s="490">
        <v>1</v>
      </c>
      <c r="BG79" s="490">
        <v>1.24</v>
      </c>
      <c r="BH79" s="491">
        <v>1.46</v>
      </c>
      <c r="BI79" s="490">
        <v>1.63</v>
      </c>
      <c r="BJ79" s="490">
        <v>1.76</v>
      </c>
      <c r="BL79" s="489">
        <v>0</v>
      </c>
      <c r="BM79" s="490">
        <v>1</v>
      </c>
      <c r="BN79" s="490">
        <v>1.18</v>
      </c>
      <c r="BO79" s="491">
        <v>1.34</v>
      </c>
      <c r="BP79" s="490">
        <v>1.46</v>
      </c>
      <c r="BQ79" s="490">
        <v>1.54</v>
      </c>
      <c r="BS79" s="489">
        <v>0</v>
      </c>
      <c r="BT79" s="490">
        <v>1</v>
      </c>
      <c r="BU79" s="490">
        <v>1.1200000000000001</v>
      </c>
      <c r="BV79" s="491">
        <v>1.21</v>
      </c>
      <c r="BW79" s="490">
        <v>1.27</v>
      </c>
      <c r="BX79" s="490">
        <v>1.29</v>
      </c>
      <c r="BZ79" s="489">
        <v>0</v>
      </c>
      <c r="CA79" s="490">
        <v>1</v>
      </c>
      <c r="CB79" s="490">
        <v>1.06</v>
      </c>
      <c r="CC79" s="491">
        <v>1.1000000000000001</v>
      </c>
      <c r="CD79" s="490">
        <v>1.1000000000000001</v>
      </c>
      <c r="CE79" s="490">
        <v>1.08</v>
      </c>
      <c r="CG79" s="489">
        <v>0</v>
      </c>
      <c r="CH79" s="490">
        <v>1</v>
      </c>
      <c r="CI79" s="490">
        <v>1.02</v>
      </c>
      <c r="CJ79" s="491">
        <v>1.02</v>
      </c>
      <c r="CK79" s="490">
        <v>0.99</v>
      </c>
      <c r="CL79" s="490">
        <v>0.94</v>
      </c>
      <c r="CN79" s="489">
        <v>0</v>
      </c>
      <c r="CO79" s="490">
        <v>1</v>
      </c>
      <c r="CP79" s="490">
        <v>1</v>
      </c>
      <c r="CQ79" s="491">
        <v>0.99</v>
      </c>
      <c r="CR79" s="490">
        <v>0.94</v>
      </c>
      <c r="CS79" s="490">
        <v>0.88</v>
      </c>
    </row>
    <row r="80" spans="3:97" ht="15.75" thickBot="1" x14ac:dyDescent="0.3">
      <c r="C80" s="489">
        <v>110</v>
      </c>
      <c r="D80" s="490">
        <v>0.87</v>
      </c>
      <c r="E80" s="490">
        <v>0.86</v>
      </c>
      <c r="F80" s="490">
        <v>0.82</v>
      </c>
      <c r="G80" s="491">
        <v>0.78</v>
      </c>
      <c r="H80" s="490">
        <v>0.73</v>
      </c>
      <c r="I80" s="490">
        <v>0.68</v>
      </c>
      <c r="J80" s="490">
        <v>0.62</v>
      </c>
      <c r="K80" s="490">
        <v>0.56999999999999995</v>
      </c>
      <c r="L80" s="490">
        <v>0.51</v>
      </c>
      <c r="M80" s="490">
        <v>0.46</v>
      </c>
      <c r="O80" s="489">
        <v>10</v>
      </c>
      <c r="P80" s="490">
        <v>1</v>
      </c>
      <c r="Q80" s="490">
        <v>1.01</v>
      </c>
      <c r="R80" s="491">
        <v>1</v>
      </c>
      <c r="S80" s="490">
        <v>0.97</v>
      </c>
      <c r="T80" s="490">
        <v>0.92</v>
      </c>
      <c r="V80" s="489">
        <v>10</v>
      </c>
      <c r="W80" s="490">
        <v>1</v>
      </c>
      <c r="X80" s="490">
        <v>1.04</v>
      </c>
      <c r="Y80" s="491">
        <v>1.06</v>
      </c>
      <c r="Z80" s="490">
        <v>1.05</v>
      </c>
      <c r="AA80" s="490">
        <v>1.02</v>
      </c>
      <c r="AC80" s="489">
        <v>10</v>
      </c>
      <c r="AD80" s="490">
        <v>1</v>
      </c>
      <c r="AE80" s="490">
        <v>1.0900000000000001</v>
      </c>
      <c r="AF80" s="491">
        <v>1.1499999999999999</v>
      </c>
      <c r="AG80" s="490">
        <v>1.19</v>
      </c>
      <c r="AH80" s="490">
        <v>1.19</v>
      </c>
      <c r="AJ80" s="489">
        <v>10</v>
      </c>
      <c r="AK80" s="490">
        <v>1</v>
      </c>
      <c r="AL80" s="490">
        <v>1.1499999999999999</v>
      </c>
      <c r="AM80" s="491">
        <v>1.27</v>
      </c>
      <c r="AN80" s="490">
        <v>1.37</v>
      </c>
      <c r="AO80" s="490">
        <v>1.42</v>
      </c>
      <c r="AQ80" s="489">
        <v>10</v>
      </c>
      <c r="AR80" s="490">
        <v>1</v>
      </c>
      <c r="AS80" s="490">
        <v>1.22</v>
      </c>
      <c r="AT80" s="491">
        <v>1.42</v>
      </c>
      <c r="AU80" s="490">
        <v>1.57</v>
      </c>
      <c r="AV80" s="490">
        <v>1.68</v>
      </c>
      <c r="AX80" s="489">
        <v>10</v>
      </c>
      <c r="AY80" s="490">
        <v>1</v>
      </c>
      <c r="AZ80" s="490">
        <v>1.24</v>
      </c>
      <c r="BA80" s="491">
        <v>1.47</v>
      </c>
      <c r="BB80" s="490">
        <v>1.65</v>
      </c>
      <c r="BC80" s="490">
        <v>1.79</v>
      </c>
      <c r="BE80" s="489">
        <v>10</v>
      </c>
      <c r="BF80" s="490">
        <v>1</v>
      </c>
      <c r="BG80" s="490">
        <v>1.24</v>
      </c>
      <c r="BH80" s="491">
        <v>1.45</v>
      </c>
      <c r="BI80" s="490">
        <v>1.61</v>
      </c>
      <c r="BJ80" s="490">
        <v>1.74</v>
      </c>
      <c r="BL80" s="489">
        <v>10</v>
      </c>
      <c r="BM80" s="490">
        <v>1</v>
      </c>
      <c r="BN80" s="490">
        <v>1.18</v>
      </c>
      <c r="BO80" s="491">
        <v>1.33</v>
      </c>
      <c r="BP80" s="490">
        <v>1.45</v>
      </c>
      <c r="BQ80" s="490">
        <v>1.53</v>
      </c>
      <c r="BS80" s="489">
        <v>10</v>
      </c>
      <c r="BT80" s="490">
        <v>1</v>
      </c>
      <c r="BU80" s="490">
        <v>1.1200000000000001</v>
      </c>
      <c r="BV80" s="491">
        <v>1.21</v>
      </c>
      <c r="BW80" s="490">
        <v>1.26</v>
      </c>
      <c r="BX80" s="490">
        <v>1.29</v>
      </c>
      <c r="BZ80" s="489">
        <v>10</v>
      </c>
      <c r="CA80" s="490">
        <v>1</v>
      </c>
      <c r="CB80" s="490">
        <v>1.06</v>
      </c>
      <c r="CC80" s="491">
        <v>1.0900000000000001</v>
      </c>
      <c r="CD80" s="490">
        <v>1.1000000000000001</v>
      </c>
      <c r="CE80" s="490">
        <v>1.08</v>
      </c>
      <c r="CG80" s="489">
        <v>10</v>
      </c>
      <c r="CH80" s="490">
        <v>1</v>
      </c>
      <c r="CI80" s="490">
        <v>1.02</v>
      </c>
      <c r="CJ80" s="491">
        <v>1.02</v>
      </c>
      <c r="CK80" s="490">
        <v>1</v>
      </c>
      <c r="CL80" s="490">
        <v>0.95</v>
      </c>
      <c r="CN80" s="489">
        <v>10</v>
      </c>
      <c r="CO80" s="490">
        <v>1</v>
      </c>
      <c r="CP80" s="490">
        <v>1</v>
      </c>
      <c r="CQ80" s="491">
        <v>0.99</v>
      </c>
      <c r="CR80" s="490">
        <v>0.95</v>
      </c>
      <c r="CS80" s="490">
        <v>0.89</v>
      </c>
    </row>
    <row r="81" spans="3:97" ht="15.75" thickBot="1" x14ac:dyDescent="0.3">
      <c r="C81" s="489">
        <v>120</v>
      </c>
      <c r="D81" s="490">
        <v>0.87</v>
      </c>
      <c r="E81" s="490">
        <v>0.85</v>
      </c>
      <c r="F81" s="490">
        <v>0.8</v>
      </c>
      <c r="G81" s="491">
        <v>0.75</v>
      </c>
      <c r="H81" s="490">
        <v>0.69</v>
      </c>
      <c r="I81" s="490">
        <v>0.63</v>
      </c>
      <c r="J81" s="490">
        <v>0.57999999999999996</v>
      </c>
      <c r="K81" s="490">
        <v>0.52</v>
      </c>
      <c r="L81" s="490">
        <v>0.47</v>
      </c>
      <c r="M81" s="490">
        <v>0.42</v>
      </c>
      <c r="O81" s="489">
        <v>20</v>
      </c>
      <c r="P81" s="490">
        <v>1</v>
      </c>
      <c r="Q81" s="490">
        <v>1.01</v>
      </c>
      <c r="R81" s="491">
        <v>1</v>
      </c>
      <c r="S81" s="490">
        <v>0.97</v>
      </c>
      <c r="T81" s="490">
        <v>0.92</v>
      </c>
      <c r="V81" s="489">
        <v>20</v>
      </c>
      <c r="W81" s="490">
        <v>1</v>
      </c>
      <c r="X81" s="490">
        <v>1.04</v>
      </c>
      <c r="Y81" s="491">
        <v>1.05</v>
      </c>
      <c r="Z81" s="490">
        <v>1.05</v>
      </c>
      <c r="AA81" s="490">
        <v>1.02</v>
      </c>
      <c r="AC81" s="489">
        <v>20</v>
      </c>
      <c r="AD81" s="490">
        <v>1</v>
      </c>
      <c r="AE81" s="490">
        <v>1.0900000000000001</v>
      </c>
      <c r="AF81" s="491">
        <v>1.1399999999999999</v>
      </c>
      <c r="AG81" s="490">
        <v>1.18</v>
      </c>
      <c r="AH81" s="490">
        <v>1.18</v>
      </c>
      <c r="AJ81" s="489">
        <v>20</v>
      </c>
      <c r="AK81" s="490">
        <v>1</v>
      </c>
      <c r="AL81" s="490">
        <v>1.1399999999999999</v>
      </c>
      <c r="AM81" s="491">
        <v>1.26</v>
      </c>
      <c r="AN81" s="490">
        <v>1.35</v>
      </c>
      <c r="AO81" s="490">
        <v>1.4</v>
      </c>
      <c r="AQ81" s="489">
        <v>20</v>
      </c>
      <c r="AR81" s="490">
        <v>1</v>
      </c>
      <c r="AS81" s="490">
        <v>1.21</v>
      </c>
      <c r="AT81" s="491">
        <v>1.39</v>
      </c>
      <c r="AU81" s="490">
        <v>1.53</v>
      </c>
      <c r="AV81" s="490">
        <v>1.64</v>
      </c>
      <c r="AX81" s="489">
        <v>20</v>
      </c>
      <c r="AY81" s="490">
        <v>1</v>
      </c>
      <c r="AZ81" s="490">
        <v>1.23</v>
      </c>
      <c r="BA81" s="491">
        <v>1.44</v>
      </c>
      <c r="BB81" s="490">
        <v>1.61</v>
      </c>
      <c r="BC81" s="490">
        <v>1.74</v>
      </c>
      <c r="BE81" s="489">
        <v>20</v>
      </c>
      <c r="BF81" s="490">
        <v>1</v>
      </c>
      <c r="BG81" s="490">
        <v>1.23</v>
      </c>
      <c r="BH81" s="491">
        <v>1.42</v>
      </c>
      <c r="BI81" s="490">
        <v>1.58</v>
      </c>
      <c r="BJ81" s="490">
        <v>1.7</v>
      </c>
      <c r="BL81" s="489">
        <v>20</v>
      </c>
      <c r="BM81" s="490">
        <v>1</v>
      </c>
      <c r="BN81" s="490">
        <v>1.17</v>
      </c>
      <c r="BO81" s="491">
        <v>1.32</v>
      </c>
      <c r="BP81" s="490">
        <v>1.43</v>
      </c>
      <c r="BQ81" s="490">
        <v>1.5</v>
      </c>
      <c r="BS81" s="489">
        <v>20</v>
      </c>
      <c r="BT81" s="490">
        <v>1</v>
      </c>
      <c r="BU81" s="490">
        <v>1.1100000000000001</v>
      </c>
      <c r="BV81" s="491">
        <v>1.2</v>
      </c>
      <c r="BW81" s="490">
        <v>1.25</v>
      </c>
      <c r="BX81" s="490">
        <v>1.27</v>
      </c>
      <c r="BZ81" s="489">
        <v>20</v>
      </c>
      <c r="CA81" s="490">
        <v>1</v>
      </c>
      <c r="CB81" s="490">
        <v>1.05</v>
      </c>
      <c r="CC81" s="491">
        <v>1.0900000000000001</v>
      </c>
      <c r="CD81" s="490">
        <v>1.0900000000000001</v>
      </c>
      <c r="CE81" s="490">
        <v>1.07</v>
      </c>
      <c r="CG81" s="489">
        <v>20</v>
      </c>
      <c r="CH81" s="490">
        <v>1</v>
      </c>
      <c r="CI81" s="490">
        <v>1.02</v>
      </c>
      <c r="CJ81" s="491">
        <v>1.02</v>
      </c>
      <c r="CK81" s="490">
        <v>1</v>
      </c>
      <c r="CL81" s="490">
        <v>0.95</v>
      </c>
      <c r="CN81" s="489">
        <v>20</v>
      </c>
      <c r="CO81" s="490">
        <v>1</v>
      </c>
      <c r="CP81" s="490">
        <v>1</v>
      </c>
      <c r="CQ81" s="491">
        <v>0.99</v>
      </c>
      <c r="CR81" s="490">
        <v>0.95</v>
      </c>
      <c r="CS81" s="490">
        <v>0.89</v>
      </c>
    </row>
    <row r="82" spans="3:97" ht="15.75" thickBot="1" x14ac:dyDescent="0.3">
      <c r="C82" s="489">
        <v>130</v>
      </c>
      <c r="D82" s="490">
        <v>0.87</v>
      </c>
      <c r="E82" s="490">
        <v>0.84</v>
      </c>
      <c r="F82" s="490">
        <v>0.78</v>
      </c>
      <c r="G82" s="491">
        <v>0.72</v>
      </c>
      <c r="H82" s="490">
        <v>0.66</v>
      </c>
      <c r="I82" s="490">
        <v>0.59</v>
      </c>
      <c r="J82" s="490">
        <v>0.53</v>
      </c>
      <c r="K82" s="490">
        <v>0.48</v>
      </c>
      <c r="L82" s="490">
        <v>0.43</v>
      </c>
      <c r="M82" s="490">
        <v>0.38</v>
      </c>
      <c r="O82" s="489">
        <v>30</v>
      </c>
      <c r="P82" s="490">
        <v>1</v>
      </c>
      <c r="Q82" s="490">
        <v>1.01</v>
      </c>
      <c r="R82" s="491">
        <v>1</v>
      </c>
      <c r="S82" s="490">
        <v>0.97</v>
      </c>
      <c r="T82" s="490">
        <v>0.92</v>
      </c>
      <c r="V82" s="489">
        <v>30</v>
      </c>
      <c r="W82" s="490">
        <v>1</v>
      </c>
      <c r="X82" s="490">
        <v>1.04</v>
      </c>
      <c r="Y82" s="491">
        <v>1.05</v>
      </c>
      <c r="Z82" s="490">
        <v>1.05</v>
      </c>
      <c r="AA82" s="490">
        <v>1.02</v>
      </c>
      <c r="AC82" s="489">
        <v>30</v>
      </c>
      <c r="AD82" s="490">
        <v>1</v>
      </c>
      <c r="AE82" s="490">
        <v>1.08</v>
      </c>
      <c r="AF82" s="491">
        <v>1.1299999999999999</v>
      </c>
      <c r="AG82" s="490">
        <v>1.1599999999999999</v>
      </c>
      <c r="AH82" s="490">
        <v>1.1599999999999999</v>
      </c>
      <c r="AJ82" s="489">
        <v>30</v>
      </c>
      <c r="AK82" s="490">
        <v>1</v>
      </c>
      <c r="AL82" s="490">
        <v>1.1299999999999999</v>
      </c>
      <c r="AM82" s="491">
        <v>1.24</v>
      </c>
      <c r="AN82" s="490">
        <v>1.31</v>
      </c>
      <c r="AO82" s="490">
        <v>1.36</v>
      </c>
      <c r="AQ82" s="489">
        <v>30</v>
      </c>
      <c r="AR82" s="490">
        <v>1</v>
      </c>
      <c r="AS82" s="490">
        <v>1.19</v>
      </c>
      <c r="AT82" s="491">
        <v>1.36</v>
      </c>
      <c r="AU82" s="490">
        <v>1.49</v>
      </c>
      <c r="AV82" s="490">
        <v>1.58</v>
      </c>
      <c r="AX82" s="489">
        <v>30</v>
      </c>
      <c r="AY82" s="490">
        <v>1</v>
      </c>
      <c r="AZ82" s="490">
        <v>1.21</v>
      </c>
      <c r="BA82" s="491">
        <v>1.4</v>
      </c>
      <c r="BB82" s="490">
        <v>1.55</v>
      </c>
      <c r="BC82" s="490">
        <v>1.67</v>
      </c>
      <c r="BE82" s="489">
        <v>30</v>
      </c>
      <c r="BF82" s="490">
        <v>1</v>
      </c>
      <c r="BG82" s="490">
        <v>1.21</v>
      </c>
      <c r="BH82" s="491">
        <v>1.38</v>
      </c>
      <c r="BI82" s="490">
        <v>1.53</v>
      </c>
      <c r="BJ82" s="490">
        <v>1.63</v>
      </c>
      <c r="BL82" s="489">
        <v>30</v>
      </c>
      <c r="BM82" s="490">
        <v>1</v>
      </c>
      <c r="BN82" s="490">
        <v>1.1599999999999999</v>
      </c>
      <c r="BO82" s="491">
        <v>1.29</v>
      </c>
      <c r="BP82" s="490">
        <v>1.38</v>
      </c>
      <c r="BQ82" s="490">
        <v>1.45</v>
      </c>
      <c r="BS82" s="489">
        <v>30</v>
      </c>
      <c r="BT82" s="490">
        <v>1</v>
      </c>
      <c r="BU82" s="490">
        <v>1.1000000000000001</v>
      </c>
      <c r="BV82" s="491">
        <v>1.18</v>
      </c>
      <c r="BW82" s="490">
        <v>1.23</v>
      </c>
      <c r="BX82" s="490">
        <v>1.24</v>
      </c>
      <c r="BZ82" s="489">
        <v>30</v>
      </c>
      <c r="CA82" s="490">
        <v>1</v>
      </c>
      <c r="CB82" s="490">
        <v>1.05</v>
      </c>
      <c r="CC82" s="491">
        <v>1.08</v>
      </c>
      <c r="CD82" s="490">
        <v>1.08</v>
      </c>
      <c r="CE82" s="490">
        <v>1.06</v>
      </c>
      <c r="CG82" s="489">
        <v>30</v>
      </c>
      <c r="CH82" s="490">
        <v>1</v>
      </c>
      <c r="CI82" s="490">
        <v>1.02</v>
      </c>
      <c r="CJ82" s="491">
        <v>1.02</v>
      </c>
      <c r="CK82" s="490">
        <v>1</v>
      </c>
      <c r="CL82" s="490">
        <v>0.96</v>
      </c>
      <c r="CN82" s="489">
        <v>30</v>
      </c>
      <c r="CO82" s="490">
        <v>1</v>
      </c>
      <c r="CP82" s="490">
        <v>1</v>
      </c>
      <c r="CQ82" s="491">
        <v>0.99</v>
      </c>
      <c r="CR82" s="490">
        <v>0.95</v>
      </c>
      <c r="CS82" s="490">
        <v>0.9</v>
      </c>
    </row>
    <row r="83" spans="3:97" ht="15.75" thickBot="1" x14ac:dyDescent="0.3">
      <c r="C83" s="489">
        <v>140</v>
      </c>
      <c r="D83" s="490">
        <v>0.87</v>
      </c>
      <c r="E83" s="490">
        <v>0.83</v>
      </c>
      <c r="F83" s="490">
        <v>0.77</v>
      </c>
      <c r="G83" s="491">
        <v>0.7</v>
      </c>
      <c r="H83" s="490">
        <v>0.62</v>
      </c>
      <c r="I83" s="490">
        <v>0.55000000000000004</v>
      </c>
      <c r="J83" s="490">
        <v>0.49</v>
      </c>
      <c r="K83" s="490">
        <v>0.44</v>
      </c>
      <c r="L83" s="490">
        <v>0.39</v>
      </c>
      <c r="M83" s="490">
        <v>0.35</v>
      </c>
      <c r="O83" s="489">
        <v>40</v>
      </c>
      <c r="P83" s="490">
        <v>1</v>
      </c>
      <c r="Q83" s="490">
        <v>1.01</v>
      </c>
      <c r="R83" s="491">
        <v>1</v>
      </c>
      <c r="S83" s="490">
        <v>0.97</v>
      </c>
      <c r="T83" s="490">
        <v>0.93</v>
      </c>
      <c r="V83" s="489">
        <v>40</v>
      </c>
      <c r="W83" s="490">
        <v>1</v>
      </c>
      <c r="X83" s="490">
        <v>1.03</v>
      </c>
      <c r="Y83" s="491">
        <v>1.05</v>
      </c>
      <c r="Z83" s="490">
        <v>1.04</v>
      </c>
      <c r="AA83" s="490">
        <v>1.01</v>
      </c>
      <c r="AC83" s="489">
        <v>40</v>
      </c>
      <c r="AD83" s="490">
        <v>1</v>
      </c>
      <c r="AE83" s="490">
        <v>1.07</v>
      </c>
      <c r="AF83" s="491">
        <v>1.1200000000000001</v>
      </c>
      <c r="AG83" s="490">
        <v>1.1399999999999999</v>
      </c>
      <c r="AH83" s="490">
        <v>1.1399999999999999</v>
      </c>
      <c r="AJ83" s="489">
        <v>40</v>
      </c>
      <c r="AK83" s="490">
        <v>1</v>
      </c>
      <c r="AL83" s="490">
        <v>1.1200000000000001</v>
      </c>
      <c r="AM83" s="491">
        <v>1.21</v>
      </c>
      <c r="AN83" s="490">
        <v>1.28</v>
      </c>
      <c r="AO83" s="490">
        <v>1.31</v>
      </c>
      <c r="AQ83" s="489">
        <v>40</v>
      </c>
      <c r="AR83" s="490">
        <v>1</v>
      </c>
      <c r="AS83" s="490">
        <v>1.17</v>
      </c>
      <c r="AT83" s="491">
        <v>1.31</v>
      </c>
      <c r="AU83" s="490">
        <v>1.43</v>
      </c>
      <c r="AV83" s="490">
        <v>1.51</v>
      </c>
      <c r="AX83" s="489">
        <v>40</v>
      </c>
      <c r="AY83" s="490">
        <v>1</v>
      </c>
      <c r="AZ83" s="490">
        <v>1.19</v>
      </c>
      <c r="BA83" s="491">
        <v>1.35</v>
      </c>
      <c r="BB83" s="490">
        <v>1.49</v>
      </c>
      <c r="BC83" s="490">
        <v>1.59</v>
      </c>
      <c r="BE83" s="489">
        <v>40</v>
      </c>
      <c r="BF83" s="490">
        <v>1</v>
      </c>
      <c r="BG83" s="490">
        <v>1.18</v>
      </c>
      <c r="BH83" s="491">
        <v>1.34</v>
      </c>
      <c r="BI83" s="490">
        <v>1.46</v>
      </c>
      <c r="BJ83" s="490">
        <v>1.55</v>
      </c>
      <c r="BL83" s="489">
        <v>40</v>
      </c>
      <c r="BM83" s="490">
        <v>1</v>
      </c>
      <c r="BN83" s="490">
        <v>1.1399999999999999</v>
      </c>
      <c r="BO83" s="491">
        <v>1.26</v>
      </c>
      <c r="BP83" s="490">
        <v>1.34</v>
      </c>
      <c r="BQ83" s="490">
        <v>1.39</v>
      </c>
      <c r="BS83" s="489">
        <v>40</v>
      </c>
      <c r="BT83" s="490">
        <v>1</v>
      </c>
      <c r="BU83" s="490">
        <v>1.0900000000000001</v>
      </c>
      <c r="BV83" s="491">
        <v>1.1599999999999999</v>
      </c>
      <c r="BW83" s="490">
        <v>1.2</v>
      </c>
      <c r="BX83" s="490">
        <v>1.22</v>
      </c>
      <c r="BZ83" s="489">
        <v>40</v>
      </c>
      <c r="CA83" s="490">
        <v>1</v>
      </c>
      <c r="CB83" s="490">
        <v>1.05</v>
      </c>
      <c r="CC83" s="491">
        <v>1.07</v>
      </c>
      <c r="CD83" s="490">
        <v>1.07</v>
      </c>
      <c r="CE83" s="490">
        <v>1.05</v>
      </c>
      <c r="CG83" s="489">
        <v>40</v>
      </c>
      <c r="CH83" s="490">
        <v>1</v>
      </c>
      <c r="CI83" s="490">
        <v>1.02</v>
      </c>
      <c r="CJ83" s="491">
        <v>1.02</v>
      </c>
      <c r="CK83" s="490">
        <v>1</v>
      </c>
      <c r="CL83" s="490">
        <v>0.96</v>
      </c>
      <c r="CN83" s="489">
        <v>40</v>
      </c>
      <c r="CO83" s="490">
        <v>1</v>
      </c>
      <c r="CP83" s="490">
        <v>1</v>
      </c>
      <c r="CQ83" s="491">
        <v>0.99</v>
      </c>
      <c r="CR83" s="490">
        <v>0.95</v>
      </c>
      <c r="CS83" s="490">
        <v>0.9</v>
      </c>
    </row>
    <row r="84" spans="3:97" ht="15.75" thickBot="1" x14ac:dyDescent="0.3">
      <c r="C84" s="489">
        <v>150</v>
      </c>
      <c r="D84" s="490">
        <v>0.87</v>
      </c>
      <c r="E84" s="490">
        <v>0.82</v>
      </c>
      <c r="F84" s="490">
        <v>0.76</v>
      </c>
      <c r="G84" s="491">
        <v>0.68</v>
      </c>
      <c r="H84" s="490">
        <v>0.6</v>
      </c>
      <c r="I84" s="490">
        <v>0.52</v>
      </c>
      <c r="J84" s="490">
        <v>0.45</v>
      </c>
      <c r="K84" s="490">
        <v>0.4</v>
      </c>
      <c r="L84" s="490">
        <v>0.35</v>
      </c>
      <c r="M84" s="490">
        <v>0.32</v>
      </c>
      <c r="O84" s="489">
        <v>50</v>
      </c>
      <c r="P84" s="490">
        <v>1</v>
      </c>
      <c r="Q84" s="490">
        <v>1.01</v>
      </c>
      <c r="R84" s="491">
        <v>1</v>
      </c>
      <c r="S84" s="490">
        <v>0.97</v>
      </c>
      <c r="T84" s="490">
        <v>0.93</v>
      </c>
      <c r="V84" s="489">
        <v>50</v>
      </c>
      <c r="W84" s="490">
        <v>1</v>
      </c>
      <c r="X84" s="490">
        <v>1.03</v>
      </c>
      <c r="Y84" s="491">
        <v>1.04</v>
      </c>
      <c r="Z84" s="490">
        <v>1.03</v>
      </c>
      <c r="AA84" s="490">
        <v>1</v>
      </c>
      <c r="AC84" s="489">
        <v>50</v>
      </c>
      <c r="AD84" s="490">
        <v>1</v>
      </c>
      <c r="AE84" s="490">
        <v>1.06</v>
      </c>
      <c r="AF84" s="491">
        <v>1.1000000000000001</v>
      </c>
      <c r="AG84" s="490">
        <v>1.1100000000000001</v>
      </c>
      <c r="AH84" s="490">
        <v>1.1100000000000001</v>
      </c>
      <c r="AJ84" s="489">
        <v>50</v>
      </c>
      <c r="AK84" s="490">
        <v>1</v>
      </c>
      <c r="AL84" s="490">
        <v>1.1000000000000001</v>
      </c>
      <c r="AM84" s="491">
        <v>1.18</v>
      </c>
      <c r="AN84" s="490">
        <v>1.24</v>
      </c>
      <c r="AO84" s="490">
        <v>1.25</v>
      </c>
      <c r="AQ84" s="489">
        <v>50</v>
      </c>
      <c r="AR84" s="490">
        <v>1</v>
      </c>
      <c r="AS84" s="490">
        <v>1.1399999999999999</v>
      </c>
      <c r="AT84" s="491">
        <v>1.26</v>
      </c>
      <c r="AU84" s="490">
        <v>1.36</v>
      </c>
      <c r="AV84" s="490">
        <v>1.42</v>
      </c>
      <c r="AX84" s="489">
        <v>50</v>
      </c>
      <c r="AY84" s="490">
        <v>1</v>
      </c>
      <c r="AZ84" s="490">
        <v>1.1599999999999999</v>
      </c>
      <c r="BA84" s="491">
        <v>1.3</v>
      </c>
      <c r="BB84" s="490">
        <v>1.4</v>
      </c>
      <c r="BC84" s="490">
        <v>1.48</v>
      </c>
      <c r="BE84" s="489">
        <v>50</v>
      </c>
      <c r="BF84" s="490">
        <v>1</v>
      </c>
      <c r="BG84" s="490">
        <v>1.1499999999999999</v>
      </c>
      <c r="BH84" s="491">
        <v>1.29</v>
      </c>
      <c r="BI84" s="490">
        <v>1.38</v>
      </c>
      <c r="BJ84" s="490">
        <v>1.45</v>
      </c>
      <c r="BL84" s="489">
        <v>50</v>
      </c>
      <c r="BM84" s="490">
        <v>1</v>
      </c>
      <c r="BN84" s="490">
        <v>1.1200000000000001</v>
      </c>
      <c r="BO84" s="491">
        <v>1.21</v>
      </c>
      <c r="BP84" s="490">
        <v>1.29</v>
      </c>
      <c r="BQ84" s="490">
        <v>1.32</v>
      </c>
      <c r="BS84" s="489">
        <v>50</v>
      </c>
      <c r="BT84" s="490">
        <v>1</v>
      </c>
      <c r="BU84" s="490">
        <v>1.08</v>
      </c>
      <c r="BV84" s="491">
        <v>1.1399999999999999</v>
      </c>
      <c r="BW84" s="490">
        <v>1.17</v>
      </c>
      <c r="BX84" s="490">
        <v>1.17</v>
      </c>
      <c r="BZ84" s="489">
        <v>50</v>
      </c>
      <c r="CA84" s="490">
        <v>1</v>
      </c>
      <c r="CB84" s="490">
        <v>1.04</v>
      </c>
      <c r="CC84" s="491">
        <v>1.05</v>
      </c>
      <c r="CD84" s="490">
        <v>1.06</v>
      </c>
      <c r="CE84" s="490">
        <v>1.04</v>
      </c>
      <c r="CG84" s="489">
        <v>50</v>
      </c>
      <c r="CH84" s="490">
        <v>1</v>
      </c>
      <c r="CI84" s="490">
        <v>1.02</v>
      </c>
      <c r="CJ84" s="491">
        <v>1.02</v>
      </c>
      <c r="CK84" s="490">
        <v>1</v>
      </c>
      <c r="CL84" s="490">
        <v>0.96</v>
      </c>
      <c r="CN84" s="489">
        <v>50</v>
      </c>
      <c r="CO84" s="490">
        <v>1</v>
      </c>
      <c r="CP84" s="490">
        <v>1</v>
      </c>
      <c r="CQ84" s="491">
        <v>0.99</v>
      </c>
      <c r="CR84" s="490">
        <v>0.96</v>
      </c>
      <c r="CS84" s="490">
        <v>0.91</v>
      </c>
    </row>
    <row r="85" spans="3:97" ht="15.75" thickBot="1" x14ac:dyDescent="0.3">
      <c r="C85" s="489">
        <v>160</v>
      </c>
      <c r="D85" s="490">
        <v>0.87</v>
      </c>
      <c r="E85" s="490">
        <v>0.82</v>
      </c>
      <c r="F85" s="490">
        <v>0.75</v>
      </c>
      <c r="G85" s="491">
        <v>0.66</v>
      </c>
      <c r="H85" s="490">
        <v>0.56999999999999995</v>
      </c>
      <c r="I85" s="490">
        <v>0.5</v>
      </c>
      <c r="J85" s="490">
        <v>0.42</v>
      </c>
      <c r="K85" s="490">
        <v>0.36</v>
      </c>
      <c r="L85" s="490">
        <v>0.33</v>
      </c>
      <c r="M85" s="490">
        <v>0.28999999999999998</v>
      </c>
      <c r="O85" s="489">
        <v>60</v>
      </c>
      <c r="P85" s="490">
        <v>1</v>
      </c>
      <c r="Q85" s="490">
        <v>1.01</v>
      </c>
      <c r="R85" s="491">
        <v>1</v>
      </c>
      <c r="S85" s="490">
        <v>0.97</v>
      </c>
      <c r="T85" s="490">
        <v>0.93</v>
      </c>
      <c r="V85" s="489">
        <v>60</v>
      </c>
      <c r="W85" s="490">
        <v>1</v>
      </c>
      <c r="X85" s="490">
        <v>1.02</v>
      </c>
      <c r="Y85" s="491">
        <v>1.03</v>
      </c>
      <c r="Z85" s="490">
        <v>1.02</v>
      </c>
      <c r="AA85" s="490">
        <v>0.99</v>
      </c>
      <c r="AC85" s="489">
        <v>60</v>
      </c>
      <c r="AD85" s="490">
        <v>1</v>
      </c>
      <c r="AE85" s="490">
        <v>1.05</v>
      </c>
      <c r="AF85" s="491">
        <v>1.07</v>
      </c>
      <c r="AG85" s="490">
        <v>1.08</v>
      </c>
      <c r="AH85" s="490">
        <v>1.07</v>
      </c>
      <c r="AJ85" s="489">
        <v>60</v>
      </c>
      <c r="AK85" s="490">
        <v>1</v>
      </c>
      <c r="AL85" s="490">
        <v>1.08</v>
      </c>
      <c r="AM85" s="491">
        <v>1.1399999999999999</v>
      </c>
      <c r="AN85" s="490">
        <v>1.18</v>
      </c>
      <c r="AO85" s="490">
        <v>1.2</v>
      </c>
      <c r="AQ85" s="489">
        <v>60</v>
      </c>
      <c r="AR85" s="490">
        <v>1</v>
      </c>
      <c r="AS85" s="490">
        <v>1.1200000000000001</v>
      </c>
      <c r="AT85" s="491">
        <v>1.2</v>
      </c>
      <c r="AU85" s="490">
        <v>1.28</v>
      </c>
      <c r="AV85" s="490">
        <v>1.32</v>
      </c>
      <c r="AX85" s="489">
        <v>60</v>
      </c>
      <c r="AY85" s="490">
        <v>1</v>
      </c>
      <c r="AZ85" s="490">
        <v>1.1299999999999999</v>
      </c>
      <c r="BA85" s="491">
        <v>1.23</v>
      </c>
      <c r="BB85" s="490">
        <v>1.31</v>
      </c>
      <c r="BC85" s="490">
        <v>1.36</v>
      </c>
      <c r="BE85" s="489">
        <v>60</v>
      </c>
      <c r="BF85" s="490">
        <v>1</v>
      </c>
      <c r="BG85" s="490">
        <v>1.1200000000000001</v>
      </c>
      <c r="BH85" s="491">
        <v>1.22</v>
      </c>
      <c r="BI85" s="490">
        <v>1.3</v>
      </c>
      <c r="BJ85" s="490">
        <v>1.34</v>
      </c>
      <c r="BL85" s="489">
        <v>60</v>
      </c>
      <c r="BM85" s="490">
        <v>1</v>
      </c>
      <c r="BN85" s="490">
        <v>1.1000000000000001</v>
      </c>
      <c r="BO85" s="491">
        <v>1.17</v>
      </c>
      <c r="BP85" s="490">
        <v>1.22</v>
      </c>
      <c r="BQ85" s="490">
        <v>1.25</v>
      </c>
      <c r="BS85" s="489">
        <v>60</v>
      </c>
      <c r="BT85" s="490">
        <v>1</v>
      </c>
      <c r="BU85" s="490">
        <v>1.07</v>
      </c>
      <c r="BV85" s="491">
        <v>1.1100000000000001</v>
      </c>
      <c r="BW85" s="490">
        <v>1.1299999999999999</v>
      </c>
      <c r="BX85" s="490">
        <v>1.1299999999999999</v>
      </c>
      <c r="BZ85" s="489">
        <v>60</v>
      </c>
      <c r="CA85" s="490">
        <v>1</v>
      </c>
      <c r="CB85" s="490">
        <v>1.03</v>
      </c>
      <c r="CC85" s="491">
        <v>1.05</v>
      </c>
      <c r="CD85" s="490">
        <v>1.04</v>
      </c>
      <c r="CE85" s="490">
        <v>1.02</v>
      </c>
      <c r="CG85" s="489">
        <v>60</v>
      </c>
      <c r="CH85" s="490">
        <v>1</v>
      </c>
      <c r="CI85" s="490">
        <v>1.02</v>
      </c>
      <c r="CJ85" s="491">
        <v>1.01</v>
      </c>
      <c r="CK85" s="490">
        <v>0.99</v>
      </c>
      <c r="CL85" s="490">
        <v>0.96</v>
      </c>
      <c r="CN85" s="489">
        <v>60</v>
      </c>
      <c r="CO85" s="490">
        <v>1</v>
      </c>
      <c r="CP85" s="490">
        <v>1</v>
      </c>
      <c r="CQ85" s="491">
        <v>0.99</v>
      </c>
      <c r="CR85" s="490">
        <v>0.96</v>
      </c>
      <c r="CS85" s="490">
        <v>0.91</v>
      </c>
    </row>
    <row r="86" spans="3:97" ht="15.75" thickBot="1" x14ac:dyDescent="0.3">
      <c r="C86" s="489">
        <v>170</v>
      </c>
      <c r="D86" s="490">
        <v>0.87</v>
      </c>
      <c r="E86" s="490">
        <v>0.82</v>
      </c>
      <c r="F86" s="490">
        <v>0.74</v>
      </c>
      <c r="G86" s="491">
        <v>0.65</v>
      </c>
      <c r="H86" s="490">
        <v>0.56000000000000005</v>
      </c>
      <c r="I86" s="490">
        <v>0.48</v>
      </c>
      <c r="J86" s="490">
        <v>0.41</v>
      </c>
      <c r="K86" s="490">
        <v>0.35</v>
      </c>
      <c r="L86" s="490">
        <v>0.3</v>
      </c>
      <c r="M86" s="490">
        <v>0.28000000000000003</v>
      </c>
      <c r="O86" s="489">
        <v>70</v>
      </c>
      <c r="P86" s="490">
        <v>1</v>
      </c>
      <c r="Q86" s="490">
        <v>1.01</v>
      </c>
      <c r="R86" s="491">
        <v>1</v>
      </c>
      <c r="S86" s="490">
        <v>0.97</v>
      </c>
      <c r="T86" s="490">
        <v>0.93</v>
      </c>
      <c r="V86" s="489">
        <v>70</v>
      </c>
      <c r="W86" s="490">
        <v>1</v>
      </c>
      <c r="X86" s="490">
        <v>1.02</v>
      </c>
      <c r="Y86" s="491">
        <v>1.02</v>
      </c>
      <c r="Z86" s="490">
        <v>1</v>
      </c>
      <c r="AA86" s="490">
        <v>0.97</v>
      </c>
      <c r="AC86" s="489">
        <v>70</v>
      </c>
      <c r="AD86" s="490">
        <v>1</v>
      </c>
      <c r="AE86" s="490">
        <v>1.03</v>
      </c>
      <c r="AF86" s="491">
        <v>1.05</v>
      </c>
      <c r="AG86" s="490">
        <v>1.05</v>
      </c>
      <c r="AH86" s="490">
        <v>1.04</v>
      </c>
      <c r="AJ86" s="489">
        <v>70</v>
      </c>
      <c r="AK86" s="490">
        <v>1</v>
      </c>
      <c r="AL86" s="490">
        <v>1.06</v>
      </c>
      <c r="AM86" s="491">
        <v>1.1000000000000001</v>
      </c>
      <c r="AN86" s="490">
        <v>1.1200000000000001</v>
      </c>
      <c r="AO86" s="490">
        <v>1.1299999999999999</v>
      </c>
      <c r="AQ86" s="489">
        <v>70</v>
      </c>
      <c r="AR86" s="490">
        <v>1</v>
      </c>
      <c r="AS86" s="490">
        <v>1.08</v>
      </c>
      <c r="AT86" s="491">
        <v>1.1399999999999999</v>
      </c>
      <c r="AU86" s="490">
        <v>1.19</v>
      </c>
      <c r="AV86" s="490">
        <v>1.21</v>
      </c>
      <c r="AX86" s="489">
        <v>70</v>
      </c>
      <c r="AY86" s="490">
        <v>1</v>
      </c>
      <c r="AZ86" s="490">
        <v>1.0900000000000001</v>
      </c>
      <c r="BA86" s="491">
        <v>1.1599999999999999</v>
      </c>
      <c r="BB86" s="490">
        <v>1.21</v>
      </c>
      <c r="BC86" s="490">
        <v>1.24</v>
      </c>
      <c r="BE86" s="489">
        <v>70</v>
      </c>
      <c r="BF86" s="490">
        <v>1</v>
      </c>
      <c r="BG86" s="490">
        <v>1.0900000000000001</v>
      </c>
      <c r="BH86" s="491">
        <v>1.1499999999999999</v>
      </c>
      <c r="BI86" s="490">
        <v>1.2</v>
      </c>
      <c r="BJ86" s="490">
        <v>1.23</v>
      </c>
      <c r="BL86" s="489">
        <v>70</v>
      </c>
      <c r="BM86" s="490">
        <v>1</v>
      </c>
      <c r="BN86" s="490">
        <v>1.07</v>
      </c>
      <c r="BO86" s="491">
        <v>1.1200000000000001</v>
      </c>
      <c r="BP86" s="490">
        <v>1.1499999999999999</v>
      </c>
      <c r="BQ86" s="490">
        <v>1.1599999999999999</v>
      </c>
      <c r="BS86" s="489">
        <v>70</v>
      </c>
      <c r="BT86" s="490">
        <v>1</v>
      </c>
      <c r="BU86" s="490">
        <v>1.04</v>
      </c>
      <c r="BV86" s="491">
        <v>1.08</v>
      </c>
      <c r="BW86" s="490">
        <v>1.0900000000000001</v>
      </c>
      <c r="BX86" s="490">
        <v>1.08</v>
      </c>
      <c r="BZ86" s="489">
        <v>70</v>
      </c>
      <c r="CA86" s="490">
        <v>1</v>
      </c>
      <c r="CB86" s="490">
        <v>1.02</v>
      </c>
      <c r="CC86" s="491">
        <v>1.03</v>
      </c>
      <c r="CD86" s="490">
        <v>1.02</v>
      </c>
      <c r="CE86" s="490">
        <v>1</v>
      </c>
      <c r="CG86" s="489">
        <v>70</v>
      </c>
      <c r="CH86" s="490">
        <v>1</v>
      </c>
      <c r="CI86" s="490">
        <v>1.01</v>
      </c>
      <c r="CJ86" s="491">
        <v>1</v>
      </c>
      <c r="CK86" s="490">
        <v>0.98</v>
      </c>
      <c r="CL86" s="490">
        <v>0.95</v>
      </c>
      <c r="CN86" s="489">
        <v>70</v>
      </c>
      <c r="CO86" s="490">
        <v>1</v>
      </c>
      <c r="CP86" s="490">
        <v>1</v>
      </c>
      <c r="CQ86" s="491">
        <v>0.99</v>
      </c>
      <c r="CR86" s="490">
        <v>0.96</v>
      </c>
      <c r="CS86" s="490">
        <v>0.91</v>
      </c>
    </row>
    <row r="87" spans="3:97" ht="15.75" thickBot="1" x14ac:dyDescent="0.3">
      <c r="C87" s="489">
        <v>180</v>
      </c>
      <c r="D87" s="490">
        <v>0.87</v>
      </c>
      <c r="E87" s="490">
        <v>0.81</v>
      </c>
      <c r="F87" s="490">
        <v>0.74</v>
      </c>
      <c r="G87" s="491">
        <v>0.65</v>
      </c>
      <c r="H87" s="490">
        <v>0.56000000000000005</v>
      </c>
      <c r="I87" s="490">
        <v>0.48</v>
      </c>
      <c r="J87" s="490">
        <v>0.4</v>
      </c>
      <c r="K87" s="490">
        <v>0.34</v>
      </c>
      <c r="L87" s="490">
        <v>0.3</v>
      </c>
      <c r="M87" s="490">
        <v>0.27</v>
      </c>
      <c r="O87" s="489">
        <v>80</v>
      </c>
      <c r="P87" s="490">
        <v>1</v>
      </c>
      <c r="Q87" s="490">
        <v>1</v>
      </c>
      <c r="R87" s="491">
        <v>0.99</v>
      </c>
      <c r="S87" s="490">
        <v>0.96</v>
      </c>
      <c r="T87" s="490">
        <v>0.92</v>
      </c>
      <c r="V87" s="489">
        <v>80</v>
      </c>
      <c r="W87" s="490">
        <v>1</v>
      </c>
      <c r="X87" s="490">
        <v>1.01</v>
      </c>
      <c r="Y87" s="491">
        <v>1</v>
      </c>
      <c r="Z87" s="490">
        <v>0.99</v>
      </c>
      <c r="AA87" s="490">
        <v>0.95</v>
      </c>
      <c r="AC87" s="489">
        <v>80</v>
      </c>
      <c r="AD87" s="490">
        <v>1</v>
      </c>
      <c r="AE87" s="490">
        <v>1.02</v>
      </c>
      <c r="AF87" s="491">
        <v>1.02</v>
      </c>
      <c r="AG87" s="490">
        <v>1.01</v>
      </c>
      <c r="AH87" s="490">
        <v>0.99</v>
      </c>
      <c r="AJ87" s="489">
        <v>80</v>
      </c>
      <c r="AK87" s="490">
        <v>1</v>
      </c>
      <c r="AL87" s="490">
        <v>1.03</v>
      </c>
      <c r="AM87" s="491">
        <v>1.05</v>
      </c>
      <c r="AN87" s="490">
        <v>1.06</v>
      </c>
      <c r="AO87" s="490">
        <v>1.05</v>
      </c>
      <c r="AQ87" s="489">
        <v>80</v>
      </c>
      <c r="AR87" s="490">
        <v>1</v>
      </c>
      <c r="AS87" s="490">
        <v>1.04</v>
      </c>
      <c r="AT87" s="491">
        <v>1.08</v>
      </c>
      <c r="AU87" s="490">
        <v>1.1000000000000001</v>
      </c>
      <c r="AV87" s="490">
        <v>1.1000000000000001</v>
      </c>
      <c r="AX87" s="489">
        <v>80</v>
      </c>
      <c r="AY87" s="490">
        <v>1</v>
      </c>
      <c r="AZ87" s="490">
        <v>1.05</v>
      </c>
      <c r="BA87" s="491">
        <v>1.0900000000000001</v>
      </c>
      <c r="BB87" s="490">
        <v>1.1100000000000001</v>
      </c>
      <c r="BC87" s="490">
        <v>1.1299999999999999</v>
      </c>
      <c r="BE87" s="489">
        <v>80</v>
      </c>
      <c r="BF87" s="490">
        <v>1</v>
      </c>
      <c r="BG87" s="490">
        <v>1.05</v>
      </c>
      <c r="BH87" s="491">
        <v>1.08</v>
      </c>
      <c r="BI87" s="490">
        <v>1.1000000000000001</v>
      </c>
      <c r="BJ87" s="490">
        <v>1.1000000000000001</v>
      </c>
      <c r="BL87" s="489">
        <v>80</v>
      </c>
      <c r="BM87" s="490">
        <v>1</v>
      </c>
      <c r="BN87" s="490">
        <v>1.04</v>
      </c>
      <c r="BO87" s="491">
        <v>1.07</v>
      </c>
      <c r="BP87" s="490">
        <v>1.08</v>
      </c>
      <c r="BQ87" s="490">
        <v>1.07</v>
      </c>
      <c r="BS87" s="489">
        <v>80</v>
      </c>
      <c r="BT87" s="490">
        <v>1</v>
      </c>
      <c r="BU87" s="490">
        <v>1.03</v>
      </c>
      <c r="BV87" s="491">
        <v>1.04</v>
      </c>
      <c r="BW87" s="490">
        <v>1.04</v>
      </c>
      <c r="BX87" s="490">
        <v>1.02</v>
      </c>
      <c r="BZ87" s="489">
        <v>80</v>
      </c>
      <c r="CA87" s="490">
        <v>1</v>
      </c>
      <c r="CB87" s="490">
        <v>1.01</v>
      </c>
      <c r="CC87" s="491">
        <v>1.01</v>
      </c>
      <c r="CD87" s="490">
        <v>1</v>
      </c>
      <c r="CE87" s="490">
        <v>0.97</v>
      </c>
      <c r="CG87" s="489">
        <v>80</v>
      </c>
      <c r="CH87" s="490">
        <v>1</v>
      </c>
      <c r="CI87" s="490">
        <v>1.01</v>
      </c>
      <c r="CJ87" s="491">
        <v>1</v>
      </c>
      <c r="CK87" s="490">
        <v>0.98</v>
      </c>
      <c r="CL87" s="490">
        <v>0.94</v>
      </c>
      <c r="CN87" s="489">
        <v>80</v>
      </c>
      <c r="CO87" s="490">
        <v>1</v>
      </c>
      <c r="CP87" s="490">
        <v>1</v>
      </c>
      <c r="CQ87" s="491">
        <v>0.99</v>
      </c>
      <c r="CR87" s="490">
        <v>0.96</v>
      </c>
      <c r="CS87" s="490">
        <v>0.91</v>
      </c>
    </row>
    <row r="88" spans="3:97" ht="15.75" thickBot="1" x14ac:dyDescent="0.3">
      <c r="C88" s="489">
        <v>190</v>
      </c>
      <c r="D88" s="490">
        <v>0.87</v>
      </c>
      <c r="E88" s="490">
        <v>0.81</v>
      </c>
      <c r="F88" s="490">
        <v>0.74</v>
      </c>
      <c r="G88" s="491">
        <v>0.65</v>
      </c>
      <c r="H88" s="490">
        <v>0.56000000000000005</v>
      </c>
      <c r="I88" s="490">
        <v>0.48</v>
      </c>
      <c r="J88" s="490">
        <v>0.41</v>
      </c>
      <c r="K88" s="490">
        <v>0.35</v>
      </c>
      <c r="L88" s="490">
        <v>0.3</v>
      </c>
      <c r="M88" s="490">
        <v>0.28000000000000003</v>
      </c>
      <c r="O88" s="489">
        <v>90</v>
      </c>
      <c r="P88" s="490">
        <v>1</v>
      </c>
      <c r="Q88" s="490">
        <v>1</v>
      </c>
      <c r="R88" s="491">
        <v>0.99</v>
      </c>
      <c r="S88" s="490">
        <v>0.96</v>
      </c>
      <c r="T88" s="490">
        <v>0.91</v>
      </c>
      <c r="V88" s="489">
        <v>90</v>
      </c>
      <c r="W88" s="490">
        <v>1</v>
      </c>
      <c r="X88" s="490">
        <v>1</v>
      </c>
      <c r="Y88" s="491">
        <v>0.99</v>
      </c>
      <c r="Z88" s="490">
        <v>0.97</v>
      </c>
      <c r="AA88" s="490">
        <v>0.93</v>
      </c>
      <c r="AC88" s="489">
        <v>90</v>
      </c>
      <c r="AD88" s="490">
        <v>1</v>
      </c>
      <c r="AE88" s="490">
        <v>1</v>
      </c>
      <c r="AF88" s="491">
        <v>0.99</v>
      </c>
      <c r="AG88" s="490">
        <v>0.97</v>
      </c>
      <c r="AH88" s="490">
        <v>0.94</v>
      </c>
      <c r="AJ88" s="489">
        <v>90</v>
      </c>
      <c r="AK88" s="490">
        <v>1</v>
      </c>
      <c r="AL88" s="490">
        <v>1.01</v>
      </c>
      <c r="AM88" s="491">
        <v>1.01</v>
      </c>
      <c r="AN88" s="490">
        <v>0.99</v>
      </c>
      <c r="AO88" s="490">
        <v>0.98</v>
      </c>
      <c r="AQ88" s="489">
        <v>90</v>
      </c>
      <c r="AR88" s="490">
        <v>1</v>
      </c>
      <c r="AS88" s="490">
        <v>1.01</v>
      </c>
      <c r="AT88" s="491">
        <v>1.01</v>
      </c>
      <c r="AU88" s="490">
        <v>1</v>
      </c>
      <c r="AV88" s="490">
        <v>0.99</v>
      </c>
      <c r="AX88" s="489">
        <v>90</v>
      </c>
      <c r="AY88" s="490">
        <v>1</v>
      </c>
      <c r="AZ88" s="490">
        <v>1.01</v>
      </c>
      <c r="BA88" s="491">
        <v>1.01</v>
      </c>
      <c r="BB88" s="490">
        <v>1.01</v>
      </c>
      <c r="BC88" s="490">
        <v>1</v>
      </c>
      <c r="BE88" s="489">
        <v>90</v>
      </c>
      <c r="BF88" s="490">
        <v>1</v>
      </c>
      <c r="BG88" s="490">
        <v>1.01</v>
      </c>
      <c r="BH88" s="491">
        <v>1.01</v>
      </c>
      <c r="BI88" s="490">
        <v>1</v>
      </c>
      <c r="BJ88" s="490">
        <v>0.99</v>
      </c>
      <c r="BL88" s="489">
        <v>90</v>
      </c>
      <c r="BM88" s="490">
        <v>1</v>
      </c>
      <c r="BN88" s="490">
        <v>1.01</v>
      </c>
      <c r="BO88" s="491">
        <v>1.01</v>
      </c>
      <c r="BP88" s="490">
        <v>1</v>
      </c>
      <c r="BQ88" s="490">
        <v>0.99</v>
      </c>
      <c r="BS88" s="489">
        <v>90</v>
      </c>
      <c r="BT88" s="490">
        <v>1</v>
      </c>
      <c r="BU88" s="490">
        <v>1.01</v>
      </c>
      <c r="BV88" s="491">
        <v>1.01</v>
      </c>
      <c r="BW88" s="490">
        <v>0.99</v>
      </c>
      <c r="BX88" s="490">
        <v>0.96</v>
      </c>
      <c r="BZ88" s="489">
        <v>90</v>
      </c>
      <c r="CA88" s="490">
        <v>1</v>
      </c>
      <c r="CB88" s="490">
        <v>1</v>
      </c>
      <c r="CC88" s="491">
        <v>0.99</v>
      </c>
      <c r="CD88" s="490">
        <v>0.97</v>
      </c>
      <c r="CE88" s="490">
        <v>0.93</v>
      </c>
      <c r="CG88" s="489">
        <v>90</v>
      </c>
      <c r="CH88" s="490">
        <v>1</v>
      </c>
      <c r="CI88" s="490">
        <v>1</v>
      </c>
      <c r="CJ88" s="491">
        <v>0.99</v>
      </c>
      <c r="CK88" s="490">
        <v>0.96</v>
      </c>
      <c r="CL88" s="490">
        <v>0.93</v>
      </c>
      <c r="CN88" s="489">
        <v>90</v>
      </c>
      <c r="CO88" s="490">
        <v>1</v>
      </c>
      <c r="CP88" s="490">
        <v>1</v>
      </c>
      <c r="CQ88" s="491">
        <v>0.98</v>
      </c>
      <c r="CR88" s="490">
        <v>0.95</v>
      </c>
      <c r="CS88" s="490">
        <v>0.91</v>
      </c>
    </row>
    <row r="89" spans="3:97" ht="15.75" thickBot="1" x14ac:dyDescent="0.3">
      <c r="C89" s="489">
        <v>200</v>
      </c>
      <c r="D89" s="490">
        <v>0.87</v>
      </c>
      <c r="E89" s="490">
        <v>0.82</v>
      </c>
      <c r="F89" s="490">
        <v>0.74</v>
      </c>
      <c r="G89" s="491">
        <v>0.66</v>
      </c>
      <c r="H89" s="490">
        <v>0.56999999999999995</v>
      </c>
      <c r="I89" s="490">
        <v>0.5</v>
      </c>
      <c r="J89" s="490">
        <v>0.42</v>
      </c>
      <c r="K89" s="490">
        <v>0.36</v>
      </c>
      <c r="L89" s="490">
        <v>0.32</v>
      </c>
      <c r="M89" s="490">
        <v>0.28999999999999998</v>
      </c>
      <c r="P89" s="492"/>
      <c r="Q89" s="492"/>
      <c r="R89" s="492"/>
      <c r="S89" s="492"/>
      <c r="T89" s="492"/>
      <c r="W89" s="492"/>
      <c r="X89" s="492"/>
      <c r="Y89" s="492"/>
      <c r="Z89" s="492"/>
      <c r="AA89" s="492"/>
      <c r="AD89" s="492"/>
      <c r="AE89" s="492"/>
      <c r="AF89" s="492"/>
      <c r="AG89" s="492"/>
      <c r="AH89" s="492"/>
      <c r="AK89" s="492"/>
      <c r="AL89" s="492"/>
      <c r="AM89" s="492"/>
      <c r="AN89" s="492"/>
      <c r="AO89" s="492"/>
      <c r="AR89" s="492"/>
      <c r="AS89" s="492"/>
      <c r="AT89" s="492"/>
      <c r="AU89" s="492"/>
      <c r="AV89" s="492"/>
      <c r="AY89" s="492"/>
      <c r="AZ89" s="492"/>
      <c r="BA89" s="492"/>
      <c r="BB89" s="492"/>
      <c r="BC89" s="492"/>
      <c r="BF89" s="492"/>
      <c r="BG89" s="492"/>
      <c r="BH89" s="492"/>
      <c r="BI89" s="492"/>
      <c r="BJ89" s="492"/>
      <c r="BM89" s="492"/>
      <c r="BN89" s="492"/>
      <c r="BO89" s="492"/>
      <c r="BP89" s="492"/>
      <c r="BQ89" s="492"/>
      <c r="BT89" s="492"/>
      <c r="BU89" s="492"/>
      <c r="BV89" s="492"/>
      <c r="BW89" s="492"/>
      <c r="BX89" s="492"/>
      <c r="CA89" s="492"/>
      <c r="CB89" s="492"/>
      <c r="CC89" s="492"/>
      <c r="CD89" s="492"/>
      <c r="CE89" s="492"/>
      <c r="CH89" s="492"/>
      <c r="CI89" s="492"/>
      <c r="CJ89" s="492"/>
      <c r="CK89" s="492"/>
      <c r="CL89" s="492"/>
      <c r="CO89" s="492"/>
      <c r="CP89" s="492"/>
      <c r="CQ89" s="492"/>
      <c r="CR89" s="492"/>
      <c r="CS89" s="492"/>
    </row>
    <row r="90" spans="3:97" ht="15.75" thickBot="1" x14ac:dyDescent="0.3">
      <c r="C90" s="489">
        <v>210</v>
      </c>
      <c r="D90" s="490">
        <v>0.87</v>
      </c>
      <c r="E90" s="490">
        <v>0.82</v>
      </c>
      <c r="F90" s="490">
        <v>0.75</v>
      </c>
      <c r="G90" s="491">
        <v>0.67</v>
      </c>
      <c r="H90" s="490">
        <v>0.59</v>
      </c>
      <c r="I90" s="490">
        <v>0.52</v>
      </c>
      <c r="J90" s="490">
        <v>0.45</v>
      </c>
      <c r="K90" s="490">
        <v>0.4</v>
      </c>
      <c r="L90" s="490">
        <v>0.35</v>
      </c>
      <c r="M90" s="490">
        <v>0.32</v>
      </c>
      <c r="P90" s="492"/>
      <c r="Q90" s="492"/>
      <c r="R90" s="492"/>
      <c r="S90" s="492"/>
      <c r="T90" s="492"/>
      <c r="W90" s="492"/>
      <c r="X90" s="492"/>
      <c r="Y90" s="492"/>
      <c r="Z90" s="492"/>
      <c r="AA90" s="492"/>
      <c r="AD90" s="492"/>
      <c r="AE90" s="492"/>
      <c r="AF90" s="492"/>
      <c r="AG90" s="492"/>
      <c r="AH90" s="492"/>
      <c r="AK90" s="492"/>
      <c r="AL90" s="492"/>
      <c r="AM90" s="492"/>
      <c r="AN90" s="492"/>
      <c r="AO90" s="492"/>
      <c r="AR90" s="492"/>
      <c r="AS90" s="492"/>
      <c r="AT90" s="492"/>
      <c r="AU90" s="492"/>
      <c r="AV90" s="492"/>
      <c r="AY90" s="492"/>
      <c r="AZ90" s="492"/>
      <c r="BA90" s="492"/>
      <c r="BB90" s="492"/>
      <c r="BC90" s="492"/>
      <c r="BF90" s="492"/>
      <c r="BG90" s="492"/>
      <c r="BH90" s="492"/>
      <c r="BI90" s="492"/>
      <c r="BJ90" s="492"/>
      <c r="BM90" s="492"/>
      <c r="BN90" s="492"/>
      <c r="BO90" s="492"/>
      <c r="BP90" s="492"/>
      <c r="BQ90" s="492"/>
      <c r="BT90" s="492"/>
      <c r="BU90" s="492"/>
      <c r="BV90" s="492"/>
      <c r="BW90" s="492"/>
      <c r="BX90" s="492"/>
      <c r="CA90" s="492"/>
      <c r="CB90" s="492"/>
      <c r="CC90" s="492"/>
      <c r="CD90" s="492"/>
      <c r="CE90" s="492"/>
      <c r="CH90" s="492"/>
      <c r="CI90" s="492"/>
      <c r="CJ90" s="492"/>
      <c r="CK90" s="492"/>
      <c r="CL90" s="492"/>
      <c r="CO90" s="492"/>
      <c r="CP90" s="492"/>
      <c r="CQ90" s="492"/>
      <c r="CR90" s="492"/>
      <c r="CS90" s="492"/>
    </row>
    <row r="91" spans="3:97" ht="15.75" thickBot="1" x14ac:dyDescent="0.3">
      <c r="C91" s="489">
        <v>220</v>
      </c>
      <c r="D91" s="490">
        <v>0.87</v>
      </c>
      <c r="E91" s="490">
        <v>0.83</v>
      </c>
      <c r="F91" s="490">
        <v>0.77</v>
      </c>
      <c r="G91" s="491">
        <v>0.69</v>
      </c>
      <c r="H91" s="490">
        <v>0.62</v>
      </c>
      <c r="I91" s="490">
        <v>0.55000000000000004</v>
      </c>
      <c r="J91" s="490">
        <v>0.49</v>
      </c>
      <c r="K91" s="490">
        <v>0.43</v>
      </c>
      <c r="L91" s="490">
        <v>0.39</v>
      </c>
      <c r="M91" s="490">
        <v>0.35</v>
      </c>
      <c r="P91" s="492"/>
      <c r="Q91" s="492"/>
      <c r="R91" s="492"/>
      <c r="S91" s="492"/>
      <c r="T91" s="492"/>
      <c r="W91" s="492"/>
      <c r="X91" s="492"/>
      <c r="Y91" s="492"/>
      <c r="Z91" s="492"/>
      <c r="AA91" s="492"/>
      <c r="AD91" s="492"/>
      <c r="AE91" s="492"/>
      <c r="AF91" s="492"/>
      <c r="AG91" s="492"/>
      <c r="AH91" s="492"/>
      <c r="AK91" s="492"/>
      <c r="AL91" s="492"/>
      <c r="AM91" s="492"/>
      <c r="AN91" s="492"/>
      <c r="AO91" s="492"/>
      <c r="AR91" s="492"/>
      <c r="AS91" s="492"/>
      <c r="AT91" s="492"/>
      <c r="AU91" s="492"/>
      <c r="AV91" s="492"/>
      <c r="AY91" s="492"/>
      <c r="AZ91" s="492"/>
      <c r="BA91" s="492"/>
      <c r="BB91" s="492"/>
      <c r="BC91" s="492"/>
      <c r="BF91" s="492"/>
      <c r="BG91" s="492"/>
      <c r="BH91" s="492"/>
      <c r="BI91" s="492"/>
      <c r="BJ91" s="492"/>
      <c r="BM91" s="492"/>
      <c r="BN91" s="492"/>
      <c r="BO91" s="492"/>
      <c r="BP91" s="492"/>
      <c r="BQ91" s="492"/>
      <c r="BT91" s="492"/>
      <c r="BU91" s="492"/>
      <c r="BV91" s="492"/>
      <c r="BW91" s="492"/>
      <c r="BX91" s="492"/>
      <c r="CA91" s="492"/>
      <c r="CB91" s="492"/>
      <c r="CC91" s="492"/>
      <c r="CD91" s="492"/>
      <c r="CE91" s="492"/>
      <c r="CH91" s="492"/>
      <c r="CI91" s="492"/>
      <c r="CJ91" s="492"/>
      <c r="CK91" s="492"/>
      <c r="CL91" s="492"/>
      <c r="CO91" s="492"/>
      <c r="CP91" s="492"/>
      <c r="CQ91" s="492"/>
      <c r="CR91" s="492"/>
      <c r="CS91" s="492"/>
    </row>
    <row r="92" spans="3:97" ht="15.75" thickBot="1" x14ac:dyDescent="0.3">
      <c r="C92" s="489">
        <v>230</v>
      </c>
      <c r="D92" s="490">
        <v>0.87</v>
      </c>
      <c r="E92" s="490">
        <v>0.84</v>
      </c>
      <c r="F92" s="490">
        <v>0.78</v>
      </c>
      <c r="G92" s="491">
        <v>0.72</v>
      </c>
      <c r="H92" s="490">
        <v>0.65</v>
      </c>
      <c r="I92" s="490">
        <v>0.59</v>
      </c>
      <c r="J92" s="490">
        <v>0.53</v>
      </c>
      <c r="K92" s="490">
        <v>0.48</v>
      </c>
      <c r="L92" s="490">
        <v>0.43</v>
      </c>
      <c r="M92" s="490">
        <v>0.38</v>
      </c>
      <c r="P92" s="492"/>
      <c r="Q92" s="492"/>
      <c r="R92" s="492"/>
      <c r="S92" s="492"/>
      <c r="T92" s="492"/>
      <c r="W92" s="492"/>
      <c r="X92" s="492"/>
      <c r="Y92" s="492"/>
      <c r="Z92" s="492"/>
      <c r="AA92" s="492"/>
      <c r="AD92" s="492"/>
      <c r="AE92" s="492"/>
      <c r="AF92" s="492"/>
      <c r="AG92" s="492"/>
      <c r="AH92" s="492"/>
      <c r="AK92" s="492"/>
      <c r="AL92" s="492"/>
      <c r="AM92" s="492"/>
      <c r="AN92" s="492"/>
      <c r="AO92" s="492"/>
      <c r="AR92" s="492"/>
      <c r="AS92" s="492"/>
      <c r="AT92" s="492"/>
      <c r="AU92" s="492"/>
      <c r="AV92" s="492"/>
      <c r="AY92" s="492"/>
      <c r="AZ92" s="492"/>
      <c r="BA92" s="492"/>
      <c r="BB92" s="492"/>
      <c r="BC92" s="492"/>
      <c r="BF92" s="492"/>
      <c r="BG92" s="492"/>
      <c r="BH92" s="492"/>
      <c r="BI92" s="492"/>
      <c r="BJ92" s="492"/>
      <c r="BM92" s="492"/>
      <c r="BN92" s="492"/>
      <c r="BO92" s="492"/>
      <c r="BP92" s="492"/>
      <c r="BQ92" s="492"/>
      <c r="BT92" s="492"/>
      <c r="BU92" s="492"/>
      <c r="BV92" s="492"/>
      <c r="BW92" s="492"/>
      <c r="BX92" s="492"/>
      <c r="CA92" s="492"/>
      <c r="CB92" s="492"/>
      <c r="CC92" s="492"/>
      <c r="CD92" s="492"/>
      <c r="CE92" s="492"/>
      <c r="CH92" s="492"/>
      <c r="CI92" s="492"/>
      <c r="CJ92" s="492"/>
      <c r="CK92" s="492"/>
      <c r="CL92" s="492"/>
      <c r="CO92" s="492"/>
      <c r="CP92" s="492"/>
      <c r="CQ92" s="492"/>
      <c r="CR92" s="492"/>
      <c r="CS92" s="492"/>
    </row>
    <row r="93" spans="3:97" ht="15.75" thickBot="1" x14ac:dyDescent="0.3">
      <c r="C93" s="489">
        <v>240</v>
      </c>
      <c r="D93" s="490">
        <v>0.87</v>
      </c>
      <c r="E93" s="490">
        <v>0.84</v>
      </c>
      <c r="F93" s="490">
        <v>0.8</v>
      </c>
      <c r="G93" s="491">
        <v>0.74</v>
      </c>
      <c r="H93" s="490">
        <v>0.68</v>
      </c>
      <c r="I93" s="490">
        <v>0.63</v>
      </c>
      <c r="J93" s="490">
        <v>0.56999999999999995</v>
      </c>
      <c r="K93" s="490">
        <v>0.52</v>
      </c>
      <c r="L93" s="490">
        <v>0.47</v>
      </c>
      <c r="M93" s="490">
        <v>0.41</v>
      </c>
      <c r="P93" s="492"/>
      <c r="Q93" s="492"/>
      <c r="R93" s="492"/>
      <c r="S93" s="492"/>
      <c r="T93" s="492"/>
      <c r="W93" s="492"/>
      <c r="X93" s="492"/>
      <c r="Y93" s="492"/>
      <c r="Z93" s="492"/>
      <c r="AA93" s="492"/>
      <c r="AD93" s="492"/>
      <c r="AE93" s="492"/>
      <c r="AF93" s="492"/>
      <c r="AG93" s="492"/>
      <c r="AH93" s="492"/>
      <c r="AK93" s="492"/>
      <c r="AL93" s="492"/>
      <c r="AM93" s="492"/>
      <c r="AN93" s="492"/>
      <c r="AO93" s="492"/>
      <c r="AR93" s="492"/>
      <c r="AS93" s="492"/>
      <c r="AT93" s="492"/>
      <c r="AU93" s="492"/>
      <c r="AV93" s="492"/>
      <c r="AY93" s="492"/>
      <c r="AZ93" s="492"/>
      <c r="BA93" s="492"/>
      <c r="BB93" s="492"/>
      <c r="BC93" s="492"/>
      <c r="BF93" s="492"/>
      <c r="BG93" s="492"/>
      <c r="BH93" s="492"/>
      <c r="BI93" s="492"/>
      <c r="BJ93" s="492"/>
      <c r="BM93" s="492"/>
      <c r="BN93" s="492"/>
      <c r="BO93" s="492"/>
      <c r="BP93" s="492"/>
      <c r="BQ93" s="492"/>
      <c r="BT93" s="492"/>
      <c r="BU93" s="492"/>
      <c r="BV93" s="492"/>
      <c r="BW93" s="492"/>
      <c r="BX93" s="492"/>
      <c r="CA93" s="492"/>
      <c r="CB93" s="492"/>
      <c r="CC93" s="492"/>
      <c r="CD93" s="492"/>
      <c r="CE93" s="492"/>
      <c r="CH93" s="492"/>
      <c r="CI93" s="492"/>
      <c r="CJ93" s="492"/>
      <c r="CK93" s="492"/>
      <c r="CL93" s="492"/>
      <c r="CO93" s="492"/>
      <c r="CP93" s="492"/>
      <c r="CQ93" s="492"/>
      <c r="CR93" s="492"/>
      <c r="CS93" s="492"/>
    </row>
    <row r="94" spans="3:97" ht="15.75" thickBot="1" x14ac:dyDescent="0.3">
      <c r="C94" s="489">
        <v>250</v>
      </c>
      <c r="D94" s="490">
        <v>0.87</v>
      </c>
      <c r="E94" s="490">
        <v>0.85</v>
      </c>
      <c r="F94" s="490">
        <v>0.82</v>
      </c>
      <c r="G94" s="491">
        <v>0.77</v>
      </c>
      <c r="H94" s="490">
        <v>0.72</v>
      </c>
      <c r="I94" s="490">
        <v>0.67</v>
      </c>
      <c r="J94" s="490">
        <v>0.62</v>
      </c>
      <c r="K94" s="490">
        <v>0.56000000000000005</v>
      </c>
      <c r="L94" s="490">
        <v>0.51</v>
      </c>
      <c r="M94" s="490">
        <v>0.45</v>
      </c>
      <c r="P94" s="492"/>
      <c r="Q94" s="492"/>
      <c r="R94" s="492"/>
      <c r="S94" s="492"/>
      <c r="T94" s="492"/>
      <c r="W94" s="492"/>
      <c r="X94" s="492"/>
      <c r="Y94" s="492"/>
      <c r="Z94" s="492"/>
      <c r="AA94" s="492"/>
      <c r="AD94" s="492"/>
      <c r="AE94" s="492"/>
      <c r="AF94" s="492"/>
      <c r="AG94" s="492"/>
      <c r="AH94" s="492"/>
      <c r="AK94" s="492"/>
      <c r="AL94" s="492"/>
      <c r="AM94" s="492"/>
      <c r="AN94" s="492"/>
      <c r="AO94" s="492"/>
      <c r="AR94" s="492"/>
      <c r="AS94" s="492"/>
      <c r="AT94" s="492"/>
      <c r="AU94" s="492"/>
      <c r="AV94" s="492"/>
      <c r="AY94" s="492"/>
      <c r="AZ94" s="492"/>
      <c r="BA94" s="492"/>
      <c r="BB94" s="492"/>
      <c r="BC94" s="492"/>
      <c r="BF94" s="492"/>
      <c r="BG94" s="492"/>
      <c r="BH94" s="492"/>
      <c r="BI94" s="492"/>
      <c r="BJ94" s="492"/>
      <c r="BM94" s="492"/>
      <c r="BN94" s="492"/>
      <c r="BO94" s="492"/>
      <c r="BP94" s="492"/>
      <c r="BQ94" s="492"/>
      <c r="BT94" s="492"/>
      <c r="BU94" s="492"/>
      <c r="BV94" s="492"/>
      <c r="BW94" s="492"/>
      <c r="BX94" s="492"/>
      <c r="CA94" s="492"/>
      <c r="CB94" s="492"/>
      <c r="CC94" s="492"/>
      <c r="CD94" s="492"/>
      <c r="CE94" s="492"/>
      <c r="CH94" s="492"/>
      <c r="CI94" s="492"/>
      <c r="CJ94" s="492"/>
      <c r="CK94" s="492"/>
      <c r="CL94" s="492"/>
      <c r="CO94" s="492"/>
      <c r="CP94" s="492"/>
      <c r="CQ94" s="492"/>
      <c r="CR94" s="492"/>
      <c r="CS94" s="492"/>
    </row>
    <row r="95" spans="3:97" ht="15.75" thickBot="1" x14ac:dyDescent="0.3">
      <c r="C95" s="489">
        <v>260</v>
      </c>
      <c r="D95" s="490">
        <v>0.87</v>
      </c>
      <c r="E95" s="490">
        <v>0.86</v>
      </c>
      <c r="F95" s="490">
        <v>0.84</v>
      </c>
      <c r="G95" s="491">
        <v>0.8</v>
      </c>
      <c r="H95" s="490">
        <v>0.76</v>
      </c>
      <c r="I95" s="490">
        <v>0.71</v>
      </c>
      <c r="J95" s="490">
        <v>0.66</v>
      </c>
      <c r="K95" s="490">
        <v>0.61</v>
      </c>
      <c r="L95" s="490">
        <v>0.55000000000000004</v>
      </c>
      <c r="M95" s="490">
        <v>0.49</v>
      </c>
      <c r="P95" s="492"/>
      <c r="Q95" s="492"/>
      <c r="R95" s="492"/>
      <c r="S95" s="492"/>
      <c r="T95" s="492"/>
      <c r="W95" s="492"/>
      <c r="X95" s="492"/>
      <c r="Y95" s="492"/>
      <c r="Z95" s="492"/>
      <c r="AA95" s="492"/>
      <c r="AD95" s="492"/>
      <c r="AE95" s="492"/>
      <c r="AF95" s="492"/>
      <c r="AG95" s="492"/>
      <c r="AH95" s="492"/>
      <c r="AK95" s="492"/>
      <c r="AL95" s="492"/>
      <c r="AM95" s="492"/>
      <c r="AN95" s="492"/>
      <c r="AO95" s="492"/>
      <c r="AR95" s="492"/>
      <c r="AS95" s="492"/>
      <c r="AT95" s="492"/>
      <c r="AU95" s="492"/>
      <c r="AV95" s="492"/>
      <c r="AY95" s="492"/>
      <c r="AZ95" s="492"/>
      <c r="BA95" s="492"/>
      <c r="BB95" s="492"/>
      <c r="BC95" s="492"/>
      <c r="BF95" s="492"/>
      <c r="BG95" s="492"/>
      <c r="BH95" s="492"/>
      <c r="BI95" s="492"/>
      <c r="BJ95" s="492"/>
      <c r="BM95" s="492"/>
      <c r="BN95" s="492"/>
      <c r="BO95" s="492"/>
      <c r="BP95" s="492"/>
      <c r="BQ95" s="492"/>
      <c r="BT95" s="492"/>
      <c r="BU95" s="492"/>
      <c r="BV95" s="492"/>
      <c r="BW95" s="492"/>
      <c r="BX95" s="492"/>
      <c r="CA95" s="492"/>
      <c r="CB95" s="492"/>
      <c r="CC95" s="492"/>
      <c r="CD95" s="492"/>
      <c r="CE95" s="492"/>
      <c r="CH95" s="492"/>
      <c r="CI95" s="492"/>
      <c r="CJ95" s="492"/>
      <c r="CK95" s="492"/>
      <c r="CL95" s="492"/>
      <c r="CO95" s="492"/>
      <c r="CP95" s="492"/>
      <c r="CQ95" s="492"/>
      <c r="CR95" s="492"/>
      <c r="CS95" s="492"/>
    </row>
    <row r="96" spans="3:97" ht="15.75" thickBot="1" x14ac:dyDescent="0.3">
      <c r="C96" s="489">
        <v>270</v>
      </c>
      <c r="D96" s="490">
        <v>0.87</v>
      </c>
      <c r="E96" s="490">
        <v>0.87</v>
      </c>
      <c r="F96" s="490">
        <v>0.86</v>
      </c>
      <c r="G96" s="491">
        <v>0.83</v>
      </c>
      <c r="H96" s="490">
        <v>0.79</v>
      </c>
      <c r="I96" s="490">
        <v>0.75</v>
      </c>
      <c r="J96" s="490">
        <v>0.7</v>
      </c>
      <c r="K96" s="490">
        <v>0.65</v>
      </c>
      <c r="L96" s="490">
        <v>0.59</v>
      </c>
      <c r="M96" s="490">
        <v>0.52</v>
      </c>
      <c r="P96" s="492"/>
      <c r="Q96" s="492"/>
      <c r="R96" s="492"/>
      <c r="S96" s="492"/>
      <c r="T96" s="492"/>
      <c r="W96" s="492"/>
      <c r="X96" s="492"/>
      <c r="Y96" s="492"/>
      <c r="Z96" s="492"/>
      <c r="AA96" s="492"/>
      <c r="AD96" s="492"/>
      <c r="AE96" s="492"/>
      <c r="AF96" s="492"/>
      <c r="AG96" s="492"/>
      <c r="AH96" s="492"/>
      <c r="AK96" s="492"/>
      <c r="AL96" s="492"/>
      <c r="AM96" s="492"/>
      <c r="AN96" s="492"/>
      <c r="AO96" s="492"/>
      <c r="AR96" s="492"/>
      <c r="AS96" s="492"/>
      <c r="AT96" s="492"/>
      <c r="AU96" s="492"/>
      <c r="AV96" s="492"/>
      <c r="AY96" s="492"/>
      <c r="AZ96" s="492"/>
      <c r="BA96" s="492"/>
      <c r="BB96" s="492"/>
      <c r="BC96" s="492"/>
      <c r="BF96" s="492"/>
      <c r="BG96" s="492"/>
      <c r="BH96" s="492"/>
      <c r="BI96" s="492"/>
      <c r="BJ96" s="492"/>
      <c r="BM96" s="492"/>
      <c r="BN96" s="492"/>
      <c r="BO96" s="492"/>
      <c r="BP96" s="492"/>
      <c r="BQ96" s="492"/>
      <c r="BT96" s="492"/>
      <c r="BU96" s="492"/>
      <c r="BV96" s="492"/>
      <c r="BW96" s="492"/>
      <c r="BX96" s="492"/>
      <c r="CA96" s="492"/>
      <c r="CB96" s="492"/>
      <c r="CC96" s="492"/>
      <c r="CD96" s="492"/>
      <c r="CE96" s="492"/>
      <c r="CH96" s="492"/>
      <c r="CI96" s="492"/>
      <c r="CJ96" s="492"/>
      <c r="CK96" s="492"/>
      <c r="CL96" s="492"/>
      <c r="CO96" s="492"/>
      <c r="CP96" s="492"/>
      <c r="CQ96" s="492"/>
      <c r="CR96" s="492"/>
      <c r="CS96" s="492"/>
    </row>
    <row r="97" spans="3:97" ht="15.75" thickBot="1" x14ac:dyDescent="0.3">
      <c r="C97" s="489">
        <v>280</v>
      </c>
      <c r="D97" s="490">
        <v>0.87</v>
      </c>
      <c r="E97" s="490">
        <v>0.89</v>
      </c>
      <c r="F97" s="490">
        <v>0.88</v>
      </c>
      <c r="G97" s="491">
        <v>0.86</v>
      </c>
      <c r="H97" s="490">
        <v>0.83</v>
      </c>
      <c r="I97" s="490">
        <v>0.79</v>
      </c>
      <c r="J97" s="490">
        <v>0.74</v>
      </c>
      <c r="K97" s="490">
        <v>0.68</v>
      </c>
      <c r="L97" s="490">
        <v>0.62</v>
      </c>
      <c r="M97" s="490">
        <v>0.55000000000000004</v>
      </c>
      <c r="P97" s="492"/>
      <c r="Q97" s="492"/>
      <c r="R97" s="492"/>
      <c r="S97" s="492"/>
      <c r="T97" s="492"/>
      <c r="W97" s="492"/>
      <c r="X97" s="492"/>
      <c r="Y97" s="492"/>
      <c r="Z97" s="492"/>
      <c r="AA97" s="492"/>
      <c r="AD97" s="492"/>
      <c r="AE97" s="492"/>
      <c r="AF97" s="492"/>
      <c r="AG97" s="492"/>
      <c r="AH97" s="492"/>
      <c r="AK97" s="492"/>
      <c r="AL97" s="492"/>
      <c r="AM97" s="492"/>
      <c r="AN97" s="492"/>
      <c r="AO97" s="492"/>
      <c r="AR97" s="492"/>
      <c r="AS97" s="492"/>
      <c r="AT97" s="492"/>
      <c r="AU97" s="492"/>
      <c r="AV97" s="492"/>
      <c r="AY97" s="492"/>
      <c r="AZ97" s="492"/>
      <c r="BA97" s="492"/>
      <c r="BB97" s="492"/>
      <c r="BC97" s="492"/>
      <c r="BF97" s="492"/>
      <c r="BG97" s="492"/>
      <c r="BH97" s="492"/>
      <c r="BI97" s="492"/>
      <c r="BJ97" s="492"/>
      <c r="BM97" s="492"/>
      <c r="BN97" s="492"/>
      <c r="BO97" s="492"/>
      <c r="BP97" s="492"/>
      <c r="BQ97" s="492"/>
      <c r="BT97" s="492"/>
      <c r="BU97" s="492"/>
      <c r="BV97" s="492"/>
      <c r="BW97" s="492"/>
      <c r="BX97" s="492"/>
      <c r="CA97" s="492"/>
      <c r="CB97" s="492"/>
      <c r="CC97" s="492"/>
      <c r="CD97" s="492"/>
      <c r="CE97" s="492"/>
      <c r="CH97" s="492"/>
      <c r="CI97" s="492"/>
      <c r="CJ97" s="492"/>
      <c r="CK97" s="492"/>
      <c r="CL97" s="492"/>
      <c r="CO97" s="492"/>
      <c r="CP97" s="492"/>
      <c r="CQ97" s="492"/>
      <c r="CR97" s="492"/>
      <c r="CS97" s="492"/>
    </row>
    <row r="98" spans="3:97" ht="15.75" thickBot="1" x14ac:dyDescent="0.3">
      <c r="C98" s="489">
        <v>290</v>
      </c>
      <c r="D98" s="490">
        <v>0.87</v>
      </c>
      <c r="E98" s="490">
        <v>0.9</v>
      </c>
      <c r="F98" s="490">
        <v>0.9</v>
      </c>
      <c r="G98" s="491">
        <v>0.89</v>
      </c>
      <c r="H98" s="490">
        <v>0.86</v>
      </c>
      <c r="I98" s="490">
        <v>0.82</v>
      </c>
      <c r="J98" s="490">
        <v>0.77</v>
      </c>
      <c r="K98" s="490">
        <v>0.71</v>
      </c>
      <c r="L98" s="490">
        <v>0.65</v>
      </c>
      <c r="M98" s="490">
        <v>0.57999999999999996</v>
      </c>
      <c r="P98" s="492"/>
      <c r="Q98" s="492"/>
      <c r="R98" s="492"/>
      <c r="S98" s="492"/>
      <c r="T98" s="492"/>
      <c r="W98" s="492"/>
      <c r="X98" s="492"/>
      <c r="Y98" s="492"/>
      <c r="Z98" s="492"/>
      <c r="AA98" s="492"/>
      <c r="AD98" s="492"/>
      <c r="AE98" s="492"/>
      <c r="AF98" s="492"/>
      <c r="AG98" s="492"/>
      <c r="AH98" s="492"/>
      <c r="AK98" s="492"/>
      <c r="AL98" s="492"/>
      <c r="AM98" s="492"/>
      <c r="AN98" s="492"/>
      <c r="AO98" s="492"/>
      <c r="AR98" s="492"/>
      <c r="AS98" s="492"/>
      <c r="AT98" s="492"/>
      <c r="AU98" s="492"/>
      <c r="AV98" s="492"/>
      <c r="AY98" s="492"/>
      <c r="AZ98" s="492"/>
      <c r="BA98" s="492"/>
      <c r="BB98" s="492"/>
      <c r="BC98" s="492"/>
      <c r="BF98" s="492"/>
      <c r="BG98" s="492"/>
      <c r="BH98" s="492"/>
      <c r="BI98" s="492"/>
      <c r="BJ98" s="492"/>
      <c r="BM98" s="492"/>
      <c r="BN98" s="492"/>
      <c r="BO98" s="492"/>
      <c r="BP98" s="492"/>
      <c r="BQ98" s="492"/>
      <c r="BT98" s="492"/>
      <c r="BU98" s="492"/>
      <c r="BV98" s="492"/>
      <c r="BW98" s="492"/>
      <c r="BX98" s="492"/>
      <c r="CA98" s="492"/>
      <c r="CB98" s="492"/>
      <c r="CC98" s="492"/>
      <c r="CD98" s="492"/>
      <c r="CE98" s="492"/>
      <c r="CH98" s="492"/>
      <c r="CI98" s="492"/>
      <c r="CJ98" s="492"/>
      <c r="CK98" s="492"/>
      <c r="CL98" s="492"/>
      <c r="CO98" s="492"/>
      <c r="CP98" s="492"/>
      <c r="CQ98" s="492"/>
      <c r="CR98" s="492"/>
      <c r="CS98" s="492"/>
    </row>
    <row r="99" spans="3:97" ht="15.75" thickBot="1" x14ac:dyDescent="0.3">
      <c r="C99" s="489">
        <v>300</v>
      </c>
      <c r="D99" s="490">
        <v>0.87</v>
      </c>
      <c r="E99" s="490">
        <v>0.91</v>
      </c>
      <c r="F99" s="490">
        <v>0.92</v>
      </c>
      <c r="G99" s="491">
        <v>0.91</v>
      </c>
      <c r="H99" s="490">
        <v>0.89</v>
      </c>
      <c r="I99" s="490">
        <v>0.85</v>
      </c>
      <c r="J99" s="490">
        <v>0.81</v>
      </c>
      <c r="K99" s="490">
        <v>0.74</v>
      </c>
      <c r="L99" s="490">
        <v>0.67</v>
      </c>
      <c r="M99" s="490">
        <v>0.6</v>
      </c>
      <c r="P99" s="492"/>
      <c r="Q99" s="492"/>
      <c r="R99" s="492"/>
      <c r="S99" s="492"/>
      <c r="T99" s="492"/>
      <c r="W99" s="492"/>
      <c r="X99" s="492"/>
      <c r="Y99" s="492"/>
      <c r="Z99" s="492"/>
      <c r="AA99" s="492"/>
      <c r="AD99" s="492"/>
      <c r="AE99" s="492"/>
      <c r="AF99" s="492"/>
      <c r="AG99" s="492"/>
      <c r="AH99" s="492"/>
      <c r="AK99" s="492"/>
      <c r="AL99" s="492"/>
      <c r="AM99" s="492"/>
      <c r="AN99" s="492"/>
      <c r="AO99" s="492"/>
      <c r="AR99" s="492"/>
      <c r="AS99" s="492"/>
      <c r="AT99" s="492"/>
      <c r="AU99" s="492"/>
      <c r="AV99" s="492"/>
      <c r="AY99" s="492"/>
      <c r="AZ99" s="492"/>
      <c r="BA99" s="492"/>
      <c r="BB99" s="492"/>
      <c r="BC99" s="492"/>
      <c r="BF99" s="492"/>
      <c r="BG99" s="492"/>
      <c r="BH99" s="492"/>
      <c r="BI99" s="492"/>
      <c r="BJ99" s="492"/>
      <c r="BM99" s="492"/>
      <c r="BN99" s="492"/>
      <c r="BO99" s="492"/>
      <c r="BP99" s="492"/>
      <c r="BQ99" s="492"/>
      <c r="BT99" s="492"/>
      <c r="BU99" s="492"/>
      <c r="BV99" s="492"/>
      <c r="BW99" s="492"/>
      <c r="BX99" s="492"/>
      <c r="CA99" s="492"/>
      <c r="CB99" s="492"/>
      <c r="CC99" s="492"/>
      <c r="CD99" s="492"/>
      <c r="CE99" s="492"/>
      <c r="CH99" s="492"/>
      <c r="CI99" s="492"/>
      <c r="CJ99" s="492"/>
      <c r="CK99" s="492"/>
      <c r="CL99" s="492"/>
      <c r="CO99" s="492"/>
      <c r="CP99" s="492"/>
      <c r="CQ99" s="492"/>
      <c r="CR99" s="492"/>
      <c r="CS99" s="492"/>
    </row>
    <row r="100" spans="3:97" ht="15.75" thickBot="1" x14ac:dyDescent="0.3">
      <c r="C100" s="489">
        <v>310</v>
      </c>
      <c r="D100" s="490">
        <v>0.87</v>
      </c>
      <c r="E100" s="490">
        <v>0.91</v>
      </c>
      <c r="F100" s="490">
        <v>0.93</v>
      </c>
      <c r="G100" s="491">
        <v>0.94</v>
      </c>
      <c r="H100" s="490">
        <v>0.92</v>
      </c>
      <c r="I100" s="490">
        <v>0.88</v>
      </c>
      <c r="J100" s="490">
        <v>0.83</v>
      </c>
      <c r="K100" s="490">
        <v>0.77</v>
      </c>
      <c r="L100" s="490">
        <v>0.7</v>
      </c>
      <c r="M100" s="490">
        <v>0.61</v>
      </c>
      <c r="P100" s="492"/>
      <c r="Q100" s="492"/>
      <c r="R100" s="492"/>
      <c r="S100" s="492"/>
      <c r="T100" s="492"/>
      <c r="W100" s="492"/>
      <c r="X100" s="492"/>
      <c r="Y100" s="492"/>
      <c r="Z100" s="492"/>
      <c r="AA100" s="492"/>
      <c r="AD100" s="492"/>
      <c r="AE100" s="492"/>
      <c r="AF100" s="492"/>
      <c r="AG100" s="492"/>
      <c r="AH100" s="492"/>
      <c r="AK100" s="492"/>
      <c r="AL100" s="492"/>
      <c r="AM100" s="492"/>
      <c r="AN100" s="492"/>
      <c r="AO100" s="492"/>
      <c r="AR100" s="492"/>
      <c r="AS100" s="492"/>
      <c r="AT100" s="492"/>
      <c r="AU100" s="492"/>
      <c r="AV100" s="492"/>
      <c r="AY100" s="492"/>
      <c r="AZ100" s="492"/>
      <c r="BA100" s="492"/>
      <c r="BB100" s="492"/>
      <c r="BC100" s="492"/>
      <c r="BF100" s="492"/>
      <c r="BG100" s="492"/>
      <c r="BH100" s="492"/>
      <c r="BI100" s="492"/>
      <c r="BJ100" s="492"/>
      <c r="BM100" s="492"/>
      <c r="BN100" s="492"/>
      <c r="BO100" s="492"/>
      <c r="BP100" s="492"/>
      <c r="BQ100" s="492"/>
      <c r="BT100" s="492"/>
      <c r="BU100" s="492"/>
      <c r="BV100" s="492"/>
      <c r="BW100" s="492"/>
      <c r="BX100" s="492"/>
      <c r="CA100" s="492"/>
      <c r="CB100" s="492"/>
      <c r="CC100" s="492"/>
      <c r="CD100" s="492"/>
      <c r="CE100" s="492"/>
      <c r="CH100" s="492"/>
      <c r="CI100" s="492"/>
      <c r="CJ100" s="492"/>
      <c r="CK100" s="492"/>
      <c r="CL100" s="492"/>
      <c r="CO100" s="492"/>
      <c r="CP100" s="492"/>
      <c r="CQ100" s="492"/>
      <c r="CR100" s="492"/>
      <c r="CS100" s="492"/>
    </row>
    <row r="101" spans="3:97" ht="15.75" thickBot="1" x14ac:dyDescent="0.3">
      <c r="C101" s="489">
        <v>320</v>
      </c>
      <c r="D101" s="490">
        <v>0.87</v>
      </c>
      <c r="E101" s="490">
        <v>0.92</v>
      </c>
      <c r="F101" s="490">
        <v>0.95</v>
      </c>
      <c r="G101" s="491">
        <v>0.96</v>
      </c>
      <c r="H101" s="490">
        <v>0.94</v>
      </c>
      <c r="I101" s="490">
        <v>0.91</v>
      </c>
      <c r="J101" s="490">
        <v>0.86</v>
      </c>
      <c r="K101" s="490">
        <v>0.79</v>
      </c>
      <c r="L101" s="490">
        <v>0.71</v>
      </c>
      <c r="M101" s="490">
        <v>0.63</v>
      </c>
      <c r="P101" s="492"/>
      <c r="Q101" s="492"/>
      <c r="R101" s="492"/>
      <c r="S101" s="492"/>
      <c r="T101" s="492"/>
      <c r="W101" s="492"/>
      <c r="X101" s="492"/>
      <c r="Y101" s="492"/>
      <c r="Z101" s="492"/>
      <c r="AA101" s="492"/>
      <c r="AD101" s="492"/>
      <c r="AE101" s="492"/>
      <c r="AF101" s="492"/>
      <c r="AG101" s="492"/>
      <c r="AH101" s="492"/>
      <c r="AK101" s="492"/>
      <c r="AL101" s="492"/>
      <c r="AM101" s="492"/>
      <c r="AN101" s="492"/>
      <c r="AO101" s="492"/>
      <c r="AR101" s="492"/>
      <c r="AS101" s="492"/>
      <c r="AT101" s="492"/>
      <c r="AU101" s="492"/>
      <c r="AV101" s="492"/>
      <c r="AY101" s="492"/>
      <c r="AZ101" s="492"/>
      <c r="BA101" s="492"/>
      <c r="BB101" s="492"/>
      <c r="BC101" s="492"/>
      <c r="BF101" s="492"/>
      <c r="BG101" s="492"/>
      <c r="BH101" s="492"/>
      <c r="BI101" s="492"/>
      <c r="BJ101" s="492"/>
      <c r="BM101" s="492"/>
      <c r="BN101" s="492"/>
      <c r="BO101" s="492"/>
      <c r="BP101" s="492"/>
      <c r="BQ101" s="492"/>
      <c r="BT101" s="492"/>
      <c r="BU101" s="492"/>
      <c r="BV101" s="492"/>
      <c r="BW101" s="492"/>
      <c r="BX101" s="492"/>
      <c r="CA101" s="492"/>
      <c r="CB101" s="492"/>
      <c r="CC101" s="492"/>
      <c r="CD101" s="492"/>
      <c r="CE101" s="492"/>
      <c r="CH101" s="492"/>
      <c r="CI101" s="492"/>
      <c r="CJ101" s="492"/>
      <c r="CK101" s="492"/>
      <c r="CL101" s="492"/>
      <c r="CO101" s="492"/>
      <c r="CP101" s="492"/>
      <c r="CQ101" s="492"/>
      <c r="CR101" s="492"/>
      <c r="CS101" s="492"/>
    </row>
    <row r="102" spans="3:97" ht="15.75" thickBot="1" x14ac:dyDescent="0.3">
      <c r="C102" s="489">
        <v>330</v>
      </c>
      <c r="D102" s="490">
        <v>0.87</v>
      </c>
      <c r="E102" s="490">
        <v>0.93</v>
      </c>
      <c r="F102" s="490">
        <v>0.96</v>
      </c>
      <c r="G102" s="491">
        <v>0.97</v>
      </c>
      <c r="H102" s="490">
        <v>0.96</v>
      </c>
      <c r="I102" s="490">
        <v>0.93</v>
      </c>
      <c r="J102" s="490">
        <v>0.88</v>
      </c>
      <c r="K102" s="490">
        <v>0.81</v>
      </c>
      <c r="L102" s="490">
        <v>0.73</v>
      </c>
      <c r="M102" s="490">
        <v>0.63</v>
      </c>
      <c r="P102" s="492"/>
      <c r="Q102" s="492"/>
      <c r="R102" s="492"/>
      <c r="S102" s="492"/>
      <c r="T102" s="492"/>
      <c r="W102" s="492"/>
      <c r="X102" s="492"/>
      <c r="Y102" s="492"/>
      <c r="Z102" s="492"/>
      <c r="AA102" s="492"/>
      <c r="AD102" s="492"/>
      <c r="AE102" s="492"/>
      <c r="AF102" s="492"/>
      <c r="AG102" s="492"/>
      <c r="AH102" s="492"/>
      <c r="AK102" s="492"/>
      <c r="AL102" s="492"/>
      <c r="AM102" s="492"/>
      <c r="AN102" s="492"/>
      <c r="AO102" s="492"/>
      <c r="AR102" s="492"/>
      <c r="AS102" s="492"/>
      <c r="AT102" s="492"/>
      <c r="AU102" s="492"/>
      <c r="AV102" s="492"/>
      <c r="AY102" s="492"/>
      <c r="AZ102" s="492"/>
      <c r="BA102" s="492"/>
      <c r="BB102" s="492"/>
      <c r="BC102" s="492"/>
      <c r="BF102" s="492"/>
      <c r="BG102" s="492"/>
      <c r="BH102" s="492"/>
      <c r="BI102" s="492"/>
      <c r="BJ102" s="492"/>
      <c r="BM102" s="492"/>
      <c r="BN102" s="492"/>
      <c r="BO102" s="492"/>
      <c r="BP102" s="492"/>
      <c r="BQ102" s="492"/>
      <c r="BT102" s="492"/>
      <c r="BU102" s="492"/>
      <c r="BV102" s="492"/>
      <c r="BW102" s="492"/>
      <c r="BX102" s="492"/>
      <c r="CA102" s="492"/>
      <c r="CB102" s="492"/>
      <c r="CC102" s="492"/>
      <c r="CD102" s="492"/>
      <c r="CE102" s="492"/>
      <c r="CH102" s="492"/>
      <c r="CI102" s="492"/>
      <c r="CJ102" s="492"/>
      <c r="CK102" s="492"/>
      <c r="CL102" s="492"/>
      <c r="CO102" s="492"/>
      <c r="CP102" s="492"/>
      <c r="CQ102" s="492"/>
      <c r="CR102" s="492"/>
      <c r="CS102" s="492"/>
    </row>
    <row r="103" spans="3:97" ht="15.75" thickBot="1" x14ac:dyDescent="0.3">
      <c r="C103" s="489">
        <v>340</v>
      </c>
      <c r="D103" s="490">
        <v>0.87</v>
      </c>
      <c r="E103" s="490">
        <v>0.93</v>
      </c>
      <c r="F103" s="490">
        <v>0.97</v>
      </c>
      <c r="G103" s="491">
        <v>0.98</v>
      </c>
      <c r="H103" s="490">
        <v>0.98</v>
      </c>
      <c r="I103" s="490">
        <v>0.95</v>
      </c>
      <c r="J103" s="490">
        <v>0.89</v>
      </c>
      <c r="K103" s="490">
        <v>0.82</v>
      </c>
      <c r="L103" s="490">
        <v>0.74</v>
      </c>
      <c r="M103" s="490">
        <v>0.64</v>
      </c>
      <c r="P103" s="492"/>
      <c r="Q103" s="492"/>
      <c r="R103" s="492"/>
      <c r="S103" s="492"/>
      <c r="T103" s="492"/>
      <c r="W103" s="492"/>
      <c r="X103" s="492"/>
      <c r="Y103" s="492"/>
      <c r="Z103" s="492"/>
      <c r="AA103" s="492"/>
      <c r="AD103" s="492"/>
      <c r="AE103" s="492"/>
      <c r="AF103" s="492"/>
      <c r="AG103" s="492"/>
      <c r="AH103" s="492"/>
      <c r="AK103" s="492"/>
      <c r="AL103" s="492"/>
      <c r="AM103" s="492"/>
      <c r="AN103" s="492"/>
      <c r="AO103" s="492"/>
      <c r="AR103" s="492"/>
      <c r="AS103" s="492"/>
      <c r="AT103" s="492"/>
      <c r="AU103" s="492"/>
      <c r="AV103" s="492"/>
      <c r="AY103" s="492"/>
      <c r="AZ103" s="492"/>
      <c r="BA103" s="492"/>
      <c r="BB103" s="492"/>
      <c r="BC103" s="492"/>
      <c r="BF103" s="492"/>
      <c r="BG103" s="492"/>
      <c r="BH103" s="492"/>
      <c r="BI103" s="492"/>
      <c r="BJ103" s="492"/>
      <c r="BM103" s="492"/>
      <c r="BN103" s="492"/>
      <c r="BO103" s="492"/>
      <c r="BP103" s="492"/>
      <c r="BQ103" s="492"/>
      <c r="BT103" s="492"/>
      <c r="BU103" s="492"/>
      <c r="BV103" s="492"/>
      <c r="BW103" s="492"/>
      <c r="BX103" s="492"/>
      <c r="CA103" s="492"/>
      <c r="CB103" s="492"/>
      <c r="CC103" s="492"/>
      <c r="CD103" s="492"/>
      <c r="CE103" s="492"/>
      <c r="CH103" s="492"/>
      <c r="CI103" s="492"/>
      <c r="CJ103" s="492"/>
      <c r="CK103" s="492"/>
      <c r="CL103" s="492"/>
      <c r="CO103" s="492"/>
      <c r="CP103" s="492"/>
      <c r="CQ103" s="492"/>
      <c r="CR103" s="492"/>
      <c r="CS103" s="492"/>
    </row>
    <row r="104" spans="3:97" ht="15.75" thickBot="1" x14ac:dyDescent="0.3">
      <c r="C104" s="489">
        <v>350</v>
      </c>
      <c r="D104" s="490">
        <v>0.87</v>
      </c>
      <c r="E104" s="490">
        <v>0.94</v>
      </c>
      <c r="F104" s="490">
        <v>0.98</v>
      </c>
      <c r="G104" s="491">
        <v>0.99</v>
      </c>
      <c r="H104" s="490">
        <v>0.99</v>
      </c>
      <c r="I104" s="490">
        <v>0.95</v>
      </c>
      <c r="J104" s="490">
        <v>0.9</v>
      </c>
      <c r="K104" s="490">
        <v>0.83</v>
      </c>
      <c r="L104" s="490">
        <v>0.74</v>
      </c>
      <c r="M104" s="490">
        <v>0.64</v>
      </c>
      <c r="P104" s="492"/>
      <c r="Q104" s="492"/>
      <c r="R104" s="492"/>
      <c r="S104" s="492"/>
      <c r="T104" s="492"/>
      <c r="W104" s="492"/>
      <c r="X104" s="492"/>
      <c r="Y104" s="492"/>
      <c r="Z104" s="492"/>
      <c r="AA104" s="492"/>
      <c r="AD104" s="492"/>
      <c r="AE104" s="492"/>
      <c r="AF104" s="492"/>
      <c r="AG104" s="492"/>
      <c r="AH104" s="492"/>
      <c r="AK104" s="492"/>
      <c r="AL104" s="492"/>
      <c r="AM104" s="492"/>
      <c r="AN104" s="492"/>
      <c r="AO104" s="492"/>
      <c r="AR104" s="492"/>
      <c r="AS104" s="492"/>
      <c r="AT104" s="492"/>
      <c r="AU104" s="492"/>
      <c r="AV104" s="492"/>
      <c r="AY104" s="492"/>
      <c r="AZ104" s="492"/>
      <c r="BA104" s="492"/>
      <c r="BB104" s="492"/>
      <c r="BC104" s="492"/>
      <c r="BF104" s="492"/>
      <c r="BG104" s="492"/>
      <c r="BH104" s="492"/>
      <c r="BI104" s="492"/>
      <c r="BJ104" s="492"/>
      <c r="BM104" s="492"/>
      <c r="BN104" s="492"/>
      <c r="BO104" s="492"/>
      <c r="BP104" s="492"/>
      <c r="BQ104" s="492"/>
      <c r="BT104" s="492"/>
      <c r="BU104" s="492"/>
      <c r="BV104" s="492"/>
      <c r="BW104" s="492"/>
      <c r="BX104" s="492"/>
      <c r="CA104" s="492"/>
      <c r="CB104" s="492"/>
      <c r="CC104" s="492"/>
      <c r="CD104" s="492"/>
      <c r="CE104" s="492"/>
      <c r="CH104" s="492"/>
      <c r="CI104" s="492"/>
      <c r="CJ104" s="492"/>
      <c r="CK104" s="492"/>
      <c r="CL104" s="492"/>
      <c r="CO104" s="492"/>
      <c r="CP104" s="492"/>
      <c r="CQ104" s="492"/>
      <c r="CR104" s="492"/>
      <c r="CS104" s="492"/>
    </row>
    <row r="105" spans="3:97" x14ac:dyDescent="0.25">
      <c r="P105" s="492"/>
      <c r="Q105" s="492"/>
      <c r="R105" s="492"/>
      <c r="S105" s="492"/>
      <c r="T105" s="492"/>
      <c r="W105" s="492"/>
      <c r="X105" s="492"/>
      <c r="Y105" s="492"/>
      <c r="Z105" s="492"/>
      <c r="AA105" s="492"/>
      <c r="AD105" s="492"/>
      <c r="AE105" s="492"/>
      <c r="AF105" s="492"/>
      <c r="AG105" s="492"/>
      <c r="AH105" s="492"/>
      <c r="AK105" s="492"/>
      <c r="AL105" s="492"/>
      <c r="AM105" s="492"/>
      <c r="AN105" s="492"/>
      <c r="AO105" s="492"/>
      <c r="AR105" s="492"/>
      <c r="AS105" s="492"/>
      <c r="AT105" s="492"/>
      <c r="AU105" s="492"/>
      <c r="AV105" s="492"/>
      <c r="AY105" s="492"/>
      <c r="AZ105" s="492"/>
      <c r="BA105" s="492"/>
      <c r="BB105" s="492"/>
      <c r="BC105" s="492"/>
      <c r="BF105" s="492"/>
      <c r="BG105" s="492"/>
      <c r="BH105" s="492"/>
      <c r="BI105" s="492"/>
      <c r="BJ105" s="492"/>
      <c r="BM105" s="492"/>
      <c r="BN105" s="492"/>
      <c r="BO105" s="492"/>
      <c r="BP105" s="492"/>
      <c r="BQ105" s="492"/>
      <c r="BT105" s="492"/>
      <c r="BU105" s="492"/>
      <c r="BV105" s="492"/>
      <c r="BW105" s="492"/>
      <c r="BX105" s="492"/>
      <c r="CA105" s="492"/>
      <c r="CB105" s="492"/>
      <c r="CC105" s="492"/>
      <c r="CD105" s="492"/>
      <c r="CE105" s="492"/>
      <c r="CH105" s="492"/>
      <c r="CI105" s="492"/>
      <c r="CJ105" s="492"/>
      <c r="CK105" s="492"/>
      <c r="CL105" s="492"/>
      <c r="CO105" s="492"/>
      <c r="CP105" s="492"/>
      <c r="CQ105" s="492"/>
      <c r="CR105" s="492"/>
      <c r="CS105" s="492"/>
    </row>
    <row r="106" spans="3:97" ht="15.75" thickBot="1" x14ac:dyDescent="0.3">
      <c r="P106" s="492"/>
      <c r="Q106" s="492"/>
      <c r="R106" s="492"/>
      <c r="S106" s="492"/>
      <c r="T106" s="492"/>
      <c r="W106" s="492"/>
      <c r="X106" s="492"/>
      <c r="Y106" s="492"/>
      <c r="Z106" s="492"/>
      <c r="AA106" s="492"/>
      <c r="AD106" s="492"/>
      <c r="AE106" s="492"/>
      <c r="AF106" s="492"/>
      <c r="AG106" s="492"/>
      <c r="AH106" s="492"/>
      <c r="AK106" s="492"/>
      <c r="AL106" s="492"/>
      <c r="AM106" s="492"/>
      <c r="AN106" s="492"/>
      <c r="AO106" s="492"/>
      <c r="AR106" s="492"/>
      <c r="AS106" s="492"/>
      <c r="AT106" s="492"/>
      <c r="AU106" s="492"/>
      <c r="AV106" s="492"/>
      <c r="AY106" s="492"/>
      <c r="AZ106" s="492"/>
      <c r="BA106" s="492"/>
      <c r="BB106" s="492"/>
      <c r="BC106" s="492"/>
      <c r="BF106" s="492"/>
      <c r="BG106" s="492"/>
      <c r="BH106" s="492"/>
      <c r="BI106" s="492"/>
      <c r="BJ106" s="492"/>
      <c r="BM106" s="492"/>
      <c r="BN106" s="492"/>
      <c r="BO106" s="492"/>
      <c r="BP106" s="492"/>
      <c r="BQ106" s="492"/>
      <c r="BT106" s="492"/>
      <c r="BU106" s="492"/>
      <c r="BV106" s="492"/>
      <c r="BW106" s="492"/>
      <c r="BX106" s="492"/>
      <c r="CA106" s="492"/>
      <c r="CB106" s="492"/>
      <c r="CC106" s="492"/>
      <c r="CD106" s="492"/>
      <c r="CE106" s="492"/>
      <c r="CH106" s="492"/>
      <c r="CI106" s="492"/>
      <c r="CJ106" s="492"/>
      <c r="CK106" s="492"/>
      <c r="CL106" s="492"/>
      <c r="CO106" s="492"/>
      <c r="CP106" s="492"/>
      <c r="CQ106" s="492"/>
      <c r="CR106" s="492"/>
      <c r="CS106" s="492"/>
    </row>
    <row r="107" spans="3:97" ht="15.75" thickBot="1" x14ac:dyDescent="0.3">
      <c r="C107" s="784" t="s">
        <v>3724</v>
      </c>
      <c r="D107" s="785"/>
      <c r="E107" s="785"/>
      <c r="F107" s="785"/>
      <c r="G107" s="785"/>
      <c r="H107" s="785"/>
      <c r="I107" s="785"/>
      <c r="J107" s="785"/>
      <c r="K107" s="785"/>
      <c r="L107" s="785"/>
      <c r="M107" s="786"/>
      <c r="O107" s="486" t="s">
        <v>687</v>
      </c>
      <c r="W107" s="492"/>
      <c r="X107" s="492"/>
      <c r="Y107" s="492"/>
      <c r="Z107" s="492"/>
      <c r="AA107" s="492"/>
      <c r="AD107" s="492"/>
      <c r="AE107" s="492"/>
      <c r="AF107" s="492"/>
      <c r="AG107" s="492"/>
      <c r="AH107" s="492"/>
      <c r="AK107" s="492"/>
      <c r="AL107" s="492"/>
      <c r="AM107" s="492"/>
      <c r="AN107" s="492"/>
      <c r="AO107" s="492"/>
      <c r="AR107" s="492"/>
      <c r="AS107" s="492"/>
      <c r="AT107" s="492"/>
      <c r="AU107" s="492"/>
      <c r="AV107" s="492"/>
      <c r="AY107" s="492"/>
      <c r="AZ107" s="492"/>
      <c r="BA107" s="492"/>
      <c r="BB107" s="492"/>
      <c r="BC107" s="492"/>
      <c r="BF107" s="492"/>
      <c r="BG107" s="492"/>
      <c r="BH107" s="492"/>
      <c r="BI107" s="492"/>
      <c r="BJ107" s="492"/>
      <c r="BM107" s="492"/>
      <c r="BN107" s="492"/>
      <c r="BO107" s="492"/>
      <c r="BP107" s="492"/>
      <c r="BQ107" s="492"/>
      <c r="BT107" s="492"/>
      <c r="BU107" s="492"/>
      <c r="BV107" s="492"/>
      <c r="BW107" s="492"/>
      <c r="BX107" s="492"/>
      <c r="CA107" s="492"/>
      <c r="CB107" s="492"/>
      <c r="CC107" s="492"/>
      <c r="CD107" s="492"/>
      <c r="CE107" s="492"/>
      <c r="CH107" s="492"/>
      <c r="CI107" s="492"/>
      <c r="CJ107" s="492"/>
      <c r="CK107" s="492"/>
      <c r="CL107" s="492"/>
      <c r="CO107" s="492"/>
      <c r="CP107" s="492"/>
      <c r="CQ107" s="492"/>
      <c r="CR107" s="492"/>
      <c r="CS107" s="492"/>
    </row>
    <row r="108" spans="3:97" ht="15.75" customHeight="1" thickBot="1" x14ac:dyDescent="0.3">
      <c r="C108" s="780" t="s">
        <v>3720</v>
      </c>
      <c r="D108" s="781" t="s">
        <v>3721</v>
      </c>
      <c r="E108" s="782"/>
      <c r="F108" s="782"/>
      <c r="G108" s="782"/>
      <c r="H108" s="782"/>
      <c r="I108" s="782"/>
      <c r="J108" s="782"/>
      <c r="K108" s="782"/>
      <c r="L108" s="782"/>
      <c r="M108" s="783"/>
      <c r="O108" s="777" t="str">
        <f>O107&amp;" - Janurary"</f>
        <v>DARWIN - Janurary</v>
      </c>
      <c r="P108" s="778"/>
      <c r="Q108" s="778"/>
      <c r="R108" s="778"/>
      <c r="S108" s="778"/>
      <c r="T108" s="779"/>
      <c r="V108" s="777" t="str">
        <f>O107&amp;" - February"</f>
        <v>DARWIN - February</v>
      </c>
      <c r="W108" s="778"/>
      <c r="X108" s="778"/>
      <c r="Y108" s="778"/>
      <c r="Z108" s="778"/>
      <c r="AA108" s="779"/>
      <c r="AC108" s="777" t="str">
        <f>O107&amp;" - March"</f>
        <v>DARWIN - March</v>
      </c>
      <c r="AD108" s="778"/>
      <c r="AE108" s="778"/>
      <c r="AF108" s="778"/>
      <c r="AG108" s="778"/>
      <c r="AH108" s="779"/>
      <c r="AJ108" s="777" t="str">
        <f>O107&amp;" - April"</f>
        <v>DARWIN - April</v>
      </c>
      <c r="AK108" s="778"/>
      <c r="AL108" s="778"/>
      <c r="AM108" s="778"/>
      <c r="AN108" s="778"/>
      <c r="AO108" s="779"/>
      <c r="AQ108" s="777" t="str">
        <f>O107&amp;" - May"</f>
        <v>DARWIN - May</v>
      </c>
      <c r="AR108" s="778"/>
      <c r="AS108" s="778"/>
      <c r="AT108" s="778"/>
      <c r="AU108" s="778"/>
      <c r="AV108" s="779"/>
      <c r="AX108" s="777" t="str">
        <f>O107&amp;" - June"</f>
        <v>DARWIN - June</v>
      </c>
      <c r="AY108" s="778"/>
      <c r="AZ108" s="778"/>
      <c r="BA108" s="778"/>
      <c r="BB108" s="778"/>
      <c r="BC108" s="779"/>
      <c r="BE108" s="777" t="str">
        <f>O107&amp;" - July"</f>
        <v>DARWIN - July</v>
      </c>
      <c r="BF108" s="778"/>
      <c r="BG108" s="778"/>
      <c r="BH108" s="778"/>
      <c r="BI108" s="778"/>
      <c r="BJ108" s="779"/>
      <c r="BL108" s="777" t="str">
        <f>O107&amp;" - August"</f>
        <v>DARWIN - August</v>
      </c>
      <c r="BM108" s="778"/>
      <c r="BN108" s="778"/>
      <c r="BO108" s="778"/>
      <c r="BP108" s="778"/>
      <c r="BQ108" s="779"/>
      <c r="BS108" s="777" t="str">
        <f>O107&amp;" - September"</f>
        <v>DARWIN - September</v>
      </c>
      <c r="BT108" s="778"/>
      <c r="BU108" s="778"/>
      <c r="BV108" s="778"/>
      <c r="BW108" s="778"/>
      <c r="BX108" s="779"/>
      <c r="BZ108" s="777" t="str">
        <f>O107&amp;" - October"</f>
        <v>DARWIN - October</v>
      </c>
      <c r="CA108" s="778"/>
      <c r="CB108" s="778"/>
      <c r="CC108" s="778"/>
      <c r="CD108" s="778"/>
      <c r="CE108" s="779"/>
      <c r="CG108" s="777" t="str">
        <f>O107&amp;" - November"</f>
        <v>DARWIN - November</v>
      </c>
      <c r="CH108" s="778"/>
      <c r="CI108" s="778"/>
      <c r="CJ108" s="778"/>
      <c r="CK108" s="778"/>
      <c r="CL108" s="779"/>
      <c r="CN108" s="777" t="str">
        <f>O107&amp;" - December"</f>
        <v>DARWIN - December</v>
      </c>
      <c r="CO108" s="778"/>
      <c r="CP108" s="778"/>
      <c r="CQ108" s="778"/>
      <c r="CR108" s="778"/>
      <c r="CS108" s="779"/>
    </row>
    <row r="109" spans="3:97" ht="15.75" thickBot="1" x14ac:dyDescent="0.3">
      <c r="C109" s="773"/>
      <c r="D109" s="488">
        <v>0</v>
      </c>
      <c r="E109" s="488">
        <v>10</v>
      </c>
      <c r="F109" s="488">
        <v>20</v>
      </c>
      <c r="G109" s="488">
        <v>30</v>
      </c>
      <c r="H109" s="488">
        <v>40</v>
      </c>
      <c r="I109" s="488">
        <v>50</v>
      </c>
      <c r="J109" s="488">
        <v>60</v>
      </c>
      <c r="K109" s="488">
        <v>70</v>
      </c>
      <c r="L109" s="488">
        <v>80</v>
      </c>
      <c r="M109" s="488">
        <v>90</v>
      </c>
      <c r="O109" s="772" t="s">
        <v>3720</v>
      </c>
      <c r="P109" s="774" t="s">
        <v>3721</v>
      </c>
      <c r="Q109" s="775"/>
      <c r="R109" s="775"/>
      <c r="S109" s="775"/>
      <c r="T109" s="776"/>
      <c r="V109" s="772" t="s">
        <v>3720</v>
      </c>
      <c r="W109" s="774" t="s">
        <v>3721</v>
      </c>
      <c r="X109" s="775"/>
      <c r="Y109" s="775"/>
      <c r="Z109" s="775"/>
      <c r="AA109" s="776"/>
      <c r="AC109" s="772" t="s">
        <v>3720</v>
      </c>
      <c r="AD109" s="774" t="s">
        <v>3721</v>
      </c>
      <c r="AE109" s="775"/>
      <c r="AF109" s="775"/>
      <c r="AG109" s="775"/>
      <c r="AH109" s="776"/>
      <c r="AJ109" s="772" t="s">
        <v>3720</v>
      </c>
      <c r="AK109" s="774" t="s">
        <v>3721</v>
      </c>
      <c r="AL109" s="775"/>
      <c r="AM109" s="775"/>
      <c r="AN109" s="775"/>
      <c r="AO109" s="776"/>
      <c r="AQ109" s="772" t="s">
        <v>3720</v>
      </c>
      <c r="AR109" s="774" t="s">
        <v>3721</v>
      </c>
      <c r="AS109" s="775"/>
      <c r="AT109" s="775"/>
      <c r="AU109" s="775"/>
      <c r="AV109" s="776"/>
      <c r="AX109" s="772" t="s">
        <v>3720</v>
      </c>
      <c r="AY109" s="774" t="s">
        <v>3721</v>
      </c>
      <c r="AZ109" s="775"/>
      <c r="BA109" s="775"/>
      <c r="BB109" s="775"/>
      <c r="BC109" s="776"/>
      <c r="BE109" s="772" t="s">
        <v>3720</v>
      </c>
      <c r="BF109" s="774" t="s">
        <v>3721</v>
      </c>
      <c r="BG109" s="775"/>
      <c r="BH109" s="775"/>
      <c r="BI109" s="775"/>
      <c r="BJ109" s="776"/>
      <c r="BL109" s="772" t="s">
        <v>3720</v>
      </c>
      <c r="BM109" s="774" t="s">
        <v>3721</v>
      </c>
      <c r="BN109" s="775"/>
      <c r="BO109" s="775"/>
      <c r="BP109" s="775"/>
      <c r="BQ109" s="776"/>
      <c r="BS109" s="772" t="s">
        <v>3720</v>
      </c>
      <c r="BT109" s="774" t="s">
        <v>3721</v>
      </c>
      <c r="BU109" s="775"/>
      <c r="BV109" s="775"/>
      <c r="BW109" s="775"/>
      <c r="BX109" s="776"/>
      <c r="BZ109" s="772" t="s">
        <v>3720</v>
      </c>
      <c r="CA109" s="774" t="s">
        <v>3721</v>
      </c>
      <c r="CB109" s="775"/>
      <c r="CC109" s="775"/>
      <c r="CD109" s="775"/>
      <c r="CE109" s="776"/>
      <c r="CG109" s="772" t="s">
        <v>3720</v>
      </c>
      <c r="CH109" s="774" t="s">
        <v>3721</v>
      </c>
      <c r="CI109" s="775"/>
      <c r="CJ109" s="775"/>
      <c r="CK109" s="775"/>
      <c r="CL109" s="776"/>
      <c r="CN109" s="772" t="s">
        <v>3720</v>
      </c>
      <c r="CO109" s="774" t="s">
        <v>3721</v>
      </c>
      <c r="CP109" s="775"/>
      <c r="CQ109" s="775"/>
      <c r="CR109" s="775"/>
      <c r="CS109" s="776"/>
    </row>
    <row r="110" spans="3:97" ht="15.75" thickBot="1" x14ac:dyDescent="0.3">
      <c r="C110" s="489">
        <v>0</v>
      </c>
      <c r="D110" s="490">
        <v>0.96</v>
      </c>
      <c r="E110" s="490">
        <v>0.99</v>
      </c>
      <c r="F110" s="491">
        <v>1</v>
      </c>
      <c r="G110" s="490">
        <v>0.99</v>
      </c>
      <c r="H110" s="490">
        <v>0.94</v>
      </c>
      <c r="I110" s="490">
        <v>0.88</v>
      </c>
      <c r="J110" s="490">
        <v>0.79</v>
      </c>
      <c r="K110" s="490">
        <v>0.69</v>
      </c>
      <c r="L110" s="490">
        <v>0.57999999999999996</v>
      </c>
      <c r="M110" s="490">
        <v>0.48</v>
      </c>
      <c r="O110" s="773"/>
      <c r="P110" s="488">
        <v>0</v>
      </c>
      <c r="Q110" s="488">
        <v>10</v>
      </c>
      <c r="R110" s="488">
        <v>20</v>
      </c>
      <c r="S110" s="488">
        <v>30</v>
      </c>
      <c r="T110" s="488">
        <v>40</v>
      </c>
      <c r="V110" s="773"/>
      <c r="W110" s="488">
        <v>0</v>
      </c>
      <c r="X110" s="488">
        <v>10</v>
      </c>
      <c r="Y110" s="488">
        <v>20</v>
      </c>
      <c r="Z110" s="488">
        <v>30</v>
      </c>
      <c r="AA110" s="488">
        <v>40</v>
      </c>
      <c r="AC110" s="773"/>
      <c r="AD110" s="488">
        <v>0</v>
      </c>
      <c r="AE110" s="488">
        <v>10</v>
      </c>
      <c r="AF110" s="488">
        <v>20</v>
      </c>
      <c r="AG110" s="488">
        <v>30</v>
      </c>
      <c r="AH110" s="488">
        <v>40</v>
      </c>
      <c r="AJ110" s="773"/>
      <c r="AK110" s="488">
        <v>0</v>
      </c>
      <c r="AL110" s="488">
        <v>10</v>
      </c>
      <c r="AM110" s="488">
        <v>20</v>
      </c>
      <c r="AN110" s="488">
        <v>30</v>
      </c>
      <c r="AO110" s="488">
        <v>40</v>
      </c>
      <c r="AQ110" s="773"/>
      <c r="AR110" s="488">
        <v>0</v>
      </c>
      <c r="AS110" s="488">
        <v>10</v>
      </c>
      <c r="AT110" s="488">
        <v>20</v>
      </c>
      <c r="AU110" s="488">
        <v>30</v>
      </c>
      <c r="AV110" s="488">
        <v>40</v>
      </c>
      <c r="AX110" s="773"/>
      <c r="AY110" s="488">
        <v>0</v>
      </c>
      <c r="AZ110" s="488">
        <v>10</v>
      </c>
      <c r="BA110" s="488">
        <v>20</v>
      </c>
      <c r="BB110" s="488">
        <v>30</v>
      </c>
      <c r="BC110" s="488">
        <v>40</v>
      </c>
      <c r="BE110" s="773"/>
      <c r="BF110" s="488">
        <v>0</v>
      </c>
      <c r="BG110" s="488">
        <v>10</v>
      </c>
      <c r="BH110" s="488">
        <v>20</v>
      </c>
      <c r="BI110" s="488">
        <v>30</v>
      </c>
      <c r="BJ110" s="488">
        <v>40</v>
      </c>
      <c r="BL110" s="773"/>
      <c r="BM110" s="488">
        <v>0</v>
      </c>
      <c r="BN110" s="488">
        <v>10</v>
      </c>
      <c r="BO110" s="488">
        <v>20</v>
      </c>
      <c r="BP110" s="488">
        <v>30</v>
      </c>
      <c r="BQ110" s="488">
        <v>40</v>
      </c>
      <c r="BS110" s="773"/>
      <c r="BT110" s="488">
        <v>0</v>
      </c>
      <c r="BU110" s="488">
        <v>10</v>
      </c>
      <c r="BV110" s="488">
        <v>20</v>
      </c>
      <c r="BW110" s="488">
        <v>30</v>
      </c>
      <c r="BX110" s="488">
        <v>40</v>
      </c>
      <c r="BZ110" s="773"/>
      <c r="CA110" s="488">
        <v>0</v>
      </c>
      <c r="CB110" s="488">
        <v>10</v>
      </c>
      <c r="CC110" s="488">
        <v>20</v>
      </c>
      <c r="CD110" s="488">
        <v>30</v>
      </c>
      <c r="CE110" s="488">
        <v>40</v>
      </c>
      <c r="CG110" s="773"/>
      <c r="CH110" s="488">
        <v>0</v>
      </c>
      <c r="CI110" s="488">
        <v>10</v>
      </c>
      <c r="CJ110" s="488">
        <v>20</v>
      </c>
      <c r="CK110" s="488">
        <v>30</v>
      </c>
      <c r="CL110" s="488">
        <v>40</v>
      </c>
      <c r="CN110" s="773"/>
      <c r="CO110" s="488">
        <v>0</v>
      </c>
      <c r="CP110" s="488">
        <v>10</v>
      </c>
      <c r="CQ110" s="488">
        <v>20</v>
      </c>
      <c r="CR110" s="488">
        <v>30</v>
      </c>
      <c r="CS110" s="488">
        <v>40</v>
      </c>
    </row>
    <row r="111" spans="3:97" ht="15.75" thickBot="1" x14ac:dyDescent="0.3">
      <c r="C111" s="489">
        <v>10</v>
      </c>
      <c r="D111" s="490">
        <v>0.96</v>
      </c>
      <c r="E111" s="490">
        <v>0.99</v>
      </c>
      <c r="F111" s="491">
        <v>1</v>
      </c>
      <c r="G111" s="490">
        <v>0.99</v>
      </c>
      <c r="H111" s="490">
        <v>0.94</v>
      </c>
      <c r="I111" s="490">
        <v>0.88</v>
      </c>
      <c r="J111" s="490">
        <v>0.79</v>
      </c>
      <c r="K111" s="490">
        <v>0.69</v>
      </c>
      <c r="L111" s="490">
        <v>0.57999999999999996</v>
      </c>
      <c r="M111" s="490">
        <v>0.48</v>
      </c>
      <c r="O111" s="489">
        <v>270</v>
      </c>
      <c r="P111" s="490">
        <v>1</v>
      </c>
      <c r="Q111" s="490">
        <v>1</v>
      </c>
      <c r="R111" s="490">
        <v>0.97</v>
      </c>
      <c r="S111" s="490">
        <v>0.94</v>
      </c>
      <c r="T111" s="490">
        <v>0.89</v>
      </c>
      <c r="V111" s="489">
        <v>270</v>
      </c>
      <c r="W111" s="490">
        <v>1</v>
      </c>
      <c r="X111" s="490">
        <v>1</v>
      </c>
      <c r="Y111" s="490">
        <v>0.98</v>
      </c>
      <c r="Z111" s="490">
        <v>0.94</v>
      </c>
      <c r="AA111" s="490">
        <v>0.9</v>
      </c>
      <c r="AC111" s="489">
        <v>270</v>
      </c>
      <c r="AD111" s="490">
        <v>1</v>
      </c>
      <c r="AE111" s="490">
        <v>1</v>
      </c>
      <c r="AF111" s="490">
        <v>0.98</v>
      </c>
      <c r="AG111" s="490">
        <v>0.94</v>
      </c>
      <c r="AH111" s="490">
        <v>0.9</v>
      </c>
      <c r="AJ111" s="489">
        <v>270</v>
      </c>
      <c r="AK111" s="490">
        <v>1</v>
      </c>
      <c r="AL111" s="490">
        <v>1</v>
      </c>
      <c r="AM111" s="490">
        <v>0.99</v>
      </c>
      <c r="AN111" s="490">
        <v>0.96</v>
      </c>
      <c r="AO111" s="490">
        <v>0.92</v>
      </c>
      <c r="AQ111" s="489">
        <v>270</v>
      </c>
      <c r="AR111" s="490">
        <v>1</v>
      </c>
      <c r="AS111" s="490">
        <v>1</v>
      </c>
      <c r="AT111" s="490">
        <v>1</v>
      </c>
      <c r="AU111" s="490">
        <v>0.97</v>
      </c>
      <c r="AV111" s="490">
        <v>0.93</v>
      </c>
      <c r="AX111" s="489">
        <v>270</v>
      </c>
      <c r="AY111" s="490">
        <v>1</v>
      </c>
      <c r="AZ111" s="490">
        <v>1</v>
      </c>
      <c r="BA111" s="490">
        <v>1</v>
      </c>
      <c r="BB111" s="490">
        <v>0.97</v>
      </c>
      <c r="BC111" s="490">
        <v>0.93</v>
      </c>
      <c r="BE111" s="489">
        <v>270</v>
      </c>
      <c r="BF111" s="490">
        <v>1</v>
      </c>
      <c r="BG111" s="490">
        <v>1</v>
      </c>
      <c r="BH111" s="490">
        <v>1</v>
      </c>
      <c r="BI111" s="490">
        <v>0.97</v>
      </c>
      <c r="BJ111" s="490">
        <v>0.93</v>
      </c>
      <c r="BL111" s="489">
        <v>270</v>
      </c>
      <c r="BM111" s="490">
        <v>1</v>
      </c>
      <c r="BN111" s="490">
        <v>1</v>
      </c>
      <c r="BO111" s="490">
        <v>0.99</v>
      </c>
      <c r="BP111" s="490">
        <v>0.97</v>
      </c>
      <c r="BQ111" s="490">
        <v>0.93</v>
      </c>
      <c r="BS111" s="489">
        <v>270</v>
      </c>
      <c r="BT111" s="490">
        <v>1</v>
      </c>
      <c r="BU111" s="490">
        <v>1.01</v>
      </c>
      <c r="BV111" s="490">
        <v>1</v>
      </c>
      <c r="BW111" s="490">
        <v>0.97</v>
      </c>
      <c r="BX111" s="490">
        <v>0.93</v>
      </c>
      <c r="BZ111" s="489">
        <v>270</v>
      </c>
      <c r="CA111" s="490">
        <v>1</v>
      </c>
      <c r="CB111" s="490">
        <v>1</v>
      </c>
      <c r="CC111" s="490">
        <v>0.99</v>
      </c>
      <c r="CD111" s="490">
        <v>0.96</v>
      </c>
      <c r="CE111" s="490">
        <v>0.92</v>
      </c>
      <c r="CG111" s="489">
        <v>270</v>
      </c>
      <c r="CH111" s="490">
        <v>1</v>
      </c>
      <c r="CI111" s="490">
        <v>1</v>
      </c>
      <c r="CJ111" s="490">
        <v>0.98</v>
      </c>
      <c r="CK111" s="490">
        <v>0.95</v>
      </c>
      <c r="CL111" s="490">
        <v>0.9</v>
      </c>
      <c r="CN111" s="489">
        <v>270</v>
      </c>
      <c r="CO111" s="490">
        <v>1</v>
      </c>
      <c r="CP111" s="490">
        <v>1</v>
      </c>
      <c r="CQ111" s="490">
        <v>0.97</v>
      </c>
      <c r="CR111" s="490">
        <v>0.94</v>
      </c>
      <c r="CS111" s="490">
        <v>0.89</v>
      </c>
    </row>
    <row r="112" spans="3:97" ht="15.75" thickBot="1" x14ac:dyDescent="0.3">
      <c r="C112" s="489">
        <v>20</v>
      </c>
      <c r="D112" s="490">
        <v>0.96</v>
      </c>
      <c r="E112" s="490">
        <v>0.99</v>
      </c>
      <c r="F112" s="491">
        <v>1</v>
      </c>
      <c r="G112" s="490">
        <v>0.98</v>
      </c>
      <c r="H112" s="490">
        <v>0.94</v>
      </c>
      <c r="I112" s="490">
        <v>0.88</v>
      </c>
      <c r="J112" s="490">
        <v>0.8</v>
      </c>
      <c r="K112" s="490">
        <v>0.7</v>
      </c>
      <c r="L112" s="490">
        <v>0.59</v>
      </c>
      <c r="M112" s="490">
        <v>0.49</v>
      </c>
      <c r="O112" s="489">
        <v>280</v>
      </c>
      <c r="P112" s="490">
        <v>1</v>
      </c>
      <c r="Q112" s="490">
        <v>0.99</v>
      </c>
      <c r="R112" s="490">
        <v>0.96</v>
      </c>
      <c r="S112" s="490">
        <v>0.92</v>
      </c>
      <c r="T112" s="490">
        <v>0.87</v>
      </c>
      <c r="V112" s="489">
        <v>280</v>
      </c>
      <c r="W112" s="490">
        <v>1</v>
      </c>
      <c r="X112" s="490">
        <v>1</v>
      </c>
      <c r="Y112" s="490">
        <v>0.97</v>
      </c>
      <c r="Z112" s="490">
        <v>0.93</v>
      </c>
      <c r="AA112" s="490">
        <v>0.89</v>
      </c>
      <c r="AC112" s="489">
        <v>280</v>
      </c>
      <c r="AD112" s="490">
        <v>1</v>
      </c>
      <c r="AE112" s="490">
        <v>1</v>
      </c>
      <c r="AF112" s="490">
        <v>0.99</v>
      </c>
      <c r="AG112" s="490">
        <v>0.96</v>
      </c>
      <c r="AH112" s="490">
        <v>0.92</v>
      </c>
      <c r="AJ112" s="489">
        <v>280</v>
      </c>
      <c r="AK112" s="490">
        <v>1</v>
      </c>
      <c r="AL112" s="490">
        <v>1.01</v>
      </c>
      <c r="AM112" s="490">
        <v>1.01</v>
      </c>
      <c r="AN112" s="490">
        <v>0.99</v>
      </c>
      <c r="AO112" s="490">
        <v>0.96</v>
      </c>
      <c r="AQ112" s="489">
        <v>280</v>
      </c>
      <c r="AR112" s="490">
        <v>1</v>
      </c>
      <c r="AS112" s="490">
        <v>1.03</v>
      </c>
      <c r="AT112" s="490">
        <v>1.03</v>
      </c>
      <c r="AU112" s="490">
        <v>1.02</v>
      </c>
      <c r="AV112" s="490">
        <v>0.99</v>
      </c>
      <c r="AX112" s="489">
        <v>280</v>
      </c>
      <c r="AY112" s="490">
        <v>1</v>
      </c>
      <c r="AZ112" s="490">
        <v>1.03</v>
      </c>
      <c r="BA112" s="490">
        <v>1.04</v>
      </c>
      <c r="BB112" s="490">
        <v>1.02</v>
      </c>
      <c r="BC112" s="490">
        <v>1</v>
      </c>
      <c r="BE112" s="489">
        <v>280</v>
      </c>
      <c r="BF112" s="490">
        <v>1</v>
      </c>
      <c r="BG112" s="490">
        <v>1.03</v>
      </c>
      <c r="BH112" s="490">
        <v>1.04</v>
      </c>
      <c r="BI112" s="490">
        <v>1.02</v>
      </c>
      <c r="BJ112" s="490">
        <v>1</v>
      </c>
      <c r="BL112" s="489">
        <v>280</v>
      </c>
      <c r="BM112" s="490">
        <v>1</v>
      </c>
      <c r="BN112" s="490">
        <v>1.02</v>
      </c>
      <c r="BO112" s="490">
        <v>1.02</v>
      </c>
      <c r="BP112" s="490">
        <v>1</v>
      </c>
      <c r="BQ112" s="490">
        <v>0.98</v>
      </c>
      <c r="BS112" s="489">
        <v>280</v>
      </c>
      <c r="BT112" s="490">
        <v>1</v>
      </c>
      <c r="BU112" s="490">
        <v>1.02</v>
      </c>
      <c r="BV112" s="490">
        <v>1.01</v>
      </c>
      <c r="BW112" s="490">
        <v>0.99</v>
      </c>
      <c r="BX112" s="490">
        <v>0.96</v>
      </c>
      <c r="BZ112" s="489">
        <v>280</v>
      </c>
      <c r="CA112" s="490">
        <v>1</v>
      </c>
      <c r="CB112" s="490">
        <v>1</v>
      </c>
      <c r="CC112" s="490">
        <v>0.99</v>
      </c>
      <c r="CD112" s="490">
        <v>0.96</v>
      </c>
      <c r="CE112" s="490">
        <v>0.92</v>
      </c>
      <c r="CG112" s="489">
        <v>280</v>
      </c>
      <c r="CH112" s="490">
        <v>1</v>
      </c>
      <c r="CI112" s="490">
        <v>1</v>
      </c>
      <c r="CJ112" s="490">
        <v>0.98</v>
      </c>
      <c r="CK112" s="490">
        <v>0.93</v>
      </c>
      <c r="CL112" s="490">
        <v>0.89</v>
      </c>
      <c r="CN112" s="489">
        <v>280</v>
      </c>
      <c r="CO112" s="490">
        <v>1</v>
      </c>
      <c r="CP112" s="490">
        <v>0.99</v>
      </c>
      <c r="CQ112" s="490">
        <v>0.96</v>
      </c>
      <c r="CR112" s="490">
        <v>0.92</v>
      </c>
      <c r="CS112" s="490">
        <v>0.87</v>
      </c>
    </row>
    <row r="113" spans="3:97" ht="15.75" thickBot="1" x14ac:dyDescent="0.3">
      <c r="C113" s="489">
        <v>30</v>
      </c>
      <c r="D113" s="490">
        <v>0.96</v>
      </c>
      <c r="E113" s="490">
        <v>0.99</v>
      </c>
      <c r="F113" s="491">
        <v>1</v>
      </c>
      <c r="G113" s="490">
        <v>0.98</v>
      </c>
      <c r="H113" s="490">
        <v>0.94</v>
      </c>
      <c r="I113" s="490">
        <v>0.88</v>
      </c>
      <c r="J113" s="490">
        <v>0.8</v>
      </c>
      <c r="K113" s="490">
        <v>0.71</v>
      </c>
      <c r="L113" s="490">
        <v>0.61</v>
      </c>
      <c r="M113" s="490">
        <v>0.51</v>
      </c>
      <c r="O113" s="489">
        <v>290</v>
      </c>
      <c r="P113" s="490">
        <v>1</v>
      </c>
      <c r="Q113" s="490">
        <v>0.98</v>
      </c>
      <c r="R113" s="490">
        <v>0.95</v>
      </c>
      <c r="S113" s="490">
        <v>0.9</v>
      </c>
      <c r="T113" s="490">
        <v>0.85</v>
      </c>
      <c r="V113" s="489">
        <v>290</v>
      </c>
      <c r="W113" s="490">
        <v>1</v>
      </c>
      <c r="X113" s="490">
        <v>1</v>
      </c>
      <c r="Y113" s="490">
        <v>0.97</v>
      </c>
      <c r="Z113" s="490">
        <v>0.93</v>
      </c>
      <c r="AA113" s="490">
        <v>0.88</v>
      </c>
      <c r="AC113" s="489">
        <v>290</v>
      </c>
      <c r="AD113" s="490">
        <v>1</v>
      </c>
      <c r="AE113" s="490">
        <v>1</v>
      </c>
      <c r="AF113" s="490">
        <v>1</v>
      </c>
      <c r="AG113" s="490">
        <v>0.97</v>
      </c>
      <c r="AH113" s="490">
        <v>0.93</v>
      </c>
      <c r="AJ113" s="489">
        <v>290</v>
      </c>
      <c r="AK113" s="490">
        <v>1</v>
      </c>
      <c r="AL113" s="490">
        <v>1.03</v>
      </c>
      <c r="AM113" s="490">
        <v>1.03</v>
      </c>
      <c r="AN113" s="490">
        <v>1.02</v>
      </c>
      <c r="AO113" s="490">
        <v>0.99</v>
      </c>
      <c r="AQ113" s="489">
        <v>290</v>
      </c>
      <c r="AR113" s="490">
        <v>1</v>
      </c>
      <c r="AS113" s="490">
        <v>1.05</v>
      </c>
      <c r="AT113" s="490">
        <v>1.07</v>
      </c>
      <c r="AU113" s="490">
        <v>1.07</v>
      </c>
      <c r="AV113" s="490">
        <v>1.05</v>
      </c>
      <c r="AX113" s="489">
        <v>290</v>
      </c>
      <c r="AY113" s="490">
        <v>1</v>
      </c>
      <c r="AZ113" s="490">
        <v>1.05</v>
      </c>
      <c r="BA113" s="490">
        <v>1.08</v>
      </c>
      <c r="BB113" s="490">
        <v>1.08</v>
      </c>
      <c r="BC113" s="490">
        <v>1.07</v>
      </c>
      <c r="BE113" s="489">
        <v>290</v>
      </c>
      <c r="BF113" s="490">
        <v>1</v>
      </c>
      <c r="BG113" s="490">
        <v>1.05</v>
      </c>
      <c r="BH113" s="490">
        <v>1.08</v>
      </c>
      <c r="BI113" s="490">
        <v>1.08</v>
      </c>
      <c r="BJ113" s="490">
        <v>1.07</v>
      </c>
      <c r="BL113" s="489">
        <v>290</v>
      </c>
      <c r="BM113" s="490">
        <v>1</v>
      </c>
      <c r="BN113" s="490">
        <v>1.03</v>
      </c>
      <c r="BO113" s="490">
        <v>1.05</v>
      </c>
      <c r="BP113" s="490">
        <v>1.04</v>
      </c>
      <c r="BQ113" s="490">
        <v>1.02</v>
      </c>
      <c r="BS113" s="489">
        <v>290</v>
      </c>
      <c r="BT113" s="490">
        <v>1</v>
      </c>
      <c r="BU113" s="490">
        <v>1.02</v>
      </c>
      <c r="BV113" s="490">
        <v>1.02</v>
      </c>
      <c r="BW113" s="490">
        <v>1.01</v>
      </c>
      <c r="BX113" s="490">
        <v>0.97</v>
      </c>
      <c r="BZ113" s="489">
        <v>290</v>
      </c>
      <c r="CA113" s="490">
        <v>1</v>
      </c>
      <c r="CB113" s="490">
        <v>1</v>
      </c>
      <c r="CC113" s="490">
        <v>0.99</v>
      </c>
      <c r="CD113" s="490">
        <v>0.96</v>
      </c>
      <c r="CE113" s="490">
        <v>0.91</v>
      </c>
      <c r="CG113" s="489">
        <v>290</v>
      </c>
      <c r="CH113" s="490">
        <v>1</v>
      </c>
      <c r="CI113" s="490">
        <v>0.99</v>
      </c>
      <c r="CJ113" s="490">
        <v>0.96</v>
      </c>
      <c r="CK113" s="490">
        <v>0.92</v>
      </c>
      <c r="CL113" s="490">
        <v>0.87</v>
      </c>
      <c r="CN113" s="489">
        <v>290</v>
      </c>
      <c r="CO113" s="490">
        <v>1</v>
      </c>
      <c r="CP113" s="490">
        <v>0.98</v>
      </c>
      <c r="CQ113" s="490">
        <v>0.95</v>
      </c>
      <c r="CR113" s="490">
        <v>0.9</v>
      </c>
      <c r="CS113" s="490">
        <v>0.85</v>
      </c>
    </row>
    <row r="114" spans="3:97" ht="15.75" thickBot="1" x14ac:dyDescent="0.3">
      <c r="C114" s="489">
        <v>40</v>
      </c>
      <c r="D114" s="490">
        <v>0.96</v>
      </c>
      <c r="E114" s="490">
        <v>0.99</v>
      </c>
      <c r="F114" s="491">
        <v>0.99</v>
      </c>
      <c r="G114" s="490">
        <v>0.97</v>
      </c>
      <c r="H114" s="490">
        <v>0.93</v>
      </c>
      <c r="I114" s="490">
        <v>0.88</v>
      </c>
      <c r="J114" s="490">
        <v>0.8</v>
      </c>
      <c r="K114" s="490">
        <v>0.71</v>
      </c>
      <c r="L114" s="490">
        <v>0.62</v>
      </c>
      <c r="M114" s="490">
        <v>0.53</v>
      </c>
      <c r="O114" s="489">
        <v>300</v>
      </c>
      <c r="P114" s="490">
        <v>1</v>
      </c>
      <c r="Q114" s="490">
        <v>0.98</v>
      </c>
      <c r="R114" s="491">
        <v>0.94</v>
      </c>
      <c r="S114" s="490">
        <v>0.89</v>
      </c>
      <c r="T114" s="490">
        <v>0.83</v>
      </c>
      <c r="V114" s="489">
        <v>300</v>
      </c>
      <c r="W114" s="490">
        <v>1</v>
      </c>
      <c r="X114" s="490">
        <v>1</v>
      </c>
      <c r="Y114" s="491">
        <v>0.97</v>
      </c>
      <c r="Z114" s="490">
        <v>0.92</v>
      </c>
      <c r="AA114" s="490">
        <v>0.87</v>
      </c>
      <c r="AC114" s="489">
        <v>300</v>
      </c>
      <c r="AD114" s="490">
        <v>1</v>
      </c>
      <c r="AE114" s="490">
        <v>1.01</v>
      </c>
      <c r="AF114" s="491">
        <v>1</v>
      </c>
      <c r="AG114" s="490">
        <v>0.98</v>
      </c>
      <c r="AH114" s="490">
        <v>0.93</v>
      </c>
      <c r="AJ114" s="489">
        <v>300</v>
      </c>
      <c r="AK114" s="490">
        <v>1</v>
      </c>
      <c r="AL114" s="490">
        <v>1.04</v>
      </c>
      <c r="AM114" s="491">
        <v>1.05</v>
      </c>
      <c r="AN114" s="490">
        <v>1.05</v>
      </c>
      <c r="AO114" s="490">
        <v>1.02</v>
      </c>
      <c r="AQ114" s="489">
        <v>300</v>
      </c>
      <c r="AR114" s="490">
        <v>1</v>
      </c>
      <c r="AS114" s="490">
        <v>1.06</v>
      </c>
      <c r="AT114" s="491">
        <v>1.1000000000000001</v>
      </c>
      <c r="AU114" s="490">
        <v>1.1100000000000001</v>
      </c>
      <c r="AV114" s="490">
        <v>1.1000000000000001</v>
      </c>
      <c r="AX114" s="489">
        <v>300</v>
      </c>
      <c r="AY114" s="490">
        <v>1</v>
      </c>
      <c r="AZ114" s="490">
        <v>1.07</v>
      </c>
      <c r="BA114" s="491">
        <v>1.1100000000000001</v>
      </c>
      <c r="BB114" s="490">
        <v>1.1399999999999999</v>
      </c>
      <c r="BC114" s="490">
        <v>1.1299999999999999</v>
      </c>
      <c r="BE114" s="489">
        <v>300</v>
      </c>
      <c r="BF114" s="490">
        <v>1</v>
      </c>
      <c r="BG114" s="490">
        <v>1.07</v>
      </c>
      <c r="BH114" s="491">
        <v>1.1100000000000001</v>
      </c>
      <c r="BI114" s="490">
        <v>1.1299999999999999</v>
      </c>
      <c r="BJ114" s="490">
        <v>1.1200000000000001</v>
      </c>
      <c r="BL114" s="489">
        <v>300</v>
      </c>
      <c r="BM114" s="490">
        <v>1</v>
      </c>
      <c r="BN114" s="490">
        <v>1.05</v>
      </c>
      <c r="BO114" s="491">
        <v>1.07</v>
      </c>
      <c r="BP114" s="490">
        <v>1.08</v>
      </c>
      <c r="BQ114" s="490">
        <v>1.06</v>
      </c>
      <c r="BS114" s="489">
        <v>300</v>
      </c>
      <c r="BT114" s="490">
        <v>1</v>
      </c>
      <c r="BU114" s="490">
        <v>1.03</v>
      </c>
      <c r="BV114" s="491">
        <v>1.03</v>
      </c>
      <c r="BW114" s="490">
        <v>1.02</v>
      </c>
      <c r="BX114" s="490">
        <v>0.98</v>
      </c>
      <c r="BZ114" s="489">
        <v>300</v>
      </c>
      <c r="CA114" s="490">
        <v>1</v>
      </c>
      <c r="CB114" s="490">
        <v>1</v>
      </c>
      <c r="CC114" s="491">
        <v>0.99</v>
      </c>
      <c r="CD114" s="490">
        <v>0.96</v>
      </c>
      <c r="CE114" s="490">
        <v>0.91</v>
      </c>
      <c r="CG114" s="489">
        <v>300</v>
      </c>
      <c r="CH114" s="490">
        <v>1</v>
      </c>
      <c r="CI114" s="490">
        <v>0.99</v>
      </c>
      <c r="CJ114" s="491">
        <v>0.96</v>
      </c>
      <c r="CK114" s="490">
        <v>0.91</v>
      </c>
      <c r="CL114" s="490">
        <v>0.85</v>
      </c>
      <c r="CN114" s="489">
        <v>300</v>
      </c>
      <c r="CO114" s="490">
        <v>1</v>
      </c>
      <c r="CP114" s="490">
        <v>0.98</v>
      </c>
      <c r="CQ114" s="491">
        <v>0.93</v>
      </c>
      <c r="CR114" s="490">
        <v>0.89</v>
      </c>
      <c r="CS114" s="490">
        <v>0.82</v>
      </c>
    </row>
    <row r="115" spans="3:97" ht="15.75" thickBot="1" x14ac:dyDescent="0.3">
      <c r="C115" s="489">
        <v>50</v>
      </c>
      <c r="D115" s="490">
        <v>0.96</v>
      </c>
      <c r="E115" s="490">
        <v>0.98</v>
      </c>
      <c r="F115" s="491">
        <v>0.99</v>
      </c>
      <c r="G115" s="490">
        <v>0.96</v>
      </c>
      <c r="H115" s="490">
        <v>0.93</v>
      </c>
      <c r="I115" s="490">
        <v>0.87</v>
      </c>
      <c r="J115" s="490">
        <v>0.8</v>
      </c>
      <c r="K115" s="490">
        <v>0.72</v>
      </c>
      <c r="L115" s="490">
        <v>0.63</v>
      </c>
      <c r="M115" s="490">
        <v>0.55000000000000004</v>
      </c>
      <c r="O115" s="489">
        <v>310</v>
      </c>
      <c r="P115" s="490">
        <v>1</v>
      </c>
      <c r="Q115" s="490">
        <v>0.97</v>
      </c>
      <c r="R115" s="491">
        <v>0.93</v>
      </c>
      <c r="S115" s="490">
        <v>0.87</v>
      </c>
      <c r="T115" s="490">
        <v>0.81</v>
      </c>
      <c r="V115" s="489">
        <v>310</v>
      </c>
      <c r="W115" s="490">
        <v>1</v>
      </c>
      <c r="X115" s="490">
        <v>0.99</v>
      </c>
      <c r="Y115" s="491">
        <v>0.96</v>
      </c>
      <c r="Z115" s="490">
        <v>0.92</v>
      </c>
      <c r="AA115" s="490">
        <v>0.86</v>
      </c>
      <c r="AC115" s="489">
        <v>310</v>
      </c>
      <c r="AD115" s="490">
        <v>1</v>
      </c>
      <c r="AE115" s="490">
        <v>1.01</v>
      </c>
      <c r="AF115" s="491">
        <v>1</v>
      </c>
      <c r="AG115" s="490">
        <v>0.98</v>
      </c>
      <c r="AH115" s="490">
        <v>0.94</v>
      </c>
      <c r="AJ115" s="489">
        <v>310</v>
      </c>
      <c r="AK115" s="490">
        <v>1</v>
      </c>
      <c r="AL115" s="490">
        <v>1.05</v>
      </c>
      <c r="AM115" s="491">
        <v>1.07</v>
      </c>
      <c r="AN115" s="490">
        <v>1.07</v>
      </c>
      <c r="AO115" s="490">
        <v>1.05</v>
      </c>
      <c r="AQ115" s="489">
        <v>310</v>
      </c>
      <c r="AR115" s="490">
        <v>1</v>
      </c>
      <c r="AS115" s="490">
        <v>1.08</v>
      </c>
      <c r="AT115" s="491">
        <v>1.1299999999999999</v>
      </c>
      <c r="AU115" s="490">
        <v>1.1499999999999999</v>
      </c>
      <c r="AV115" s="490">
        <v>1.1499999999999999</v>
      </c>
      <c r="AX115" s="489">
        <v>310</v>
      </c>
      <c r="AY115" s="490">
        <v>1</v>
      </c>
      <c r="AZ115" s="490">
        <v>1.0900000000000001</v>
      </c>
      <c r="BA115" s="491">
        <v>1.1499999999999999</v>
      </c>
      <c r="BB115" s="490">
        <v>1.19</v>
      </c>
      <c r="BC115" s="490">
        <v>1.2</v>
      </c>
      <c r="BE115" s="489">
        <v>310</v>
      </c>
      <c r="BF115" s="490">
        <v>1</v>
      </c>
      <c r="BG115" s="490">
        <v>1.0900000000000001</v>
      </c>
      <c r="BH115" s="491">
        <v>1.1499999999999999</v>
      </c>
      <c r="BI115" s="490">
        <v>1.18</v>
      </c>
      <c r="BJ115" s="490">
        <v>1.18</v>
      </c>
      <c r="BL115" s="489">
        <v>310</v>
      </c>
      <c r="BM115" s="490">
        <v>1</v>
      </c>
      <c r="BN115" s="490">
        <v>1.06</v>
      </c>
      <c r="BO115" s="491">
        <v>1.0900000000000001</v>
      </c>
      <c r="BP115" s="490">
        <v>1.1100000000000001</v>
      </c>
      <c r="BQ115" s="490">
        <v>1.0900000000000001</v>
      </c>
      <c r="BS115" s="489">
        <v>310</v>
      </c>
      <c r="BT115" s="490">
        <v>1</v>
      </c>
      <c r="BU115" s="490">
        <v>1.04</v>
      </c>
      <c r="BV115" s="491">
        <v>1.04</v>
      </c>
      <c r="BW115" s="490">
        <v>1.03</v>
      </c>
      <c r="BX115" s="490">
        <v>1</v>
      </c>
      <c r="BZ115" s="489">
        <v>310</v>
      </c>
      <c r="CA115" s="490">
        <v>1</v>
      </c>
      <c r="CB115" s="490">
        <v>1</v>
      </c>
      <c r="CC115" s="491">
        <v>0.99</v>
      </c>
      <c r="CD115" s="490">
        <v>0.95</v>
      </c>
      <c r="CE115" s="490">
        <v>0.9</v>
      </c>
      <c r="CG115" s="489">
        <v>310</v>
      </c>
      <c r="CH115" s="490">
        <v>1</v>
      </c>
      <c r="CI115" s="490">
        <v>0.98</v>
      </c>
      <c r="CJ115" s="491">
        <v>0.94</v>
      </c>
      <c r="CK115" s="490">
        <v>0.89</v>
      </c>
      <c r="CL115" s="490">
        <v>0.83</v>
      </c>
      <c r="CN115" s="489">
        <v>310</v>
      </c>
      <c r="CO115" s="490">
        <v>1</v>
      </c>
      <c r="CP115" s="490">
        <v>0.97</v>
      </c>
      <c r="CQ115" s="491">
        <v>0.92</v>
      </c>
      <c r="CR115" s="490">
        <v>0.87</v>
      </c>
      <c r="CS115" s="490">
        <v>0.79</v>
      </c>
    </row>
    <row r="116" spans="3:97" ht="15.75" thickBot="1" x14ac:dyDescent="0.3">
      <c r="C116" s="489">
        <v>60</v>
      </c>
      <c r="D116" s="490">
        <v>0.96</v>
      </c>
      <c r="E116" s="490">
        <v>0.98</v>
      </c>
      <c r="F116" s="491">
        <v>0.98</v>
      </c>
      <c r="G116" s="490">
        <v>0.96</v>
      </c>
      <c r="H116" s="490">
        <v>0.92</v>
      </c>
      <c r="I116" s="490">
        <v>0.86</v>
      </c>
      <c r="J116" s="490">
        <v>0.8</v>
      </c>
      <c r="K116" s="490">
        <v>0.72</v>
      </c>
      <c r="L116" s="490">
        <v>0.64</v>
      </c>
      <c r="M116" s="490">
        <v>0.56000000000000005</v>
      </c>
      <c r="O116" s="489">
        <v>320</v>
      </c>
      <c r="P116" s="490">
        <v>1</v>
      </c>
      <c r="Q116" s="490">
        <v>0.97</v>
      </c>
      <c r="R116" s="491">
        <v>0.92</v>
      </c>
      <c r="S116" s="490">
        <v>0.86</v>
      </c>
      <c r="T116" s="490">
        <v>0.79</v>
      </c>
      <c r="V116" s="489">
        <v>320</v>
      </c>
      <c r="W116" s="490">
        <v>1</v>
      </c>
      <c r="X116" s="490">
        <v>0.99</v>
      </c>
      <c r="Y116" s="491">
        <v>0.96</v>
      </c>
      <c r="Z116" s="490">
        <v>0.91</v>
      </c>
      <c r="AA116" s="490">
        <v>0.84</v>
      </c>
      <c r="AC116" s="489">
        <v>320</v>
      </c>
      <c r="AD116" s="490">
        <v>1</v>
      </c>
      <c r="AE116" s="490">
        <v>1.01</v>
      </c>
      <c r="AF116" s="491">
        <v>1.01</v>
      </c>
      <c r="AG116" s="490">
        <v>0.99</v>
      </c>
      <c r="AH116" s="490">
        <v>0.94</v>
      </c>
      <c r="AJ116" s="489">
        <v>320</v>
      </c>
      <c r="AK116" s="490">
        <v>1</v>
      </c>
      <c r="AL116" s="490">
        <v>1.06</v>
      </c>
      <c r="AM116" s="491">
        <v>1.0900000000000001</v>
      </c>
      <c r="AN116" s="490">
        <v>1.0900000000000001</v>
      </c>
      <c r="AO116" s="490">
        <v>1.07</v>
      </c>
      <c r="AQ116" s="489">
        <v>320</v>
      </c>
      <c r="AR116" s="490">
        <v>1</v>
      </c>
      <c r="AS116" s="490">
        <v>1.0900000000000001</v>
      </c>
      <c r="AT116" s="491">
        <v>1.1499999999999999</v>
      </c>
      <c r="AU116" s="490">
        <v>1.19</v>
      </c>
      <c r="AV116" s="490">
        <v>1.19</v>
      </c>
      <c r="AX116" s="489">
        <v>320</v>
      </c>
      <c r="AY116" s="490">
        <v>1</v>
      </c>
      <c r="AZ116" s="490">
        <v>1.1000000000000001</v>
      </c>
      <c r="BA116" s="491">
        <v>1.18</v>
      </c>
      <c r="BB116" s="490">
        <v>1.23</v>
      </c>
      <c r="BC116" s="490">
        <v>1.25</v>
      </c>
      <c r="BE116" s="489">
        <v>320</v>
      </c>
      <c r="BF116" s="490">
        <v>1</v>
      </c>
      <c r="BG116" s="490">
        <v>1.1000000000000001</v>
      </c>
      <c r="BH116" s="491">
        <v>1.18</v>
      </c>
      <c r="BI116" s="490">
        <v>1.22</v>
      </c>
      <c r="BJ116" s="490">
        <v>1.23</v>
      </c>
      <c r="BL116" s="489">
        <v>320</v>
      </c>
      <c r="BM116" s="490">
        <v>1</v>
      </c>
      <c r="BN116" s="490">
        <v>1.07</v>
      </c>
      <c r="BO116" s="491">
        <v>1.1200000000000001</v>
      </c>
      <c r="BP116" s="490">
        <v>1.1299999999999999</v>
      </c>
      <c r="BQ116" s="490">
        <v>1.1299999999999999</v>
      </c>
      <c r="BS116" s="489">
        <v>320</v>
      </c>
      <c r="BT116" s="490">
        <v>1</v>
      </c>
      <c r="BU116" s="490">
        <v>1.04</v>
      </c>
      <c r="BV116" s="491">
        <v>1.05</v>
      </c>
      <c r="BW116" s="490">
        <v>1.04</v>
      </c>
      <c r="BX116" s="490">
        <v>1</v>
      </c>
      <c r="BZ116" s="489">
        <v>320</v>
      </c>
      <c r="CA116" s="490">
        <v>1</v>
      </c>
      <c r="CB116" s="490">
        <v>1</v>
      </c>
      <c r="CC116" s="491">
        <v>0.98</v>
      </c>
      <c r="CD116" s="490">
        <v>0.95</v>
      </c>
      <c r="CE116" s="490">
        <v>0.89</v>
      </c>
      <c r="CG116" s="489">
        <v>320</v>
      </c>
      <c r="CH116" s="490">
        <v>1</v>
      </c>
      <c r="CI116" s="490">
        <v>0.98</v>
      </c>
      <c r="CJ116" s="491">
        <v>0.93</v>
      </c>
      <c r="CK116" s="490">
        <v>0.87</v>
      </c>
      <c r="CL116" s="490">
        <v>0.8</v>
      </c>
      <c r="CN116" s="489">
        <v>320</v>
      </c>
      <c r="CO116" s="490">
        <v>1</v>
      </c>
      <c r="CP116" s="490">
        <v>0.96</v>
      </c>
      <c r="CQ116" s="491">
        <v>0.91</v>
      </c>
      <c r="CR116" s="490">
        <v>0.85</v>
      </c>
      <c r="CS116" s="490">
        <v>0.77</v>
      </c>
    </row>
    <row r="117" spans="3:97" ht="15.75" thickBot="1" x14ac:dyDescent="0.3">
      <c r="C117" s="489">
        <v>70</v>
      </c>
      <c r="D117" s="490">
        <v>0.96</v>
      </c>
      <c r="E117" s="490">
        <v>0.97</v>
      </c>
      <c r="F117" s="491">
        <v>0.97</v>
      </c>
      <c r="G117" s="490">
        <v>0.94</v>
      </c>
      <c r="H117" s="490">
        <v>0.91</v>
      </c>
      <c r="I117" s="490">
        <v>0.85</v>
      </c>
      <c r="J117" s="490">
        <v>0.79</v>
      </c>
      <c r="K117" s="490">
        <v>0.72</v>
      </c>
      <c r="L117" s="490">
        <v>0.64</v>
      </c>
      <c r="M117" s="490">
        <v>0.56000000000000005</v>
      </c>
      <c r="O117" s="489">
        <v>330</v>
      </c>
      <c r="P117" s="490">
        <v>1</v>
      </c>
      <c r="Q117" s="490">
        <v>0.97</v>
      </c>
      <c r="R117" s="491">
        <v>0.92</v>
      </c>
      <c r="S117" s="490">
        <v>0.85</v>
      </c>
      <c r="T117" s="490">
        <v>0.77</v>
      </c>
      <c r="V117" s="489">
        <v>330</v>
      </c>
      <c r="W117" s="490">
        <v>1</v>
      </c>
      <c r="X117" s="490">
        <v>0.99</v>
      </c>
      <c r="Y117" s="491">
        <v>0.96</v>
      </c>
      <c r="Z117" s="490">
        <v>0.91</v>
      </c>
      <c r="AA117" s="490">
        <v>0.84</v>
      </c>
      <c r="AC117" s="489">
        <v>330</v>
      </c>
      <c r="AD117" s="490">
        <v>1</v>
      </c>
      <c r="AE117" s="490">
        <v>1.02</v>
      </c>
      <c r="AF117" s="491">
        <v>1.01</v>
      </c>
      <c r="AG117" s="490">
        <v>0.99</v>
      </c>
      <c r="AH117" s="490">
        <v>0.94</v>
      </c>
      <c r="AJ117" s="489">
        <v>330</v>
      </c>
      <c r="AK117" s="490">
        <v>1</v>
      </c>
      <c r="AL117" s="490">
        <v>1.06</v>
      </c>
      <c r="AM117" s="491">
        <v>1.1000000000000001</v>
      </c>
      <c r="AN117" s="490">
        <v>1.1100000000000001</v>
      </c>
      <c r="AO117" s="490">
        <v>1.0900000000000001</v>
      </c>
      <c r="AQ117" s="489">
        <v>330</v>
      </c>
      <c r="AR117" s="490">
        <v>1</v>
      </c>
      <c r="AS117" s="490">
        <v>1.1000000000000001</v>
      </c>
      <c r="AT117" s="491">
        <v>1.18</v>
      </c>
      <c r="AU117" s="490">
        <v>1.22</v>
      </c>
      <c r="AV117" s="490">
        <v>1.23</v>
      </c>
      <c r="AX117" s="489">
        <v>330</v>
      </c>
      <c r="AY117" s="490">
        <v>1</v>
      </c>
      <c r="AZ117" s="490">
        <v>1.1200000000000001</v>
      </c>
      <c r="BA117" s="491">
        <v>1.21</v>
      </c>
      <c r="BB117" s="490">
        <v>1.27</v>
      </c>
      <c r="BC117" s="490">
        <v>1.3</v>
      </c>
      <c r="BE117" s="489">
        <v>330</v>
      </c>
      <c r="BF117" s="490">
        <v>1</v>
      </c>
      <c r="BG117" s="490">
        <v>1.1100000000000001</v>
      </c>
      <c r="BH117" s="491">
        <v>1.2</v>
      </c>
      <c r="BI117" s="490">
        <v>1.25</v>
      </c>
      <c r="BJ117" s="490">
        <v>1.27</v>
      </c>
      <c r="BL117" s="489">
        <v>330</v>
      </c>
      <c r="BM117" s="490">
        <v>1</v>
      </c>
      <c r="BN117" s="490">
        <v>1.08</v>
      </c>
      <c r="BO117" s="491">
        <v>1.1299999999999999</v>
      </c>
      <c r="BP117" s="490">
        <v>1.1599999999999999</v>
      </c>
      <c r="BQ117" s="490">
        <v>1.1499999999999999</v>
      </c>
      <c r="BS117" s="489">
        <v>330</v>
      </c>
      <c r="BT117" s="490">
        <v>1</v>
      </c>
      <c r="BU117" s="490">
        <v>1.04</v>
      </c>
      <c r="BV117" s="491">
        <v>1.06</v>
      </c>
      <c r="BW117" s="490">
        <v>1.05</v>
      </c>
      <c r="BX117" s="490">
        <v>1.01</v>
      </c>
      <c r="BZ117" s="489">
        <v>330</v>
      </c>
      <c r="CA117" s="490">
        <v>1</v>
      </c>
      <c r="CB117" s="490">
        <v>1</v>
      </c>
      <c r="CC117" s="491">
        <v>0.98</v>
      </c>
      <c r="CD117" s="490">
        <v>0.94</v>
      </c>
      <c r="CE117" s="490">
        <v>0.88</v>
      </c>
      <c r="CG117" s="489">
        <v>330</v>
      </c>
      <c r="CH117" s="490">
        <v>1</v>
      </c>
      <c r="CI117" s="490">
        <v>0.98</v>
      </c>
      <c r="CJ117" s="491">
        <v>0.93</v>
      </c>
      <c r="CK117" s="490">
        <v>0.86</v>
      </c>
      <c r="CL117" s="490">
        <v>0.78</v>
      </c>
      <c r="CN117" s="489">
        <v>330</v>
      </c>
      <c r="CO117" s="490">
        <v>1</v>
      </c>
      <c r="CP117" s="490">
        <v>0.96</v>
      </c>
      <c r="CQ117" s="491">
        <v>0.9</v>
      </c>
      <c r="CR117" s="490">
        <v>0.83</v>
      </c>
      <c r="CS117" s="490">
        <v>0.75</v>
      </c>
    </row>
    <row r="118" spans="3:97" ht="15.75" thickBot="1" x14ac:dyDescent="0.3">
      <c r="C118" s="489">
        <v>80</v>
      </c>
      <c r="D118" s="490">
        <v>0.96</v>
      </c>
      <c r="E118" s="490">
        <v>0.97</v>
      </c>
      <c r="F118" s="491">
        <v>0.96</v>
      </c>
      <c r="G118" s="490">
        <v>0.93</v>
      </c>
      <c r="H118" s="490">
        <v>0.89</v>
      </c>
      <c r="I118" s="490">
        <v>0.84</v>
      </c>
      <c r="J118" s="490">
        <v>0.78</v>
      </c>
      <c r="K118" s="490">
        <v>0.71</v>
      </c>
      <c r="L118" s="490">
        <v>0.63</v>
      </c>
      <c r="M118" s="490">
        <v>0.56000000000000005</v>
      </c>
      <c r="O118" s="489">
        <v>340</v>
      </c>
      <c r="P118" s="490">
        <v>1</v>
      </c>
      <c r="Q118" s="490">
        <v>0.97</v>
      </c>
      <c r="R118" s="491">
        <v>0.91</v>
      </c>
      <c r="S118" s="490">
        <v>0.84</v>
      </c>
      <c r="T118" s="490">
        <v>0.76</v>
      </c>
      <c r="V118" s="489">
        <v>340</v>
      </c>
      <c r="W118" s="490">
        <v>1</v>
      </c>
      <c r="X118" s="490">
        <v>0.99</v>
      </c>
      <c r="Y118" s="491">
        <v>0.96</v>
      </c>
      <c r="Z118" s="490">
        <v>0.9</v>
      </c>
      <c r="AA118" s="490">
        <v>0.83</v>
      </c>
      <c r="AC118" s="489">
        <v>340</v>
      </c>
      <c r="AD118" s="490">
        <v>1</v>
      </c>
      <c r="AE118" s="490">
        <v>1.02</v>
      </c>
      <c r="AF118" s="491">
        <v>1.02</v>
      </c>
      <c r="AG118" s="490">
        <v>1</v>
      </c>
      <c r="AH118" s="490">
        <v>0.94</v>
      </c>
      <c r="AJ118" s="489">
        <v>340</v>
      </c>
      <c r="AK118" s="490">
        <v>1</v>
      </c>
      <c r="AL118" s="490">
        <v>1.07</v>
      </c>
      <c r="AM118" s="491">
        <v>1.1100000000000001</v>
      </c>
      <c r="AN118" s="490">
        <v>1.1200000000000001</v>
      </c>
      <c r="AO118" s="490">
        <v>1.1100000000000001</v>
      </c>
      <c r="AQ118" s="489">
        <v>340</v>
      </c>
      <c r="AR118" s="490">
        <v>1</v>
      </c>
      <c r="AS118" s="490">
        <v>1.1100000000000001</v>
      </c>
      <c r="AT118" s="491">
        <v>1.19</v>
      </c>
      <c r="AU118" s="490">
        <v>1.24</v>
      </c>
      <c r="AV118" s="490">
        <v>1.26</v>
      </c>
      <c r="AX118" s="489">
        <v>340</v>
      </c>
      <c r="AY118" s="490">
        <v>1</v>
      </c>
      <c r="AZ118" s="490">
        <v>1.1299999999999999</v>
      </c>
      <c r="BA118" s="491">
        <v>1.23</v>
      </c>
      <c r="BB118" s="490">
        <v>1.3</v>
      </c>
      <c r="BC118" s="490">
        <v>1.33</v>
      </c>
      <c r="BE118" s="489">
        <v>340</v>
      </c>
      <c r="BF118" s="490">
        <v>1</v>
      </c>
      <c r="BG118" s="490">
        <v>1.1200000000000001</v>
      </c>
      <c r="BH118" s="491">
        <v>1.22</v>
      </c>
      <c r="BI118" s="490">
        <v>1.28</v>
      </c>
      <c r="BJ118" s="490">
        <v>1.31</v>
      </c>
      <c r="BL118" s="489">
        <v>340</v>
      </c>
      <c r="BM118" s="490">
        <v>1</v>
      </c>
      <c r="BN118" s="490">
        <v>1.0900000000000001</v>
      </c>
      <c r="BO118" s="491">
        <v>1.1399999999999999</v>
      </c>
      <c r="BP118" s="490">
        <v>1.17</v>
      </c>
      <c r="BQ118" s="490">
        <v>1.17</v>
      </c>
      <c r="BS118" s="489">
        <v>340</v>
      </c>
      <c r="BT118" s="490">
        <v>1</v>
      </c>
      <c r="BU118" s="490">
        <v>1.04</v>
      </c>
      <c r="BV118" s="491">
        <v>1.06</v>
      </c>
      <c r="BW118" s="490">
        <v>1.05</v>
      </c>
      <c r="BX118" s="490">
        <v>1.02</v>
      </c>
      <c r="BZ118" s="489">
        <v>340</v>
      </c>
      <c r="CA118" s="490">
        <v>1</v>
      </c>
      <c r="CB118" s="490">
        <v>1</v>
      </c>
      <c r="CC118" s="491">
        <v>0.98</v>
      </c>
      <c r="CD118" s="490">
        <v>0.93</v>
      </c>
      <c r="CE118" s="490">
        <v>0.87</v>
      </c>
      <c r="CG118" s="489">
        <v>340</v>
      </c>
      <c r="CH118" s="490">
        <v>1</v>
      </c>
      <c r="CI118" s="490">
        <v>0.97</v>
      </c>
      <c r="CJ118" s="491">
        <v>0.92</v>
      </c>
      <c r="CK118" s="490">
        <v>0.85</v>
      </c>
      <c r="CL118" s="490">
        <v>0.76</v>
      </c>
      <c r="CN118" s="489">
        <v>340</v>
      </c>
      <c r="CO118" s="490">
        <v>1</v>
      </c>
      <c r="CP118" s="490">
        <v>0.96</v>
      </c>
      <c r="CQ118" s="491">
        <v>0.9</v>
      </c>
      <c r="CR118" s="490">
        <v>0.82</v>
      </c>
      <c r="CS118" s="490">
        <v>0.74</v>
      </c>
    </row>
    <row r="119" spans="3:97" ht="15.75" thickBot="1" x14ac:dyDescent="0.3">
      <c r="C119" s="489">
        <v>90</v>
      </c>
      <c r="D119" s="490">
        <v>0.96</v>
      </c>
      <c r="E119" s="490">
        <v>0.96</v>
      </c>
      <c r="F119" s="491">
        <v>0.95</v>
      </c>
      <c r="G119" s="490">
        <v>0.92</v>
      </c>
      <c r="H119" s="490">
        <v>0.87</v>
      </c>
      <c r="I119" s="490">
        <v>0.82</v>
      </c>
      <c r="J119" s="490">
        <v>0.76</v>
      </c>
      <c r="K119" s="490">
        <v>0.69</v>
      </c>
      <c r="L119" s="490">
        <v>0.62</v>
      </c>
      <c r="M119" s="490">
        <v>0.55000000000000004</v>
      </c>
      <c r="O119" s="489">
        <v>350</v>
      </c>
      <c r="P119" s="490">
        <v>1</v>
      </c>
      <c r="Q119" s="490">
        <v>0.97</v>
      </c>
      <c r="R119" s="491">
        <v>0.91</v>
      </c>
      <c r="S119" s="490">
        <v>0.83</v>
      </c>
      <c r="T119" s="490">
        <v>0.75</v>
      </c>
      <c r="V119" s="489">
        <v>350</v>
      </c>
      <c r="W119" s="490">
        <v>1</v>
      </c>
      <c r="X119" s="490">
        <v>0.99</v>
      </c>
      <c r="Y119" s="491">
        <v>0.96</v>
      </c>
      <c r="Z119" s="490">
        <v>0.9</v>
      </c>
      <c r="AA119" s="490">
        <v>0.82</v>
      </c>
      <c r="AC119" s="489">
        <v>350</v>
      </c>
      <c r="AD119" s="490">
        <v>1</v>
      </c>
      <c r="AE119" s="490">
        <v>1.02</v>
      </c>
      <c r="AF119" s="491">
        <v>1.02</v>
      </c>
      <c r="AG119" s="490">
        <v>1</v>
      </c>
      <c r="AH119" s="490">
        <v>0.95</v>
      </c>
      <c r="AJ119" s="489">
        <v>350</v>
      </c>
      <c r="AK119" s="490">
        <v>1</v>
      </c>
      <c r="AL119" s="490">
        <v>1.07</v>
      </c>
      <c r="AM119" s="491">
        <v>1.1200000000000001</v>
      </c>
      <c r="AN119" s="490">
        <v>1.1299999999999999</v>
      </c>
      <c r="AO119" s="490">
        <v>1.1200000000000001</v>
      </c>
      <c r="AQ119" s="489">
        <v>350</v>
      </c>
      <c r="AR119" s="490">
        <v>1</v>
      </c>
      <c r="AS119" s="490">
        <v>1.1200000000000001</v>
      </c>
      <c r="AT119" s="491">
        <v>1.2</v>
      </c>
      <c r="AU119" s="490">
        <v>1.26</v>
      </c>
      <c r="AV119" s="490">
        <v>1.28</v>
      </c>
      <c r="AX119" s="489">
        <v>350</v>
      </c>
      <c r="AY119" s="490">
        <v>1</v>
      </c>
      <c r="AZ119" s="490">
        <v>1.1299999999999999</v>
      </c>
      <c r="BA119" s="491">
        <v>1.24</v>
      </c>
      <c r="BB119" s="490">
        <v>1.32</v>
      </c>
      <c r="BC119" s="490">
        <v>1.36</v>
      </c>
      <c r="BE119" s="489">
        <v>350</v>
      </c>
      <c r="BF119" s="490">
        <v>1</v>
      </c>
      <c r="BG119" s="490">
        <v>1.1299999999999999</v>
      </c>
      <c r="BH119" s="491">
        <v>1.23</v>
      </c>
      <c r="BI119" s="490">
        <v>1.29</v>
      </c>
      <c r="BJ119" s="490">
        <v>1.33</v>
      </c>
      <c r="BL119" s="489">
        <v>350</v>
      </c>
      <c r="BM119" s="490">
        <v>1</v>
      </c>
      <c r="BN119" s="490">
        <v>1.0900000000000001</v>
      </c>
      <c r="BO119" s="491">
        <v>1.1499999999999999</v>
      </c>
      <c r="BP119" s="490">
        <v>1.19</v>
      </c>
      <c r="BQ119" s="490">
        <v>1.19</v>
      </c>
      <c r="BS119" s="489">
        <v>350</v>
      </c>
      <c r="BT119" s="490">
        <v>1</v>
      </c>
      <c r="BU119" s="490">
        <v>1.04</v>
      </c>
      <c r="BV119" s="491">
        <v>1.06</v>
      </c>
      <c r="BW119" s="490">
        <v>1.05</v>
      </c>
      <c r="BX119" s="490">
        <v>1.02</v>
      </c>
      <c r="BZ119" s="489">
        <v>350</v>
      </c>
      <c r="CA119" s="490">
        <v>1</v>
      </c>
      <c r="CB119" s="490">
        <v>1</v>
      </c>
      <c r="CC119" s="491">
        <v>0.98</v>
      </c>
      <c r="CD119" s="490">
        <v>0.93</v>
      </c>
      <c r="CE119" s="490">
        <v>0.86</v>
      </c>
      <c r="CG119" s="489">
        <v>350</v>
      </c>
      <c r="CH119" s="490">
        <v>1</v>
      </c>
      <c r="CI119" s="490">
        <v>0.97</v>
      </c>
      <c r="CJ119" s="491">
        <v>0.92</v>
      </c>
      <c r="CK119" s="490">
        <v>0.85</v>
      </c>
      <c r="CL119" s="490">
        <v>0.76</v>
      </c>
      <c r="CN119" s="489">
        <v>350</v>
      </c>
      <c r="CO119" s="490">
        <v>1</v>
      </c>
      <c r="CP119" s="490">
        <v>0.96</v>
      </c>
      <c r="CQ119" s="491">
        <v>0.89</v>
      </c>
      <c r="CR119" s="490">
        <v>0.82</v>
      </c>
      <c r="CS119" s="490">
        <v>0.72</v>
      </c>
    </row>
    <row r="120" spans="3:97" ht="15.75" thickBot="1" x14ac:dyDescent="0.3">
      <c r="C120" s="489">
        <v>100</v>
      </c>
      <c r="D120" s="490">
        <v>0.96</v>
      </c>
      <c r="E120" s="490">
        <v>0.96</v>
      </c>
      <c r="F120" s="491">
        <v>0.93</v>
      </c>
      <c r="G120" s="490">
        <v>0.9</v>
      </c>
      <c r="H120" s="490">
        <v>0.85</v>
      </c>
      <c r="I120" s="490">
        <v>0.79</v>
      </c>
      <c r="J120" s="490">
        <v>0.73</v>
      </c>
      <c r="K120" s="490">
        <v>0.67</v>
      </c>
      <c r="L120" s="490">
        <v>0.59</v>
      </c>
      <c r="M120" s="490">
        <v>0.52</v>
      </c>
      <c r="O120" s="489">
        <v>0</v>
      </c>
      <c r="P120" s="490">
        <v>1</v>
      </c>
      <c r="Q120" s="490">
        <v>0.97</v>
      </c>
      <c r="R120" s="491">
        <v>0.91</v>
      </c>
      <c r="S120" s="490">
        <v>0.84</v>
      </c>
      <c r="T120" s="490">
        <v>0.75</v>
      </c>
      <c r="V120" s="489">
        <v>0</v>
      </c>
      <c r="W120" s="490">
        <v>1</v>
      </c>
      <c r="X120" s="490">
        <v>0.99</v>
      </c>
      <c r="Y120" s="491">
        <v>0.96</v>
      </c>
      <c r="Z120" s="490">
        <v>0.9</v>
      </c>
      <c r="AA120" s="490">
        <v>0.83</v>
      </c>
      <c r="AC120" s="489">
        <v>0</v>
      </c>
      <c r="AD120" s="490">
        <v>1</v>
      </c>
      <c r="AE120" s="490">
        <v>1.02</v>
      </c>
      <c r="AF120" s="491">
        <v>1.02</v>
      </c>
      <c r="AG120" s="490">
        <v>1</v>
      </c>
      <c r="AH120" s="490">
        <v>0.95</v>
      </c>
      <c r="AJ120" s="489">
        <v>0</v>
      </c>
      <c r="AK120" s="490">
        <v>1</v>
      </c>
      <c r="AL120" s="490">
        <v>1.08</v>
      </c>
      <c r="AM120" s="491">
        <v>1.1200000000000001</v>
      </c>
      <c r="AN120" s="490">
        <v>1.1399999999999999</v>
      </c>
      <c r="AO120" s="490">
        <v>1.1200000000000001</v>
      </c>
      <c r="AQ120" s="489">
        <v>0</v>
      </c>
      <c r="AR120" s="490">
        <v>1</v>
      </c>
      <c r="AS120" s="490">
        <v>1.1200000000000001</v>
      </c>
      <c r="AT120" s="491">
        <v>1.21</v>
      </c>
      <c r="AU120" s="490">
        <v>1.26</v>
      </c>
      <c r="AV120" s="490">
        <v>1.28</v>
      </c>
      <c r="AX120" s="489">
        <v>0</v>
      </c>
      <c r="AY120" s="490">
        <v>1</v>
      </c>
      <c r="AZ120" s="490">
        <v>1.1399999999999999</v>
      </c>
      <c r="BA120" s="491">
        <v>1.25</v>
      </c>
      <c r="BB120" s="490">
        <v>1.32</v>
      </c>
      <c r="BC120" s="490">
        <v>1.36</v>
      </c>
      <c r="BE120" s="489">
        <v>0</v>
      </c>
      <c r="BF120" s="490">
        <v>1</v>
      </c>
      <c r="BG120" s="490">
        <v>1.1299999999999999</v>
      </c>
      <c r="BH120" s="491">
        <v>1.23</v>
      </c>
      <c r="BI120" s="490">
        <v>1.3</v>
      </c>
      <c r="BJ120" s="490">
        <v>1.33</v>
      </c>
      <c r="BL120" s="489">
        <v>0</v>
      </c>
      <c r="BM120" s="490">
        <v>1</v>
      </c>
      <c r="BN120" s="490">
        <v>1.0900000000000001</v>
      </c>
      <c r="BO120" s="491">
        <v>1.1499999999999999</v>
      </c>
      <c r="BP120" s="490">
        <v>1.19</v>
      </c>
      <c r="BQ120" s="490">
        <v>1.19</v>
      </c>
      <c r="BS120" s="489">
        <v>0</v>
      </c>
      <c r="BT120" s="490">
        <v>1</v>
      </c>
      <c r="BU120" s="490">
        <v>1.04</v>
      </c>
      <c r="BV120" s="491">
        <v>1.06</v>
      </c>
      <c r="BW120" s="490">
        <v>1.05</v>
      </c>
      <c r="BX120" s="490">
        <v>1.02</v>
      </c>
      <c r="BZ120" s="489">
        <v>0</v>
      </c>
      <c r="CA120" s="490">
        <v>1</v>
      </c>
      <c r="CB120" s="490">
        <v>1</v>
      </c>
      <c r="CC120" s="491">
        <v>0.98</v>
      </c>
      <c r="CD120" s="490">
        <v>0.93</v>
      </c>
      <c r="CE120" s="490">
        <v>0.86</v>
      </c>
      <c r="CG120" s="489">
        <v>0</v>
      </c>
      <c r="CH120" s="490">
        <v>1</v>
      </c>
      <c r="CI120" s="490">
        <v>0.97</v>
      </c>
      <c r="CJ120" s="491">
        <v>0.92</v>
      </c>
      <c r="CK120" s="490">
        <v>0.84</v>
      </c>
      <c r="CL120" s="490">
        <v>0.75</v>
      </c>
      <c r="CN120" s="489">
        <v>0</v>
      </c>
      <c r="CO120" s="490">
        <v>1</v>
      </c>
      <c r="CP120" s="490">
        <v>0.96</v>
      </c>
      <c r="CQ120" s="491">
        <v>0.89</v>
      </c>
      <c r="CR120" s="490">
        <v>0.82</v>
      </c>
      <c r="CS120" s="490">
        <v>0.72</v>
      </c>
    </row>
    <row r="121" spans="3:97" ht="15.75" thickBot="1" x14ac:dyDescent="0.3">
      <c r="C121" s="489">
        <v>110</v>
      </c>
      <c r="D121" s="490">
        <v>0.96</v>
      </c>
      <c r="E121" s="490">
        <v>0.95</v>
      </c>
      <c r="F121" s="491">
        <v>0.93</v>
      </c>
      <c r="G121" s="490">
        <v>0.88</v>
      </c>
      <c r="H121" s="490">
        <v>0.83</v>
      </c>
      <c r="I121" s="490">
        <v>0.77</v>
      </c>
      <c r="J121" s="490">
        <v>0.7</v>
      </c>
      <c r="K121" s="490">
        <v>0.63</v>
      </c>
      <c r="L121" s="490">
        <v>0.56000000000000005</v>
      </c>
      <c r="M121" s="490">
        <v>0.49</v>
      </c>
      <c r="O121" s="489">
        <v>10</v>
      </c>
      <c r="P121" s="490">
        <v>1</v>
      </c>
      <c r="Q121" s="490">
        <v>0.97</v>
      </c>
      <c r="R121" s="491">
        <v>0.91</v>
      </c>
      <c r="S121" s="490">
        <v>0.84</v>
      </c>
      <c r="T121" s="490">
        <v>0.76</v>
      </c>
      <c r="V121" s="489">
        <v>10</v>
      </c>
      <c r="W121" s="490">
        <v>1</v>
      </c>
      <c r="X121" s="490">
        <v>0.99</v>
      </c>
      <c r="Y121" s="491">
        <v>0.96</v>
      </c>
      <c r="Z121" s="490">
        <v>0.91</v>
      </c>
      <c r="AA121" s="490">
        <v>0.83</v>
      </c>
      <c r="AC121" s="489">
        <v>10</v>
      </c>
      <c r="AD121" s="490">
        <v>1</v>
      </c>
      <c r="AE121" s="490">
        <v>1.02</v>
      </c>
      <c r="AF121" s="491">
        <v>1.03</v>
      </c>
      <c r="AG121" s="490">
        <v>1</v>
      </c>
      <c r="AH121" s="490">
        <v>0.95</v>
      </c>
      <c r="AJ121" s="489">
        <v>10</v>
      </c>
      <c r="AK121" s="490">
        <v>1</v>
      </c>
      <c r="AL121" s="490">
        <v>1.07</v>
      </c>
      <c r="AM121" s="491">
        <v>1.1200000000000001</v>
      </c>
      <c r="AN121" s="490">
        <v>1.1299999999999999</v>
      </c>
      <c r="AO121" s="490">
        <v>1.1200000000000001</v>
      </c>
      <c r="AQ121" s="489">
        <v>10</v>
      </c>
      <c r="AR121" s="490">
        <v>1</v>
      </c>
      <c r="AS121" s="490">
        <v>1.1200000000000001</v>
      </c>
      <c r="AT121" s="491">
        <v>1.2</v>
      </c>
      <c r="AU121" s="490">
        <v>1.25</v>
      </c>
      <c r="AV121" s="490">
        <v>1.28</v>
      </c>
      <c r="AX121" s="489">
        <v>10</v>
      </c>
      <c r="AY121" s="490">
        <v>1</v>
      </c>
      <c r="AZ121" s="490">
        <v>1.1299999999999999</v>
      </c>
      <c r="BA121" s="491">
        <v>1.24</v>
      </c>
      <c r="BB121" s="490">
        <v>1.31</v>
      </c>
      <c r="BC121" s="490">
        <v>1.35</v>
      </c>
      <c r="BE121" s="489">
        <v>10</v>
      </c>
      <c r="BF121" s="490">
        <v>1</v>
      </c>
      <c r="BG121" s="490">
        <v>1.1299999999999999</v>
      </c>
      <c r="BH121" s="491">
        <v>1.23</v>
      </c>
      <c r="BI121" s="490">
        <v>1.29</v>
      </c>
      <c r="BJ121" s="490">
        <v>1.32</v>
      </c>
      <c r="BL121" s="489">
        <v>10</v>
      </c>
      <c r="BM121" s="490">
        <v>1</v>
      </c>
      <c r="BN121" s="490">
        <v>1.0900000000000001</v>
      </c>
      <c r="BO121" s="491">
        <v>1.1499999999999999</v>
      </c>
      <c r="BP121" s="490">
        <v>1.18</v>
      </c>
      <c r="BQ121" s="490">
        <v>1.18</v>
      </c>
      <c r="BS121" s="489">
        <v>10</v>
      </c>
      <c r="BT121" s="490">
        <v>1</v>
      </c>
      <c r="BU121" s="490">
        <v>1.04</v>
      </c>
      <c r="BV121" s="491">
        <v>1.06</v>
      </c>
      <c r="BW121" s="490">
        <v>1.05</v>
      </c>
      <c r="BX121" s="490">
        <v>1.01</v>
      </c>
      <c r="BZ121" s="489">
        <v>10</v>
      </c>
      <c r="CA121" s="490">
        <v>1</v>
      </c>
      <c r="CB121" s="490">
        <v>1</v>
      </c>
      <c r="CC121" s="491">
        <v>0.98</v>
      </c>
      <c r="CD121" s="490">
        <v>0.93</v>
      </c>
      <c r="CE121" s="490">
        <v>0.86</v>
      </c>
      <c r="CG121" s="489">
        <v>10</v>
      </c>
      <c r="CH121" s="490">
        <v>1</v>
      </c>
      <c r="CI121" s="490">
        <v>0.97</v>
      </c>
      <c r="CJ121" s="491">
        <v>0.92</v>
      </c>
      <c r="CK121" s="490">
        <v>0.85</v>
      </c>
      <c r="CL121" s="490">
        <v>0.76</v>
      </c>
      <c r="CN121" s="489">
        <v>10</v>
      </c>
      <c r="CO121" s="490">
        <v>1</v>
      </c>
      <c r="CP121" s="490">
        <v>0.96</v>
      </c>
      <c r="CQ121" s="491">
        <v>0.9</v>
      </c>
      <c r="CR121" s="490">
        <v>0.82</v>
      </c>
      <c r="CS121" s="490">
        <v>0.73</v>
      </c>
    </row>
    <row r="122" spans="3:97" ht="15.75" thickBot="1" x14ac:dyDescent="0.3">
      <c r="C122" s="489">
        <v>120</v>
      </c>
      <c r="D122" s="490">
        <v>0.96</v>
      </c>
      <c r="E122" s="490">
        <v>0.94</v>
      </c>
      <c r="F122" s="491">
        <v>0.91</v>
      </c>
      <c r="G122" s="490">
        <v>0.86</v>
      </c>
      <c r="H122" s="490">
        <v>0.8</v>
      </c>
      <c r="I122" s="490">
        <v>0.74</v>
      </c>
      <c r="J122" s="490">
        <v>0.67</v>
      </c>
      <c r="K122" s="490">
        <v>0.59</v>
      </c>
      <c r="L122" s="490">
        <v>0.52</v>
      </c>
      <c r="M122" s="490">
        <v>0.46</v>
      </c>
      <c r="O122" s="489">
        <v>20</v>
      </c>
      <c r="P122" s="490">
        <v>1</v>
      </c>
      <c r="Q122" s="490">
        <v>0.97</v>
      </c>
      <c r="R122" s="491">
        <v>0.92</v>
      </c>
      <c r="S122" s="490">
        <v>0.85</v>
      </c>
      <c r="T122" s="490">
        <v>0.77</v>
      </c>
      <c r="V122" s="489">
        <v>20</v>
      </c>
      <c r="W122" s="490">
        <v>1</v>
      </c>
      <c r="X122" s="490">
        <v>1</v>
      </c>
      <c r="Y122" s="491">
        <v>0.97</v>
      </c>
      <c r="Z122" s="490">
        <v>0.91</v>
      </c>
      <c r="AA122" s="490">
        <v>0.85</v>
      </c>
      <c r="AC122" s="489">
        <v>20</v>
      </c>
      <c r="AD122" s="490">
        <v>1</v>
      </c>
      <c r="AE122" s="490">
        <v>1.02</v>
      </c>
      <c r="AF122" s="491">
        <v>1.03</v>
      </c>
      <c r="AG122" s="490">
        <v>1</v>
      </c>
      <c r="AH122" s="490">
        <v>0.96</v>
      </c>
      <c r="AJ122" s="489">
        <v>20</v>
      </c>
      <c r="AK122" s="490">
        <v>1</v>
      </c>
      <c r="AL122" s="490">
        <v>1.07</v>
      </c>
      <c r="AM122" s="491">
        <v>1.1100000000000001</v>
      </c>
      <c r="AN122" s="490">
        <v>1.1200000000000001</v>
      </c>
      <c r="AO122" s="490">
        <v>1.1100000000000001</v>
      </c>
      <c r="AQ122" s="489">
        <v>20</v>
      </c>
      <c r="AR122" s="490">
        <v>1</v>
      </c>
      <c r="AS122" s="490">
        <v>1.1100000000000001</v>
      </c>
      <c r="AT122" s="491">
        <v>1.19</v>
      </c>
      <c r="AU122" s="490">
        <v>1.24</v>
      </c>
      <c r="AV122" s="490">
        <v>1.26</v>
      </c>
      <c r="AX122" s="489">
        <v>20</v>
      </c>
      <c r="AY122" s="490">
        <v>1</v>
      </c>
      <c r="AZ122" s="490">
        <v>1.1299999999999999</v>
      </c>
      <c r="BA122" s="491">
        <v>1.23</v>
      </c>
      <c r="BB122" s="490">
        <v>1.3</v>
      </c>
      <c r="BC122" s="490">
        <v>1.33</v>
      </c>
      <c r="BE122" s="489">
        <v>20</v>
      </c>
      <c r="BF122" s="490">
        <v>1</v>
      </c>
      <c r="BG122" s="490">
        <v>1.1200000000000001</v>
      </c>
      <c r="BH122" s="491">
        <v>1.21</v>
      </c>
      <c r="BI122" s="490">
        <v>1.27</v>
      </c>
      <c r="BJ122" s="490">
        <v>1.3</v>
      </c>
      <c r="BL122" s="489">
        <v>20</v>
      </c>
      <c r="BM122" s="490">
        <v>1</v>
      </c>
      <c r="BN122" s="490">
        <v>1.08</v>
      </c>
      <c r="BO122" s="491">
        <v>1.1399999999999999</v>
      </c>
      <c r="BP122" s="490">
        <v>1.17</v>
      </c>
      <c r="BQ122" s="490">
        <v>1.1599999999999999</v>
      </c>
      <c r="BS122" s="489">
        <v>20</v>
      </c>
      <c r="BT122" s="490">
        <v>1</v>
      </c>
      <c r="BU122" s="490">
        <v>1.04</v>
      </c>
      <c r="BV122" s="491">
        <v>1.06</v>
      </c>
      <c r="BW122" s="490">
        <v>1.04</v>
      </c>
      <c r="BX122" s="490">
        <v>1</v>
      </c>
      <c r="BZ122" s="489">
        <v>20</v>
      </c>
      <c r="CA122" s="490">
        <v>1</v>
      </c>
      <c r="CB122" s="490">
        <v>1</v>
      </c>
      <c r="CC122" s="491">
        <v>0.97</v>
      </c>
      <c r="CD122" s="490">
        <v>0.93</v>
      </c>
      <c r="CE122" s="490">
        <v>0.86</v>
      </c>
      <c r="CG122" s="489">
        <v>20</v>
      </c>
      <c r="CH122" s="490">
        <v>1</v>
      </c>
      <c r="CI122" s="490">
        <v>0.98</v>
      </c>
      <c r="CJ122" s="491">
        <v>0.92</v>
      </c>
      <c r="CK122" s="490">
        <v>0.85</v>
      </c>
      <c r="CL122" s="490">
        <v>0.77</v>
      </c>
      <c r="CN122" s="489">
        <v>20</v>
      </c>
      <c r="CO122" s="490">
        <v>1</v>
      </c>
      <c r="CP122" s="490">
        <v>0.96</v>
      </c>
      <c r="CQ122" s="491">
        <v>0.9</v>
      </c>
      <c r="CR122" s="490">
        <v>0.83</v>
      </c>
      <c r="CS122" s="490">
        <v>0.75</v>
      </c>
    </row>
    <row r="123" spans="3:97" ht="15.75" thickBot="1" x14ac:dyDescent="0.3">
      <c r="C123" s="489">
        <v>130</v>
      </c>
      <c r="D123" s="490">
        <v>0.96</v>
      </c>
      <c r="E123" s="490">
        <v>0.94</v>
      </c>
      <c r="F123" s="491">
        <v>0.9</v>
      </c>
      <c r="G123" s="490">
        <v>0.84</v>
      </c>
      <c r="H123" s="490">
        <v>0.78</v>
      </c>
      <c r="I123" s="490">
        <v>0.7</v>
      </c>
      <c r="J123" s="490">
        <v>0.63</v>
      </c>
      <c r="K123" s="490">
        <v>0.56000000000000005</v>
      </c>
      <c r="L123" s="490">
        <v>0.48</v>
      </c>
      <c r="M123" s="490">
        <v>0.41</v>
      </c>
      <c r="O123" s="489">
        <v>30</v>
      </c>
      <c r="P123" s="490">
        <v>1</v>
      </c>
      <c r="Q123" s="490">
        <v>0.98</v>
      </c>
      <c r="R123" s="491">
        <v>0.93</v>
      </c>
      <c r="S123" s="490">
        <v>0.87</v>
      </c>
      <c r="T123" s="490">
        <v>0.79</v>
      </c>
      <c r="V123" s="489">
        <v>30</v>
      </c>
      <c r="W123" s="490">
        <v>1</v>
      </c>
      <c r="X123" s="490">
        <v>1</v>
      </c>
      <c r="Y123" s="491">
        <v>0.97</v>
      </c>
      <c r="Z123" s="490">
        <v>0.92</v>
      </c>
      <c r="AA123" s="490">
        <v>0.86</v>
      </c>
      <c r="AC123" s="489">
        <v>30</v>
      </c>
      <c r="AD123" s="490">
        <v>1</v>
      </c>
      <c r="AE123" s="490">
        <v>1.02</v>
      </c>
      <c r="AF123" s="491">
        <v>1.02</v>
      </c>
      <c r="AG123" s="490">
        <v>1</v>
      </c>
      <c r="AH123" s="490">
        <v>0.96</v>
      </c>
      <c r="AJ123" s="489">
        <v>30</v>
      </c>
      <c r="AK123" s="490">
        <v>1</v>
      </c>
      <c r="AL123" s="490">
        <v>1.06</v>
      </c>
      <c r="AM123" s="491">
        <v>1.1000000000000001</v>
      </c>
      <c r="AN123" s="490">
        <v>1.1100000000000001</v>
      </c>
      <c r="AO123" s="490">
        <v>1.0900000000000001</v>
      </c>
      <c r="AQ123" s="489">
        <v>30</v>
      </c>
      <c r="AR123" s="490">
        <v>1</v>
      </c>
      <c r="AS123" s="490">
        <v>1.1000000000000001</v>
      </c>
      <c r="AT123" s="491">
        <v>1.17</v>
      </c>
      <c r="AU123" s="490">
        <v>1.22</v>
      </c>
      <c r="AV123" s="490">
        <v>1.23</v>
      </c>
      <c r="AX123" s="489">
        <v>30</v>
      </c>
      <c r="AY123" s="490">
        <v>1</v>
      </c>
      <c r="AZ123" s="490">
        <v>1.1200000000000001</v>
      </c>
      <c r="BA123" s="491">
        <v>1.21</v>
      </c>
      <c r="BB123" s="490">
        <v>1.27</v>
      </c>
      <c r="BC123" s="490">
        <v>1.29</v>
      </c>
      <c r="BE123" s="489">
        <v>30</v>
      </c>
      <c r="BF123" s="490">
        <v>1</v>
      </c>
      <c r="BG123" s="490">
        <v>1.1100000000000001</v>
      </c>
      <c r="BH123" s="491">
        <v>1.19</v>
      </c>
      <c r="BI123" s="490">
        <v>1.25</v>
      </c>
      <c r="BJ123" s="490">
        <v>1.26</v>
      </c>
      <c r="BL123" s="489">
        <v>30</v>
      </c>
      <c r="BM123" s="490">
        <v>1</v>
      </c>
      <c r="BN123" s="490">
        <v>1.08</v>
      </c>
      <c r="BO123" s="491">
        <v>1.1299999999999999</v>
      </c>
      <c r="BP123" s="490">
        <v>1.1499999999999999</v>
      </c>
      <c r="BQ123" s="490">
        <v>1.1399999999999999</v>
      </c>
      <c r="BS123" s="489">
        <v>30</v>
      </c>
      <c r="BT123" s="490">
        <v>1</v>
      </c>
      <c r="BU123" s="490">
        <v>1.04</v>
      </c>
      <c r="BV123" s="491">
        <v>1.05</v>
      </c>
      <c r="BW123" s="490">
        <v>1.03</v>
      </c>
      <c r="BX123" s="490">
        <v>1</v>
      </c>
      <c r="BZ123" s="489">
        <v>30</v>
      </c>
      <c r="CA123" s="490">
        <v>1</v>
      </c>
      <c r="CB123" s="490">
        <v>1</v>
      </c>
      <c r="CC123" s="491">
        <v>0.98</v>
      </c>
      <c r="CD123" s="490">
        <v>0.93</v>
      </c>
      <c r="CE123" s="490">
        <v>0.86</v>
      </c>
      <c r="CG123" s="489">
        <v>30</v>
      </c>
      <c r="CH123" s="490">
        <v>1</v>
      </c>
      <c r="CI123" s="490">
        <v>0.98</v>
      </c>
      <c r="CJ123" s="491">
        <v>0.93</v>
      </c>
      <c r="CK123" s="490">
        <v>0.87</v>
      </c>
      <c r="CL123" s="490">
        <v>0.79</v>
      </c>
      <c r="CN123" s="489">
        <v>30</v>
      </c>
      <c r="CO123" s="490">
        <v>1</v>
      </c>
      <c r="CP123" s="490">
        <v>0.97</v>
      </c>
      <c r="CQ123" s="491">
        <v>0.91</v>
      </c>
      <c r="CR123" s="490">
        <v>0.85</v>
      </c>
      <c r="CS123" s="490">
        <v>0.77</v>
      </c>
    </row>
    <row r="124" spans="3:97" ht="15.75" thickBot="1" x14ac:dyDescent="0.3">
      <c r="C124" s="489">
        <v>140</v>
      </c>
      <c r="D124" s="490">
        <v>0.96</v>
      </c>
      <c r="E124" s="490">
        <v>0.93</v>
      </c>
      <c r="F124" s="491">
        <v>0.89</v>
      </c>
      <c r="G124" s="490">
        <v>0.82</v>
      </c>
      <c r="H124" s="490">
        <v>0.75</v>
      </c>
      <c r="I124" s="490">
        <v>0.67</v>
      </c>
      <c r="J124" s="490">
        <v>0.59</v>
      </c>
      <c r="K124" s="490">
        <v>0.51</v>
      </c>
      <c r="L124" s="490">
        <v>0.44</v>
      </c>
      <c r="M124" s="490">
        <v>0.37</v>
      </c>
      <c r="O124" s="489">
        <v>40</v>
      </c>
      <c r="P124" s="490">
        <v>1</v>
      </c>
      <c r="Q124" s="490">
        <v>0.98</v>
      </c>
      <c r="R124" s="491">
        <v>0.94</v>
      </c>
      <c r="S124" s="490">
        <v>0.89</v>
      </c>
      <c r="T124" s="490">
        <v>0.82</v>
      </c>
      <c r="V124" s="489">
        <v>40</v>
      </c>
      <c r="W124" s="490">
        <v>1</v>
      </c>
      <c r="X124" s="490">
        <v>1</v>
      </c>
      <c r="Y124" s="491">
        <v>0.98</v>
      </c>
      <c r="Z124" s="490">
        <v>0.93</v>
      </c>
      <c r="AA124" s="490">
        <v>0.88</v>
      </c>
      <c r="AC124" s="489">
        <v>40</v>
      </c>
      <c r="AD124" s="490">
        <v>1</v>
      </c>
      <c r="AE124" s="490">
        <v>1.02</v>
      </c>
      <c r="AF124" s="491">
        <v>1.02</v>
      </c>
      <c r="AG124" s="490">
        <v>1</v>
      </c>
      <c r="AH124" s="490">
        <v>0.96</v>
      </c>
      <c r="AJ124" s="489">
        <v>40</v>
      </c>
      <c r="AK124" s="490">
        <v>1</v>
      </c>
      <c r="AL124" s="490">
        <v>1.06</v>
      </c>
      <c r="AM124" s="491">
        <v>1.0900000000000001</v>
      </c>
      <c r="AN124" s="490">
        <v>1.1000000000000001</v>
      </c>
      <c r="AO124" s="490">
        <v>1.08</v>
      </c>
      <c r="AQ124" s="489">
        <v>40</v>
      </c>
      <c r="AR124" s="490">
        <v>1</v>
      </c>
      <c r="AS124" s="490">
        <v>1.0900000000000001</v>
      </c>
      <c r="AT124" s="491">
        <v>1.1499999999999999</v>
      </c>
      <c r="AU124" s="490">
        <v>1.19</v>
      </c>
      <c r="AV124" s="490">
        <v>1.19</v>
      </c>
      <c r="AX124" s="489">
        <v>40</v>
      </c>
      <c r="AY124" s="490">
        <v>1</v>
      </c>
      <c r="AZ124" s="490">
        <v>1.1000000000000001</v>
      </c>
      <c r="BA124" s="491">
        <v>1.18</v>
      </c>
      <c r="BB124" s="490">
        <v>1.23</v>
      </c>
      <c r="BC124" s="490">
        <v>1.24</v>
      </c>
      <c r="BE124" s="489">
        <v>40</v>
      </c>
      <c r="BF124" s="490">
        <v>1</v>
      </c>
      <c r="BG124" s="490">
        <v>1.1000000000000001</v>
      </c>
      <c r="BH124" s="491">
        <v>1.17</v>
      </c>
      <c r="BI124" s="490">
        <v>1.21</v>
      </c>
      <c r="BJ124" s="490">
        <v>1.22</v>
      </c>
      <c r="BL124" s="489">
        <v>40</v>
      </c>
      <c r="BM124" s="490">
        <v>1</v>
      </c>
      <c r="BN124" s="490">
        <v>1.06</v>
      </c>
      <c r="BO124" s="491">
        <v>1.1100000000000001</v>
      </c>
      <c r="BP124" s="490">
        <v>1.1200000000000001</v>
      </c>
      <c r="BQ124" s="490">
        <v>1.1100000000000001</v>
      </c>
      <c r="BS124" s="489">
        <v>40</v>
      </c>
      <c r="BT124" s="490">
        <v>1</v>
      </c>
      <c r="BU124" s="490">
        <v>1.03</v>
      </c>
      <c r="BV124" s="491">
        <v>1.04</v>
      </c>
      <c r="BW124" s="490">
        <v>1.02</v>
      </c>
      <c r="BX124" s="490">
        <v>0.98</v>
      </c>
      <c r="BZ124" s="489">
        <v>40</v>
      </c>
      <c r="CA124" s="490">
        <v>1</v>
      </c>
      <c r="CB124" s="490">
        <v>1</v>
      </c>
      <c r="CC124" s="491">
        <v>0.98</v>
      </c>
      <c r="CD124" s="490">
        <v>0.93</v>
      </c>
      <c r="CE124" s="490">
        <v>0.88</v>
      </c>
      <c r="CG124" s="489">
        <v>40</v>
      </c>
      <c r="CH124" s="490">
        <v>1</v>
      </c>
      <c r="CI124" s="490">
        <v>0.98</v>
      </c>
      <c r="CJ124" s="491">
        <v>0.94</v>
      </c>
      <c r="CK124" s="490">
        <v>0.88</v>
      </c>
      <c r="CL124" s="490">
        <v>0.81</v>
      </c>
      <c r="CN124" s="489">
        <v>40</v>
      </c>
      <c r="CO124" s="490">
        <v>1</v>
      </c>
      <c r="CP124" s="490">
        <v>0.97</v>
      </c>
      <c r="CQ124" s="491">
        <v>0.93</v>
      </c>
      <c r="CR124" s="490">
        <v>0.87</v>
      </c>
      <c r="CS124" s="490">
        <v>0.79</v>
      </c>
    </row>
    <row r="125" spans="3:97" ht="15.75" thickBot="1" x14ac:dyDescent="0.3">
      <c r="C125" s="489">
        <v>150</v>
      </c>
      <c r="D125" s="490">
        <v>0.96</v>
      </c>
      <c r="E125" s="490">
        <v>0.93</v>
      </c>
      <c r="F125" s="491">
        <v>0.88</v>
      </c>
      <c r="G125" s="490">
        <v>0.81</v>
      </c>
      <c r="H125" s="490">
        <v>0.73</v>
      </c>
      <c r="I125" s="490">
        <v>0.64</v>
      </c>
      <c r="J125" s="490">
        <v>0.55000000000000004</v>
      </c>
      <c r="K125" s="490">
        <v>0.46</v>
      </c>
      <c r="L125" s="490">
        <v>0.39</v>
      </c>
      <c r="M125" s="490">
        <v>0.33</v>
      </c>
      <c r="O125" s="489">
        <v>50</v>
      </c>
      <c r="P125" s="490">
        <v>1</v>
      </c>
      <c r="Q125" s="490">
        <v>0.99</v>
      </c>
      <c r="R125" s="491">
        <v>0.95</v>
      </c>
      <c r="S125" s="490">
        <v>0.91</v>
      </c>
      <c r="T125" s="490">
        <v>0.84</v>
      </c>
      <c r="V125" s="489">
        <v>50</v>
      </c>
      <c r="W125" s="490">
        <v>1</v>
      </c>
      <c r="X125" s="490">
        <v>1</v>
      </c>
      <c r="Y125" s="491">
        <v>0.98</v>
      </c>
      <c r="Z125" s="490">
        <v>0.95</v>
      </c>
      <c r="AA125" s="490">
        <v>0.89</v>
      </c>
      <c r="AC125" s="489">
        <v>50</v>
      </c>
      <c r="AD125" s="490">
        <v>1</v>
      </c>
      <c r="AE125" s="490">
        <v>1.02</v>
      </c>
      <c r="AF125" s="491">
        <v>1.02</v>
      </c>
      <c r="AG125" s="490">
        <v>1</v>
      </c>
      <c r="AH125" s="490">
        <v>0.96</v>
      </c>
      <c r="AJ125" s="489">
        <v>50</v>
      </c>
      <c r="AK125" s="490">
        <v>1</v>
      </c>
      <c r="AL125" s="490">
        <v>1.05</v>
      </c>
      <c r="AM125" s="491">
        <v>1.08</v>
      </c>
      <c r="AN125" s="490">
        <v>1.08</v>
      </c>
      <c r="AO125" s="490">
        <v>1.05</v>
      </c>
      <c r="AQ125" s="489">
        <v>50</v>
      </c>
      <c r="AR125" s="490">
        <v>1</v>
      </c>
      <c r="AS125" s="490">
        <v>1.08</v>
      </c>
      <c r="AT125" s="491">
        <v>1.1299999999999999</v>
      </c>
      <c r="AU125" s="490">
        <v>1.1499999999999999</v>
      </c>
      <c r="AV125" s="490">
        <v>1.1399999999999999</v>
      </c>
      <c r="AX125" s="489">
        <v>50</v>
      </c>
      <c r="AY125" s="490">
        <v>1</v>
      </c>
      <c r="AZ125" s="490">
        <v>1.0900000000000001</v>
      </c>
      <c r="BA125" s="491">
        <v>1.1499999999999999</v>
      </c>
      <c r="BB125" s="490">
        <v>1.18</v>
      </c>
      <c r="BC125" s="490">
        <v>1.19</v>
      </c>
      <c r="BE125" s="489">
        <v>50</v>
      </c>
      <c r="BF125" s="490">
        <v>1</v>
      </c>
      <c r="BG125" s="490">
        <v>1.0900000000000001</v>
      </c>
      <c r="BH125" s="491">
        <v>1.1399999999999999</v>
      </c>
      <c r="BI125" s="490">
        <v>1.17</v>
      </c>
      <c r="BJ125" s="490">
        <v>1.17</v>
      </c>
      <c r="BL125" s="489">
        <v>50</v>
      </c>
      <c r="BM125" s="490">
        <v>1</v>
      </c>
      <c r="BN125" s="490">
        <v>1.06</v>
      </c>
      <c r="BO125" s="491">
        <v>1.0900000000000001</v>
      </c>
      <c r="BP125" s="490">
        <v>1.0900000000000001</v>
      </c>
      <c r="BQ125" s="490">
        <v>1.07</v>
      </c>
      <c r="BS125" s="489">
        <v>50</v>
      </c>
      <c r="BT125" s="490">
        <v>1</v>
      </c>
      <c r="BU125" s="490">
        <v>1.03</v>
      </c>
      <c r="BV125" s="491">
        <v>1.03</v>
      </c>
      <c r="BW125" s="490">
        <v>1.01</v>
      </c>
      <c r="BX125" s="490">
        <v>0.97</v>
      </c>
      <c r="BZ125" s="489">
        <v>50</v>
      </c>
      <c r="CA125" s="490">
        <v>1</v>
      </c>
      <c r="CB125" s="490">
        <v>1</v>
      </c>
      <c r="CC125" s="491">
        <v>0.98</v>
      </c>
      <c r="CD125" s="490">
        <v>0.93</v>
      </c>
      <c r="CE125" s="490">
        <v>0.88</v>
      </c>
      <c r="CG125" s="489">
        <v>50</v>
      </c>
      <c r="CH125" s="490">
        <v>1</v>
      </c>
      <c r="CI125" s="490">
        <v>0.98</v>
      </c>
      <c r="CJ125" s="491">
        <v>0.95</v>
      </c>
      <c r="CK125" s="490">
        <v>0.89</v>
      </c>
      <c r="CL125" s="490">
        <v>0.83</v>
      </c>
      <c r="CN125" s="489">
        <v>50</v>
      </c>
      <c r="CO125" s="490">
        <v>1</v>
      </c>
      <c r="CP125" s="490">
        <v>0.98</v>
      </c>
      <c r="CQ125" s="491">
        <v>0.94</v>
      </c>
      <c r="CR125" s="490">
        <v>0.89</v>
      </c>
      <c r="CS125" s="490">
        <v>0.82</v>
      </c>
    </row>
    <row r="126" spans="3:97" ht="15.75" thickBot="1" x14ac:dyDescent="0.3">
      <c r="C126" s="489">
        <v>160</v>
      </c>
      <c r="D126" s="490">
        <v>0.96</v>
      </c>
      <c r="E126" s="490">
        <v>0.93</v>
      </c>
      <c r="F126" s="491">
        <v>0.87</v>
      </c>
      <c r="G126" s="490">
        <v>0.8</v>
      </c>
      <c r="H126" s="490">
        <v>0.71</v>
      </c>
      <c r="I126" s="490">
        <v>0.61</v>
      </c>
      <c r="J126" s="490">
        <v>0.51</v>
      </c>
      <c r="K126" s="490">
        <v>0.43</v>
      </c>
      <c r="L126" s="490">
        <v>0.36</v>
      </c>
      <c r="M126" s="490">
        <v>0.3</v>
      </c>
      <c r="O126" s="489">
        <v>60</v>
      </c>
      <c r="P126" s="490">
        <v>1</v>
      </c>
      <c r="Q126" s="490">
        <v>0.99</v>
      </c>
      <c r="R126" s="491">
        <v>0.97</v>
      </c>
      <c r="S126" s="490">
        <v>0.92</v>
      </c>
      <c r="T126" s="490">
        <v>0.87</v>
      </c>
      <c r="V126" s="489">
        <v>60</v>
      </c>
      <c r="W126" s="490">
        <v>1</v>
      </c>
      <c r="X126" s="490">
        <v>1</v>
      </c>
      <c r="Y126" s="491">
        <v>0.99</v>
      </c>
      <c r="Z126" s="490">
        <v>0.96</v>
      </c>
      <c r="AA126" s="490">
        <v>0.91</v>
      </c>
      <c r="AC126" s="489">
        <v>60</v>
      </c>
      <c r="AD126" s="490">
        <v>1</v>
      </c>
      <c r="AE126" s="490">
        <v>1.02</v>
      </c>
      <c r="AF126" s="491">
        <v>1.01</v>
      </c>
      <c r="AG126" s="490">
        <v>1</v>
      </c>
      <c r="AH126" s="490">
        <v>0.96</v>
      </c>
      <c r="AJ126" s="489">
        <v>60</v>
      </c>
      <c r="AK126" s="490">
        <v>1</v>
      </c>
      <c r="AL126" s="490">
        <v>1.04</v>
      </c>
      <c r="AM126" s="491">
        <v>1.06</v>
      </c>
      <c r="AN126" s="490">
        <v>1.05</v>
      </c>
      <c r="AO126" s="490">
        <v>1.03</v>
      </c>
      <c r="AQ126" s="489">
        <v>60</v>
      </c>
      <c r="AR126" s="490">
        <v>1</v>
      </c>
      <c r="AS126" s="490">
        <v>1.06</v>
      </c>
      <c r="AT126" s="491">
        <v>1.1000000000000001</v>
      </c>
      <c r="AU126" s="490">
        <v>1.1000000000000001</v>
      </c>
      <c r="AV126" s="490">
        <v>1.0900000000000001</v>
      </c>
      <c r="AX126" s="489">
        <v>60</v>
      </c>
      <c r="AY126" s="490">
        <v>1</v>
      </c>
      <c r="AZ126" s="490">
        <v>1.07</v>
      </c>
      <c r="BA126" s="491">
        <v>1.1100000000000001</v>
      </c>
      <c r="BB126" s="490">
        <v>1.1299999999999999</v>
      </c>
      <c r="BC126" s="490">
        <v>1.1299999999999999</v>
      </c>
      <c r="BE126" s="489">
        <v>60</v>
      </c>
      <c r="BF126" s="490">
        <v>1</v>
      </c>
      <c r="BG126" s="490">
        <v>1.07</v>
      </c>
      <c r="BH126" s="491">
        <v>1.1000000000000001</v>
      </c>
      <c r="BI126" s="490">
        <v>1.1200000000000001</v>
      </c>
      <c r="BJ126" s="490">
        <v>1.1100000000000001</v>
      </c>
      <c r="BL126" s="489">
        <v>60</v>
      </c>
      <c r="BM126" s="490">
        <v>1</v>
      </c>
      <c r="BN126" s="490">
        <v>1.04</v>
      </c>
      <c r="BO126" s="491">
        <v>1.06</v>
      </c>
      <c r="BP126" s="490">
        <v>1.06</v>
      </c>
      <c r="BQ126" s="490">
        <v>1.04</v>
      </c>
      <c r="BS126" s="489">
        <v>60</v>
      </c>
      <c r="BT126" s="490">
        <v>1</v>
      </c>
      <c r="BU126" s="490">
        <v>1.02</v>
      </c>
      <c r="BV126" s="491">
        <v>1.02</v>
      </c>
      <c r="BW126" s="490">
        <v>0.99</v>
      </c>
      <c r="BX126" s="490">
        <v>0.96</v>
      </c>
      <c r="BZ126" s="489">
        <v>60</v>
      </c>
      <c r="CA126" s="490">
        <v>1</v>
      </c>
      <c r="CB126" s="490">
        <v>1</v>
      </c>
      <c r="CC126" s="491">
        <v>0.98</v>
      </c>
      <c r="CD126" s="490">
        <v>0.94</v>
      </c>
      <c r="CE126" s="490">
        <v>0.89</v>
      </c>
      <c r="CG126" s="489">
        <v>60</v>
      </c>
      <c r="CH126" s="490">
        <v>1</v>
      </c>
      <c r="CI126" s="490">
        <v>0.99</v>
      </c>
      <c r="CJ126" s="491">
        <v>0.96</v>
      </c>
      <c r="CK126" s="490">
        <v>0.91</v>
      </c>
      <c r="CL126" s="490">
        <v>0.85</v>
      </c>
      <c r="CN126" s="489">
        <v>60</v>
      </c>
      <c r="CO126" s="490">
        <v>1</v>
      </c>
      <c r="CP126" s="490">
        <v>0.99</v>
      </c>
      <c r="CQ126" s="491">
        <v>0.95</v>
      </c>
      <c r="CR126" s="490">
        <v>0.91</v>
      </c>
      <c r="CS126" s="490">
        <v>0.85</v>
      </c>
    </row>
    <row r="127" spans="3:97" ht="15.75" thickBot="1" x14ac:dyDescent="0.3">
      <c r="C127" s="489">
        <v>170</v>
      </c>
      <c r="D127" s="490">
        <v>0.96</v>
      </c>
      <c r="E127" s="490">
        <v>0.93</v>
      </c>
      <c r="F127" s="491">
        <v>0.87</v>
      </c>
      <c r="G127" s="490">
        <v>0.79</v>
      </c>
      <c r="H127" s="490">
        <v>0.7</v>
      </c>
      <c r="I127" s="490">
        <v>0.59</v>
      </c>
      <c r="J127" s="490">
        <v>0.49</v>
      </c>
      <c r="K127" s="490">
        <v>0.41</v>
      </c>
      <c r="L127" s="490">
        <v>0.34</v>
      </c>
      <c r="M127" s="490">
        <v>0.28000000000000003</v>
      </c>
      <c r="O127" s="489">
        <v>70</v>
      </c>
      <c r="P127" s="490">
        <v>1</v>
      </c>
      <c r="Q127" s="490">
        <v>1</v>
      </c>
      <c r="R127" s="491">
        <v>0.98</v>
      </c>
      <c r="S127" s="490">
        <v>0.94</v>
      </c>
      <c r="T127" s="490">
        <v>0.89</v>
      </c>
      <c r="V127" s="489">
        <v>70</v>
      </c>
      <c r="W127" s="490">
        <v>1</v>
      </c>
      <c r="X127" s="490">
        <v>1.01</v>
      </c>
      <c r="Y127" s="491">
        <v>1</v>
      </c>
      <c r="Z127" s="490">
        <v>0.97</v>
      </c>
      <c r="AA127" s="490">
        <v>0.92</v>
      </c>
      <c r="AC127" s="489">
        <v>70</v>
      </c>
      <c r="AD127" s="490">
        <v>1</v>
      </c>
      <c r="AE127" s="490">
        <v>1.01</v>
      </c>
      <c r="AF127" s="491">
        <v>1.01</v>
      </c>
      <c r="AG127" s="490">
        <v>0.99</v>
      </c>
      <c r="AH127" s="490">
        <v>0.95</v>
      </c>
      <c r="AJ127" s="489">
        <v>70</v>
      </c>
      <c r="AK127" s="490">
        <v>1</v>
      </c>
      <c r="AL127" s="490">
        <v>1.03</v>
      </c>
      <c r="AM127" s="491">
        <v>1.04</v>
      </c>
      <c r="AN127" s="490">
        <v>1.03</v>
      </c>
      <c r="AO127" s="490">
        <v>1</v>
      </c>
      <c r="AQ127" s="489">
        <v>70</v>
      </c>
      <c r="AR127" s="490">
        <v>1</v>
      </c>
      <c r="AS127" s="490">
        <v>1.04</v>
      </c>
      <c r="AT127" s="491">
        <v>1.06</v>
      </c>
      <c r="AU127" s="490">
        <v>1.06</v>
      </c>
      <c r="AV127" s="490">
        <v>1.04</v>
      </c>
      <c r="AX127" s="489">
        <v>70</v>
      </c>
      <c r="AY127" s="490">
        <v>1</v>
      </c>
      <c r="AZ127" s="490">
        <v>1.05</v>
      </c>
      <c r="BA127" s="491">
        <v>1.07</v>
      </c>
      <c r="BB127" s="490">
        <v>1.07</v>
      </c>
      <c r="BC127" s="490">
        <v>1.06</v>
      </c>
      <c r="BE127" s="489">
        <v>70</v>
      </c>
      <c r="BF127" s="490">
        <v>1</v>
      </c>
      <c r="BG127" s="490">
        <v>1.04</v>
      </c>
      <c r="BH127" s="491">
        <v>1.07</v>
      </c>
      <c r="BI127" s="490">
        <v>1.07</v>
      </c>
      <c r="BJ127" s="490">
        <v>1.05</v>
      </c>
      <c r="BL127" s="489">
        <v>70</v>
      </c>
      <c r="BM127" s="490">
        <v>1</v>
      </c>
      <c r="BN127" s="490">
        <v>1.03</v>
      </c>
      <c r="BO127" s="491">
        <v>1.04</v>
      </c>
      <c r="BP127" s="490">
        <v>1.03</v>
      </c>
      <c r="BQ127" s="490">
        <v>1</v>
      </c>
      <c r="BS127" s="489">
        <v>70</v>
      </c>
      <c r="BT127" s="490">
        <v>1</v>
      </c>
      <c r="BU127" s="490">
        <v>1.01</v>
      </c>
      <c r="BV127" s="491">
        <v>1.01</v>
      </c>
      <c r="BW127" s="490">
        <v>0.98</v>
      </c>
      <c r="BX127" s="490">
        <v>0.94</v>
      </c>
      <c r="BZ127" s="489">
        <v>70</v>
      </c>
      <c r="CA127" s="490">
        <v>1</v>
      </c>
      <c r="CB127" s="490">
        <v>1</v>
      </c>
      <c r="CC127" s="491">
        <v>0.98</v>
      </c>
      <c r="CD127" s="490">
        <v>0.94</v>
      </c>
      <c r="CE127" s="490">
        <v>0.89</v>
      </c>
      <c r="CG127" s="489">
        <v>70</v>
      </c>
      <c r="CH127" s="490">
        <v>1</v>
      </c>
      <c r="CI127" s="490">
        <v>1</v>
      </c>
      <c r="CJ127" s="491">
        <v>0.97</v>
      </c>
      <c r="CK127" s="490">
        <v>0.93</v>
      </c>
      <c r="CL127" s="490">
        <v>0.87</v>
      </c>
      <c r="CN127" s="489">
        <v>70</v>
      </c>
      <c r="CO127" s="490">
        <v>1</v>
      </c>
      <c r="CP127" s="490">
        <v>0.99</v>
      </c>
      <c r="CQ127" s="491">
        <v>0.97</v>
      </c>
      <c r="CR127" s="490">
        <v>0.93</v>
      </c>
      <c r="CS127" s="490">
        <v>0.88</v>
      </c>
    </row>
    <row r="128" spans="3:97" ht="15.75" thickBot="1" x14ac:dyDescent="0.3">
      <c r="C128" s="489">
        <v>180</v>
      </c>
      <c r="D128" s="490">
        <v>0.96</v>
      </c>
      <c r="E128" s="490">
        <v>0.92</v>
      </c>
      <c r="F128" s="491">
        <v>0.86</v>
      </c>
      <c r="G128" s="490">
        <v>0.78</v>
      </c>
      <c r="H128" s="490">
        <v>0.69</v>
      </c>
      <c r="I128" s="490">
        <v>0.57999999999999996</v>
      </c>
      <c r="J128" s="490">
        <v>0.48</v>
      </c>
      <c r="K128" s="490">
        <v>0.4</v>
      </c>
      <c r="L128" s="490">
        <v>0.33</v>
      </c>
      <c r="M128" s="490">
        <v>0.27</v>
      </c>
      <c r="O128" s="489">
        <v>80</v>
      </c>
      <c r="P128" s="490">
        <v>1</v>
      </c>
      <c r="Q128" s="490">
        <v>1</v>
      </c>
      <c r="R128" s="491">
        <v>0.99</v>
      </c>
      <c r="S128" s="490">
        <v>0.96</v>
      </c>
      <c r="T128" s="490">
        <v>0.92</v>
      </c>
      <c r="V128" s="489">
        <v>80</v>
      </c>
      <c r="W128" s="490">
        <v>1</v>
      </c>
      <c r="X128" s="490">
        <v>1.01</v>
      </c>
      <c r="Y128" s="491">
        <v>1</v>
      </c>
      <c r="Z128" s="490">
        <v>0.97</v>
      </c>
      <c r="AA128" s="490">
        <v>0.93</v>
      </c>
      <c r="AC128" s="489">
        <v>80</v>
      </c>
      <c r="AD128" s="490">
        <v>1</v>
      </c>
      <c r="AE128" s="490">
        <v>1.01</v>
      </c>
      <c r="AF128" s="491">
        <v>1</v>
      </c>
      <c r="AG128" s="490">
        <v>0.98</v>
      </c>
      <c r="AH128" s="490">
        <v>0.94</v>
      </c>
      <c r="AJ128" s="489">
        <v>80</v>
      </c>
      <c r="AK128" s="490">
        <v>1</v>
      </c>
      <c r="AL128" s="490">
        <v>1.02</v>
      </c>
      <c r="AM128" s="491">
        <v>1.02</v>
      </c>
      <c r="AN128" s="490">
        <v>1</v>
      </c>
      <c r="AO128" s="490">
        <v>0.96</v>
      </c>
      <c r="AQ128" s="489">
        <v>80</v>
      </c>
      <c r="AR128" s="490">
        <v>1</v>
      </c>
      <c r="AS128" s="490">
        <v>1.02</v>
      </c>
      <c r="AT128" s="491">
        <v>1.03</v>
      </c>
      <c r="AU128" s="490">
        <v>1.01</v>
      </c>
      <c r="AV128" s="490">
        <v>0.98</v>
      </c>
      <c r="AX128" s="489">
        <v>80</v>
      </c>
      <c r="AY128" s="490">
        <v>1</v>
      </c>
      <c r="AZ128" s="490">
        <v>1.02</v>
      </c>
      <c r="BA128" s="491">
        <v>1.03</v>
      </c>
      <c r="BB128" s="490">
        <v>1.02</v>
      </c>
      <c r="BC128" s="490">
        <v>0.99</v>
      </c>
      <c r="BE128" s="489">
        <v>80</v>
      </c>
      <c r="BF128" s="490">
        <v>1</v>
      </c>
      <c r="BG128" s="490">
        <v>1.02</v>
      </c>
      <c r="BH128" s="491">
        <v>1.03</v>
      </c>
      <c r="BI128" s="490">
        <v>1.01</v>
      </c>
      <c r="BJ128" s="490">
        <v>0.99</v>
      </c>
      <c r="BL128" s="489">
        <v>80</v>
      </c>
      <c r="BM128" s="490">
        <v>1</v>
      </c>
      <c r="BN128" s="490">
        <v>1.01</v>
      </c>
      <c r="BO128" s="491">
        <v>1.01</v>
      </c>
      <c r="BP128" s="490">
        <v>0.99</v>
      </c>
      <c r="BQ128" s="490">
        <v>0.95</v>
      </c>
      <c r="BS128" s="489">
        <v>80</v>
      </c>
      <c r="BT128" s="490">
        <v>1</v>
      </c>
      <c r="BU128" s="490">
        <v>1</v>
      </c>
      <c r="BV128" s="491">
        <v>0.99</v>
      </c>
      <c r="BW128" s="490">
        <v>0.96</v>
      </c>
      <c r="BX128" s="490">
        <v>0.92</v>
      </c>
      <c r="BZ128" s="489">
        <v>80</v>
      </c>
      <c r="CA128" s="490">
        <v>1</v>
      </c>
      <c r="CB128" s="490">
        <v>1</v>
      </c>
      <c r="CC128" s="491">
        <v>0.98</v>
      </c>
      <c r="CD128" s="490">
        <v>0.95</v>
      </c>
      <c r="CE128" s="490">
        <v>0.89</v>
      </c>
      <c r="CG128" s="489">
        <v>80</v>
      </c>
      <c r="CH128" s="490">
        <v>1</v>
      </c>
      <c r="CI128" s="490">
        <v>1</v>
      </c>
      <c r="CJ128" s="491">
        <v>0.98</v>
      </c>
      <c r="CK128" s="490">
        <v>0.94</v>
      </c>
      <c r="CL128" s="490">
        <v>0.89</v>
      </c>
      <c r="CN128" s="489">
        <v>80</v>
      </c>
      <c r="CO128" s="490">
        <v>1</v>
      </c>
      <c r="CP128" s="490">
        <v>1</v>
      </c>
      <c r="CQ128" s="491">
        <v>0.98</v>
      </c>
      <c r="CR128" s="490">
        <v>0.95</v>
      </c>
      <c r="CS128" s="490">
        <v>0.9</v>
      </c>
    </row>
    <row r="129" spans="3:97" ht="15.75" thickBot="1" x14ac:dyDescent="0.3">
      <c r="C129" s="489">
        <v>190</v>
      </c>
      <c r="D129" s="490">
        <v>0.96</v>
      </c>
      <c r="E129" s="490">
        <v>0.92</v>
      </c>
      <c r="F129" s="491">
        <v>0.86</v>
      </c>
      <c r="G129" s="490">
        <v>0.78</v>
      </c>
      <c r="H129" s="490">
        <v>0.69</v>
      </c>
      <c r="I129" s="490">
        <v>0.59</v>
      </c>
      <c r="J129" s="490">
        <v>0.48</v>
      </c>
      <c r="K129" s="490">
        <v>0.41</v>
      </c>
      <c r="L129" s="490">
        <v>0.33</v>
      </c>
      <c r="M129" s="490">
        <v>0.27</v>
      </c>
      <c r="O129" s="489">
        <v>90</v>
      </c>
      <c r="P129" s="490">
        <v>1</v>
      </c>
      <c r="Q129" s="490">
        <v>1.01</v>
      </c>
      <c r="R129" s="491">
        <v>1</v>
      </c>
      <c r="S129" s="490">
        <v>0.98</v>
      </c>
      <c r="T129" s="490">
        <v>0.94</v>
      </c>
      <c r="V129" s="489">
        <v>90</v>
      </c>
      <c r="W129" s="490">
        <v>1</v>
      </c>
      <c r="X129" s="490">
        <v>1.01</v>
      </c>
      <c r="Y129" s="491">
        <v>1</v>
      </c>
      <c r="Z129" s="490">
        <v>0.98</v>
      </c>
      <c r="AA129" s="490">
        <v>0.94</v>
      </c>
      <c r="AC129" s="489">
        <v>90</v>
      </c>
      <c r="AD129" s="490">
        <v>1</v>
      </c>
      <c r="AE129" s="490">
        <v>1</v>
      </c>
      <c r="AF129" s="491">
        <v>1</v>
      </c>
      <c r="AG129" s="490">
        <v>0.97</v>
      </c>
      <c r="AH129" s="490">
        <v>0.93</v>
      </c>
      <c r="AJ129" s="489">
        <v>90</v>
      </c>
      <c r="AK129" s="490">
        <v>1</v>
      </c>
      <c r="AL129" s="490">
        <v>1</v>
      </c>
      <c r="AM129" s="491">
        <v>0.99</v>
      </c>
      <c r="AN129" s="490">
        <v>0.96</v>
      </c>
      <c r="AO129" s="490">
        <v>0.92</v>
      </c>
      <c r="AQ129" s="489">
        <v>90</v>
      </c>
      <c r="AR129" s="490">
        <v>1</v>
      </c>
      <c r="AS129" s="490">
        <v>1</v>
      </c>
      <c r="AT129" s="491">
        <v>0.99</v>
      </c>
      <c r="AU129" s="490">
        <v>0.96</v>
      </c>
      <c r="AV129" s="490">
        <v>0.92</v>
      </c>
      <c r="AX129" s="489">
        <v>90</v>
      </c>
      <c r="AY129" s="490">
        <v>1</v>
      </c>
      <c r="AZ129" s="490">
        <v>1</v>
      </c>
      <c r="BA129" s="491">
        <v>0.99</v>
      </c>
      <c r="BB129" s="490">
        <v>0.96</v>
      </c>
      <c r="BC129" s="490">
        <v>0.92</v>
      </c>
      <c r="BE129" s="489">
        <v>90</v>
      </c>
      <c r="BF129" s="490">
        <v>1</v>
      </c>
      <c r="BG129" s="490">
        <v>1</v>
      </c>
      <c r="BH129" s="491">
        <v>0.99</v>
      </c>
      <c r="BI129" s="490">
        <v>0.96</v>
      </c>
      <c r="BJ129" s="490">
        <v>0.91</v>
      </c>
      <c r="BL129" s="489">
        <v>90</v>
      </c>
      <c r="BM129" s="490">
        <v>1</v>
      </c>
      <c r="BN129" s="490">
        <v>1</v>
      </c>
      <c r="BO129" s="491">
        <v>0.98</v>
      </c>
      <c r="BP129" s="490">
        <v>0.95</v>
      </c>
      <c r="BQ129" s="490">
        <v>0.91</v>
      </c>
      <c r="BS129" s="489">
        <v>90</v>
      </c>
      <c r="BT129" s="490">
        <v>1</v>
      </c>
      <c r="BU129" s="490">
        <v>1</v>
      </c>
      <c r="BV129" s="491">
        <v>0.98</v>
      </c>
      <c r="BW129" s="490">
        <v>0.94</v>
      </c>
      <c r="BX129" s="490">
        <v>0.9</v>
      </c>
      <c r="BZ129" s="489">
        <v>90</v>
      </c>
      <c r="CA129" s="490">
        <v>1</v>
      </c>
      <c r="CB129" s="490">
        <v>1</v>
      </c>
      <c r="CC129" s="491">
        <v>0.98</v>
      </c>
      <c r="CD129" s="490">
        <v>0.95</v>
      </c>
      <c r="CE129" s="490">
        <v>0.89</v>
      </c>
      <c r="CG129" s="489">
        <v>90</v>
      </c>
      <c r="CH129" s="490">
        <v>1</v>
      </c>
      <c r="CI129" s="490">
        <v>1</v>
      </c>
      <c r="CJ129" s="491">
        <v>0.99</v>
      </c>
      <c r="CK129" s="490">
        <v>0.96</v>
      </c>
      <c r="CL129" s="490">
        <v>0.91</v>
      </c>
      <c r="CN129" s="489">
        <v>90</v>
      </c>
      <c r="CO129" s="490">
        <v>1</v>
      </c>
      <c r="CP129" s="490">
        <v>1</v>
      </c>
      <c r="CQ129" s="491">
        <v>1</v>
      </c>
      <c r="CR129" s="490">
        <v>0.97</v>
      </c>
      <c r="CS129" s="490">
        <v>0.93</v>
      </c>
    </row>
    <row r="130" spans="3:97" ht="15.75" thickBot="1" x14ac:dyDescent="0.3">
      <c r="C130" s="489">
        <v>200</v>
      </c>
      <c r="D130" s="490">
        <v>0.96</v>
      </c>
      <c r="E130" s="490">
        <v>0.93</v>
      </c>
      <c r="F130" s="491">
        <v>0.87</v>
      </c>
      <c r="G130" s="490">
        <v>0.79</v>
      </c>
      <c r="H130" s="490">
        <v>0.7</v>
      </c>
      <c r="I130" s="490">
        <v>0.6</v>
      </c>
      <c r="J130" s="490">
        <v>0.5</v>
      </c>
      <c r="K130" s="490">
        <v>0.42</v>
      </c>
      <c r="L130" s="490">
        <v>0.35</v>
      </c>
      <c r="M130" s="490">
        <v>0.28999999999999998</v>
      </c>
      <c r="P130" s="492"/>
      <c r="Q130" s="492"/>
      <c r="R130" s="492"/>
      <c r="S130" s="492"/>
      <c r="T130" s="492"/>
      <c r="W130" s="492"/>
      <c r="X130" s="492"/>
      <c r="Y130" s="492"/>
      <c r="Z130" s="492"/>
      <c r="AA130" s="492"/>
      <c r="AD130" s="492"/>
      <c r="AE130" s="492"/>
      <c r="AF130" s="492"/>
      <c r="AG130" s="492"/>
      <c r="AH130" s="492"/>
      <c r="AK130" s="492"/>
      <c r="AL130" s="492"/>
      <c r="AM130" s="492"/>
      <c r="AN130" s="492"/>
      <c r="AO130" s="492"/>
      <c r="AR130" s="492"/>
      <c r="AS130" s="492"/>
      <c r="AT130" s="492"/>
      <c r="AU130" s="492"/>
      <c r="AV130" s="492"/>
      <c r="AY130" s="492"/>
      <c r="AZ130" s="492"/>
      <c r="BA130" s="492"/>
      <c r="BB130" s="492"/>
      <c r="BC130" s="492"/>
      <c r="BF130" s="492"/>
      <c r="BG130" s="492"/>
      <c r="BH130" s="492"/>
      <c r="BI130" s="492"/>
      <c r="BJ130" s="492"/>
      <c r="BM130" s="492"/>
      <c r="BN130" s="492"/>
      <c r="BO130" s="492"/>
      <c r="BP130" s="492"/>
      <c r="BQ130" s="492"/>
      <c r="BT130" s="492"/>
      <c r="BU130" s="492"/>
      <c r="BV130" s="492"/>
      <c r="BW130" s="492"/>
      <c r="BX130" s="492"/>
      <c r="CA130" s="492"/>
      <c r="CB130" s="492"/>
      <c r="CC130" s="492"/>
      <c r="CD130" s="492"/>
      <c r="CE130" s="492"/>
      <c r="CH130" s="492"/>
      <c r="CI130" s="492"/>
      <c r="CJ130" s="492"/>
      <c r="CK130" s="492"/>
      <c r="CL130" s="492"/>
      <c r="CO130" s="492"/>
      <c r="CP130" s="492"/>
      <c r="CQ130" s="492"/>
      <c r="CR130" s="492"/>
      <c r="CS130" s="492"/>
    </row>
    <row r="131" spans="3:97" ht="15.75" thickBot="1" x14ac:dyDescent="0.3">
      <c r="C131" s="489">
        <v>210</v>
      </c>
      <c r="D131" s="490">
        <v>0.96</v>
      </c>
      <c r="E131" s="490">
        <v>0.93</v>
      </c>
      <c r="F131" s="491">
        <v>0.87</v>
      </c>
      <c r="G131" s="490">
        <v>0.8</v>
      </c>
      <c r="H131" s="490">
        <v>0.71</v>
      </c>
      <c r="I131" s="490">
        <v>0.63</v>
      </c>
      <c r="J131" s="490">
        <v>0.53</v>
      </c>
      <c r="K131" s="490">
        <v>0.45</v>
      </c>
      <c r="L131" s="490">
        <v>0.38</v>
      </c>
      <c r="M131" s="490">
        <v>0.32</v>
      </c>
      <c r="P131" s="492"/>
      <c r="Q131" s="492"/>
      <c r="R131" s="492"/>
      <c r="S131" s="492"/>
      <c r="T131" s="492"/>
      <c r="W131" s="492"/>
      <c r="X131" s="492"/>
      <c r="Y131" s="492"/>
      <c r="Z131" s="492"/>
      <c r="AA131" s="492"/>
      <c r="AD131" s="492"/>
      <c r="AE131" s="492"/>
      <c r="AF131" s="492"/>
      <c r="AG131" s="492"/>
      <c r="AH131" s="492"/>
      <c r="AK131" s="492"/>
      <c r="AL131" s="492"/>
      <c r="AM131" s="492"/>
      <c r="AN131" s="492"/>
      <c r="AO131" s="492"/>
      <c r="AR131" s="492"/>
      <c r="AS131" s="492"/>
      <c r="AT131" s="492"/>
      <c r="AU131" s="492"/>
      <c r="AV131" s="492"/>
      <c r="AY131" s="492"/>
      <c r="AZ131" s="492"/>
      <c r="BA131" s="492"/>
      <c r="BB131" s="492"/>
      <c r="BC131" s="492"/>
      <c r="BF131" s="492"/>
      <c r="BG131" s="492"/>
      <c r="BH131" s="492"/>
      <c r="BI131" s="492"/>
      <c r="BJ131" s="492"/>
      <c r="BM131" s="492"/>
      <c r="BN131" s="492"/>
      <c r="BO131" s="492"/>
      <c r="BP131" s="492"/>
      <c r="BQ131" s="492"/>
      <c r="BT131" s="492"/>
      <c r="BU131" s="492"/>
      <c r="BV131" s="492"/>
      <c r="BW131" s="492"/>
      <c r="BX131" s="492"/>
      <c r="CA131" s="492"/>
      <c r="CB131" s="492"/>
      <c r="CC131" s="492"/>
      <c r="CD131" s="492"/>
      <c r="CE131" s="492"/>
      <c r="CH131" s="492"/>
      <c r="CI131" s="492"/>
      <c r="CJ131" s="492"/>
      <c r="CK131" s="492"/>
      <c r="CL131" s="492"/>
      <c r="CO131" s="492"/>
      <c r="CP131" s="492"/>
      <c r="CQ131" s="492"/>
      <c r="CR131" s="492"/>
      <c r="CS131" s="492"/>
    </row>
    <row r="132" spans="3:97" ht="15.75" thickBot="1" x14ac:dyDescent="0.3">
      <c r="C132" s="489">
        <v>220</v>
      </c>
      <c r="D132" s="490">
        <v>0.96</v>
      </c>
      <c r="E132" s="490">
        <v>0.93</v>
      </c>
      <c r="F132" s="491">
        <v>0.88</v>
      </c>
      <c r="G132" s="490">
        <v>0.81</v>
      </c>
      <c r="H132" s="490">
        <v>0.74</v>
      </c>
      <c r="I132" s="490">
        <v>0.65</v>
      </c>
      <c r="J132" s="490">
        <v>0.56999999999999995</v>
      </c>
      <c r="K132" s="490">
        <v>0.49</v>
      </c>
      <c r="L132" s="490">
        <v>0.42</v>
      </c>
      <c r="M132" s="490">
        <v>0.36</v>
      </c>
      <c r="P132" s="492"/>
      <c r="Q132" s="492"/>
      <c r="R132" s="492"/>
      <c r="S132" s="492"/>
      <c r="T132" s="492"/>
      <c r="W132" s="492"/>
      <c r="X132" s="492"/>
      <c r="Y132" s="492"/>
      <c r="Z132" s="492"/>
      <c r="AA132" s="492"/>
      <c r="AD132" s="492"/>
      <c r="AE132" s="492"/>
      <c r="AF132" s="492"/>
      <c r="AG132" s="492"/>
      <c r="AH132" s="492"/>
      <c r="AK132" s="492"/>
      <c r="AL132" s="492"/>
      <c r="AM132" s="492"/>
      <c r="AN132" s="492"/>
      <c r="AO132" s="492"/>
      <c r="AR132" s="492"/>
      <c r="AS132" s="492"/>
      <c r="AT132" s="492"/>
      <c r="AU132" s="492"/>
      <c r="AV132" s="492"/>
      <c r="AY132" s="492"/>
      <c r="AZ132" s="492"/>
      <c r="BA132" s="492"/>
      <c r="BB132" s="492"/>
      <c r="BC132" s="492"/>
      <c r="BF132" s="492"/>
      <c r="BG132" s="492"/>
      <c r="BH132" s="492"/>
      <c r="BI132" s="492"/>
      <c r="BJ132" s="492"/>
      <c r="BM132" s="492"/>
      <c r="BN132" s="492"/>
      <c r="BO132" s="492"/>
      <c r="BP132" s="492"/>
      <c r="BQ132" s="492"/>
      <c r="BT132" s="492"/>
      <c r="BU132" s="492"/>
      <c r="BV132" s="492"/>
      <c r="BW132" s="492"/>
      <c r="BX132" s="492"/>
      <c r="CA132" s="492"/>
      <c r="CB132" s="492"/>
      <c r="CC132" s="492"/>
      <c r="CD132" s="492"/>
      <c r="CE132" s="492"/>
      <c r="CH132" s="492"/>
      <c r="CI132" s="492"/>
      <c r="CJ132" s="492"/>
      <c r="CK132" s="492"/>
      <c r="CL132" s="492"/>
      <c r="CO132" s="492"/>
      <c r="CP132" s="492"/>
      <c r="CQ132" s="492"/>
      <c r="CR132" s="492"/>
      <c r="CS132" s="492"/>
    </row>
    <row r="133" spans="3:97" ht="15.75" thickBot="1" x14ac:dyDescent="0.3">
      <c r="C133" s="489">
        <v>230</v>
      </c>
      <c r="D133" s="490">
        <v>0.96</v>
      </c>
      <c r="E133" s="490">
        <v>0.93</v>
      </c>
      <c r="F133" s="491">
        <v>0.89</v>
      </c>
      <c r="G133" s="490">
        <v>0.83</v>
      </c>
      <c r="H133" s="490">
        <v>0.76</v>
      </c>
      <c r="I133" s="490">
        <v>0.68</v>
      </c>
      <c r="J133" s="490">
        <v>0.6</v>
      </c>
      <c r="K133" s="490">
        <v>0.53</v>
      </c>
      <c r="L133" s="490">
        <v>0.46</v>
      </c>
      <c r="M133" s="490">
        <v>0.4</v>
      </c>
      <c r="P133" s="492"/>
      <c r="Q133" s="492"/>
      <c r="R133" s="492"/>
      <c r="S133" s="492"/>
      <c r="T133" s="492"/>
      <c r="W133" s="492"/>
      <c r="X133" s="492"/>
      <c r="Y133" s="492"/>
      <c r="Z133" s="492"/>
      <c r="AA133" s="492"/>
      <c r="AD133" s="492"/>
      <c r="AE133" s="492"/>
      <c r="AF133" s="492"/>
      <c r="AG133" s="492"/>
      <c r="AH133" s="492"/>
      <c r="AK133" s="492"/>
      <c r="AL133" s="492"/>
      <c r="AM133" s="492"/>
      <c r="AN133" s="492"/>
      <c r="AO133" s="492"/>
      <c r="AR133" s="492"/>
      <c r="AS133" s="492"/>
      <c r="AT133" s="492"/>
      <c r="AU133" s="492"/>
      <c r="AV133" s="492"/>
      <c r="AY133" s="492"/>
      <c r="AZ133" s="492"/>
      <c r="BA133" s="492"/>
      <c r="BB133" s="492"/>
      <c r="BC133" s="492"/>
      <c r="BF133" s="492"/>
      <c r="BG133" s="492"/>
      <c r="BH133" s="492"/>
      <c r="BI133" s="492"/>
      <c r="BJ133" s="492"/>
      <c r="BM133" s="492"/>
      <c r="BN133" s="492"/>
      <c r="BO133" s="492"/>
      <c r="BP133" s="492"/>
      <c r="BQ133" s="492"/>
      <c r="BT133" s="492"/>
      <c r="BU133" s="492"/>
      <c r="BV133" s="492"/>
      <c r="BW133" s="492"/>
      <c r="BX133" s="492"/>
      <c r="CA133" s="492"/>
      <c r="CB133" s="492"/>
      <c r="CC133" s="492"/>
      <c r="CD133" s="492"/>
      <c r="CE133" s="492"/>
      <c r="CH133" s="492"/>
      <c r="CI133" s="492"/>
      <c r="CJ133" s="492"/>
      <c r="CK133" s="492"/>
      <c r="CL133" s="492"/>
      <c r="CO133" s="492"/>
      <c r="CP133" s="492"/>
      <c r="CQ133" s="492"/>
      <c r="CR133" s="492"/>
      <c r="CS133" s="492"/>
    </row>
    <row r="134" spans="3:97" ht="15.75" thickBot="1" x14ac:dyDescent="0.3">
      <c r="C134" s="489">
        <v>240</v>
      </c>
      <c r="D134" s="490">
        <v>0.96</v>
      </c>
      <c r="E134" s="490">
        <v>0.94</v>
      </c>
      <c r="F134" s="491">
        <v>0.9</v>
      </c>
      <c r="G134" s="490">
        <v>0.85</v>
      </c>
      <c r="H134" s="490">
        <v>0.78</v>
      </c>
      <c r="I134" s="490">
        <v>0.71</v>
      </c>
      <c r="J134" s="490">
        <v>0.64</v>
      </c>
      <c r="K134" s="490">
        <v>0.56999999999999995</v>
      </c>
      <c r="L134" s="490">
        <v>0.5</v>
      </c>
      <c r="M134" s="490">
        <v>0.44</v>
      </c>
      <c r="P134" s="492"/>
      <c r="Q134" s="492"/>
      <c r="R134" s="492"/>
      <c r="S134" s="492"/>
      <c r="T134" s="492"/>
      <c r="W134" s="492"/>
      <c r="X134" s="492"/>
      <c r="Y134" s="492"/>
      <c r="Z134" s="492"/>
      <c r="AA134" s="492"/>
      <c r="AD134" s="492"/>
      <c r="AE134" s="492"/>
      <c r="AF134" s="492"/>
      <c r="AG134" s="492"/>
      <c r="AH134" s="492"/>
      <c r="AK134" s="492"/>
      <c r="AL134" s="492"/>
      <c r="AM134" s="492"/>
      <c r="AN134" s="492"/>
      <c r="AO134" s="492"/>
      <c r="AR134" s="492"/>
      <c r="AS134" s="492"/>
      <c r="AT134" s="492"/>
      <c r="AU134" s="492"/>
      <c r="AV134" s="492"/>
      <c r="AY134" s="492"/>
      <c r="AZ134" s="492"/>
      <c r="BA134" s="492"/>
      <c r="BB134" s="492"/>
      <c r="BC134" s="492"/>
      <c r="BF134" s="492"/>
      <c r="BG134" s="492"/>
      <c r="BH134" s="492"/>
      <c r="BI134" s="492"/>
      <c r="BJ134" s="492"/>
      <c r="BM134" s="492"/>
      <c r="BN134" s="492"/>
      <c r="BO134" s="492"/>
      <c r="BP134" s="492"/>
      <c r="BQ134" s="492"/>
      <c r="BT134" s="492"/>
      <c r="BU134" s="492"/>
      <c r="BV134" s="492"/>
      <c r="BW134" s="492"/>
      <c r="BX134" s="492"/>
      <c r="CA134" s="492"/>
      <c r="CB134" s="492"/>
      <c r="CC134" s="492"/>
      <c r="CD134" s="492"/>
      <c r="CE134" s="492"/>
      <c r="CH134" s="492"/>
      <c r="CI134" s="492"/>
      <c r="CJ134" s="492"/>
      <c r="CK134" s="492"/>
      <c r="CL134" s="492"/>
      <c r="CO134" s="492"/>
      <c r="CP134" s="492"/>
      <c r="CQ134" s="492"/>
      <c r="CR134" s="492"/>
      <c r="CS134" s="492"/>
    </row>
    <row r="135" spans="3:97" ht="15.75" thickBot="1" x14ac:dyDescent="0.3">
      <c r="C135" s="489">
        <v>250</v>
      </c>
      <c r="D135" s="490">
        <v>0.96</v>
      </c>
      <c r="E135" s="490">
        <v>0.94</v>
      </c>
      <c r="F135" s="491">
        <v>0.91</v>
      </c>
      <c r="G135" s="490">
        <v>0.86</v>
      </c>
      <c r="H135" s="490">
        <v>0.81</v>
      </c>
      <c r="I135" s="490">
        <v>0.74</v>
      </c>
      <c r="J135" s="490">
        <v>0.67</v>
      </c>
      <c r="K135" s="490">
        <v>0.61</v>
      </c>
      <c r="L135" s="490">
        <v>0.54</v>
      </c>
      <c r="M135" s="490">
        <v>0.47</v>
      </c>
      <c r="P135" s="492"/>
      <c r="Q135" s="492"/>
      <c r="R135" s="492"/>
      <c r="S135" s="492"/>
      <c r="T135" s="492"/>
      <c r="W135" s="492"/>
      <c r="X135" s="492"/>
      <c r="Y135" s="492"/>
      <c r="Z135" s="492"/>
      <c r="AA135" s="492"/>
      <c r="AD135" s="492"/>
      <c r="AE135" s="492"/>
      <c r="AF135" s="492"/>
      <c r="AG135" s="492"/>
      <c r="AH135" s="492"/>
      <c r="AK135" s="492"/>
      <c r="AL135" s="492"/>
      <c r="AM135" s="492"/>
      <c r="AN135" s="492"/>
      <c r="AO135" s="492"/>
      <c r="AR135" s="492"/>
      <c r="AS135" s="492"/>
      <c r="AT135" s="492"/>
      <c r="AU135" s="492"/>
      <c r="AV135" s="492"/>
      <c r="AY135" s="492"/>
      <c r="AZ135" s="492"/>
      <c r="BA135" s="492"/>
      <c r="BB135" s="492"/>
      <c r="BC135" s="492"/>
      <c r="BF135" s="492"/>
      <c r="BG135" s="492"/>
      <c r="BH135" s="492"/>
      <c r="BI135" s="492"/>
      <c r="BJ135" s="492"/>
      <c r="BM135" s="492"/>
      <c r="BN135" s="492"/>
      <c r="BO135" s="492"/>
      <c r="BP135" s="492"/>
      <c r="BQ135" s="492"/>
      <c r="BT135" s="492"/>
      <c r="BU135" s="492"/>
      <c r="BV135" s="492"/>
      <c r="BW135" s="492"/>
      <c r="BX135" s="492"/>
      <c r="CA135" s="492"/>
      <c r="CB135" s="492"/>
      <c r="CC135" s="492"/>
      <c r="CD135" s="492"/>
      <c r="CE135" s="492"/>
      <c r="CH135" s="492"/>
      <c r="CI135" s="492"/>
      <c r="CJ135" s="492"/>
      <c r="CK135" s="492"/>
      <c r="CL135" s="492"/>
      <c r="CO135" s="492"/>
      <c r="CP135" s="492"/>
      <c r="CQ135" s="492"/>
      <c r="CR135" s="492"/>
      <c r="CS135" s="492"/>
    </row>
    <row r="136" spans="3:97" ht="15.75" thickBot="1" x14ac:dyDescent="0.3">
      <c r="C136" s="489">
        <v>260</v>
      </c>
      <c r="D136" s="490">
        <v>0.96</v>
      </c>
      <c r="E136" s="490">
        <v>0.95</v>
      </c>
      <c r="F136" s="491">
        <v>0.92</v>
      </c>
      <c r="G136" s="490">
        <v>0.88</v>
      </c>
      <c r="H136" s="490">
        <v>0.83</v>
      </c>
      <c r="I136" s="490">
        <v>0.77</v>
      </c>
      <c r="J136" s="490">
        <v>0.7</v>
      </c>
      <c r="K136" s="490">
        <v>0.64</v>
      </c>
      <c r="L136" s="490">
        <v>0.56999999999999995</v>
      </c>
      <c r="M136" s="490">
        <v>0.5</v>
      </c>
      <c r="P136" s="492"/>
      <c r="Q136" s="492"/>
      <c r="R136" s="492"/>
      <c r="S136" s="492"/>
      <c r="T136" s="492"/>
      <c r="W136" s="492"/>
      <c r="X136" s="492"/>
      <c r="Y136" s="492"/>
      <c r="Z136" s="492"/>
      <c r="AA136" s="492"/>
      <c r="AD136" s="492"/>
      <c r="AE136" s="492"/>
      <c r="AF136" s="492"/>
      <c r="AG136" s="492"/>
      <c r="AH136" s="492"/>
      <c r="AK136" s="492"/>
      <c r="AL136" s="492"/>
      <c r="AM136" s="492"/>
      <c r="AN136" s="492"/>
      <c r="AO136" s="492"/>
      <c r="AR136" s="492"/>
      <c r="AS136" s="492"/>
      <c r="AT136" s="492"/>
      <c r="AU136" s="492"/>
      <c r="AV136" s="492"/>
      <c r="AY136" s="492"/>
      <c r="AZ136" s="492"/>
      <c r="BA136" s="492"/>
      <c r="BB136" s="492"/>
      <c r="BC136" s="492"/>
      <c r="BF136" s="492"/>
      <c r="BG136" s="492"/>
      <c r="BH136" s="492"/>
      <c r="BI136" s="492"/>
      <c r="BJ136" s="492"/>
      <c r="BM136" s="492"/>
      <c r="BN136" s="492"/>
      <c r="BO136" s="492"/>
      <c r="BP136" s="492"/>
      <c r="BQ136" s="492"/>
      <c r="BT136" s="492"/>
      <c r="BU136" s="492"/>
      <c r="BV136" s="492"/>
      <c r="BW136" s="492"/>
      <c r="BX136" s="492"/>
      <c r="CA136" s="492"/>
      <c r="CB136" s="492"/>
      <c r="CC136" s="492"/>
      <c r="CD136" s="492"/>
      <c r="CE136" s="492"/>
      <c r="CH136" s="492"/>
      <c r="CI136" s="492"/>
      <c r="CJ136" s="492"/>
      <c r="CK136" s="492"/>
      <c r="CL136" s="492"/>
      <c r="CO136" s="492"/>
      <c r="CP136" s="492"/>
      <c r="CQ136" s="492"/>
      <c r="CR136" s="492"/>
      <c r="CS136" s="492"/>
    </row>
    <row r="137" spans="3:97" ht="15.75" thickBot="1" x14ac:dyDescent="0.3">
      <c r="C137" s="489">
        <v>270</v>
      </c>
      <c r="D137" s="490">
        <v>0.96</v>
      </c>
      <c r="E137" s="490">
        <v>0.96</v>
      </c>
      <c r="F137" s="491">
        <v>0.93</v>
      </c>
      <c r="G137" s="490">
        <v>0.9</v>
      </c>
      <c r="H137" s="490">
        <v>0.85</v>
      </c>
      <c r="I137" s="490">
        <v>0.79</v>
      </c>
      <c r="J137" s="490">
        <v>0.73</v>
      </c>
      <c r="K137" s="490">
        <v>0.67</v>
      </c>
      <c r="L137" s="490">
        <v>0.6</v>
      </c>
      <c r="M137" s="490">
        <v>0.52</v>
      </c>
      <c r="P137" s="492"/>
      <c r="Q137" s="492"/>
      <c r="R137" s="492"/>
      <c r="S137" s="492"/>
      <c r="T137" s="492"/>
      <c r="W137" s="492"/>
      <c r="X137" s="492"/>
      <c r="Y137" s="492"/>
      <c r="Z137" s="492"/>
      <c r="AA137" s="492"/>
      <c r="AD137" s="492"/>
      <c r="AE137" s="492"/>
      <c r="AF137" s="492"/>
      <c r="AG137" s="492"/>
      <c r="AH137" s="492"/>
      <c r="AK137" s="492"/>
      <c r="AL137" s="492"/>
      <c r="AM137" s="492"/>
      <c r="AN137" s="492"/>
      <c r="AO137" s="492"/>
      <c r="AR137" s="492"/>
      <c r="AS137" s="492"/>
      <c r="AT137" s="492"/>
      <c r="AU137" s="492"/>
      <c r="AV137" s="492"/>
      <c r="AY137" s="492"/>
      <c r="AZ137" s="492"/>
      <c r="BA137" s="492"/>
      <c r="BB137" s="492"/>
      <c r="BC137" s="492"/>
      <c r="BF137" s="492"/>
      <c r="BG137" s="492"/>
      <c r="BH137" s="492"/>
      <c r="BI137" s="492"/>
      <c r="BJ137" s="492"/>
      <c r="BM137" s="492"/>
      <c r="BN137" s="492"/>
      <c r="BO137" s="492"/>
      <c r="BP137" s="492"/>
      <c r="BQ137" s="492"/>
      <c r="BT137" s="492"/>
      <c r="BU137" s="492"/>
      <c r="BV137" s="492"/>
      <c r="BW137" s="492"/>
      <c r="BX137" s="492"/>
      <c r="CA137" s="492"/>
      <c r="CB137" s="492"/>
      <c r="CC137" s="492"/>
      <c r="CD137" s="492"/>
      <c r="CE137" s="492"/>
      <c r="CH137" s="492"/>
      <c r="CI137" s="492"/>
      <c r="CJ137" s="492"/>
      <c r="CK137" s="492"/>
      <c r="CL137" s="492"/>
      <c r="CO137" s="492"/>
      <c r="CP137" s="492"/>
      <c r="CQ137" s="492"/>
      <c r="CR137" s="492"/>
      <c r="CS137" s="492"/>
    </row>
    <row r="138" spans="3:97" ht="15.75" thickBot="1" x14ac:dyDescent="0.3">
      <c r="C138" s="489">
        <v>280</v>
      </c>
      <c r="D138" s="490">
        <v>0.96</v>
      </c>
      <c r="E138" s="490">
        <v>0.96</v>
      </c>
      <c r="F138" s="491">
        <v>0.95</v>
      </c>
      <c r="G138" s="490">
        <v>0.91</v>
      </c>
      <c r="H138" s="490">
        <v>0.87</v>
      </c>
      <c r="I138" s="490">
        <v>0.81</v>
      </c>
      <c r="J138" s="490">
        <v>0.75</v>
      </c>
      <c r="K138" s="490">
        <v>0.68</v>
      </c>
      <c r="L138" s="490">
        <v>0.61</v>
      </c>
      <c r="M138" s="490">
        <v>0.54</v>
      </c>
      <c r="P138" s="492"/>
      <c r="Q138" s="492"/>
      <c r="R138" s="492"/>
      <c r="S138" s="492"/>
      <c r="T138" s="492"/>
      <c r="W138" s="492"/>
      <c r="X138" s="492"/>
      <c r="Y138" s="492"/>
      <c r="Z138" s="492"/>
      <c r="AA138" s="492"/>
      <c r="AD138" s="492"/>
      <c r="AE138" s="492"/>
      <c r="AF138" s="492"/>
      <c r="AG138" s="492"/>
      <c r="AH138" s="492"/>
      <c r="AK138" s="492"/>
      <c r="AL138" s="492"/>
      <c r="AM138" s="492"/>
      <c r="AN138" s="492"/>
      <c r="AO138" s="492"/>
      <c r="AR138" s="492"/>
      <c r="AS138" s="492"/>
      <c r="AT138" s="492"/>
      <c r="AU138" s="492"/>
      <c r="AV138" s="492"/>
      <c r="AY138" s="492"/>
      <c r="AZ138" s="492"/>
      <c r="BA138" s="492"/>
      <c r="BB138" s="492"/>
      <c r="BC138" s="492"/>
      <c r="BF138" s="492"/>
      <c r="BG138" s="492"/>
      <c r="BH138" s="492"/>
      <c r="BI138" s="492"/>
      <c r="BJ138" s="492"/>
      <c r="BM138" s="492"/>
      <c r="BN138" s="492"/>
      <c r="BO138" s="492"/>
      <c r="BP138" s="492"/>
      <c r="BQ138" s="492"/>
      <c r="BT138" s="492"/>
      <c r="BU138" s="492"/>
      <c r="BV138" s="492"/>
      <c r="BW138" s="492"/>
      <c r="BX138" s="492"/>
      <c r="CA138" s="492"/>
      <c r="CB138" s="492"/>
      <c r="CC138" s="492"/>
      <c r="CD138" s="492"/>
      <c r="CE138" s="492"/>
      <c r="CH138" s="492"/>
      <c r="CI138" s="492"/>
      <c r="CJ138" s="492"/>
      <c r="CK138" s="492"/>
      <c r="CL138" s="492"/>
      <c r="CO138" s="492"/>
      <c r="CP138" s="492"/>
      <c r="CQ138" s="492"/>
      <c r="CR138" s="492"/>
      <c r="CS138" s="492"/>
    </row>
    <row r="139" spans="3:97" ht="15.75" thickBot="1" x14ac:dyDescent="0.3">
      <c r="C139" s="489">
        <v>290</v>
      </c>
      <c r="D139" s="490">
        <v>0.96</v>
      </c>
      <c r="E139" s="490">
        <v>0.97</v>
      </c>
      <c r="F139" s="491">
        <v>0.96</v>
      </c>
      <c r="G139" s="490">
        <v>0.93</v>
      </c>
      <c r="H139" s="490">
        <v>0.89</v>
      </c>
      <c r="I139" s="490">
        <v>0.83</v>
      </c>
      <c r="J139" s="490">
        <v>0.77</v>
      </c>
      <c r="K139" s="490">
        <v>0.7</v>
      </c>
      <c r="L139" s="490">
        <v>0.62</v>
      </c>
      <c r="M139" s="490">
        <v>0.55000000000000004</v>
      </c>
      <c r="P139" s="492"/>
      <c r="Q139" s="492"/>
      <c r="R139" s="492"/>
      <c r="S139" s="492"/>
      <c r="T139" s="492"/>
      <c r="W139" s="492"/>
      <c r="X139" s="492"/>
      <c r="Y139" s="492"/>
      <c r="Z139" s="492"/>
      <c r="AA139" s="492"/>
      <c r="AD139" s="492"/>
      <c r="AE139" s="492"/>
      <c r="AF139" s="492"/>
      <c r="AG139" s="492"/>
      <c r="AH139" s="492"/>
      <c r="AK139" s="492"/>
      <c r="AL139" s="492"/>
      <c r="AM139" s="492"/>
      <c r="AN139" s="492"/>
      <c r="AO139" s="492"/>
      <c r="AR139" s="492"/>
      <c r="AS139" s="492"/>
      <c r="AT139" s="492"/>
      <c r="AU139" s="492"/>
      <c r="AV139" s="492"/>
      <c r="AY139" s="492"/>
      <c r="AZ139" s="492"/>
      <c r="BA139" s="492"/>
      <c r="BB139" s="492"/>
      <c r="BC139" s="492"/>
      <c r="BF139" s="492"/>
      <c r="BG139" s="492"/>
      <c r="BH139" s="492"/>
      <c r="BI139" s="492"/>
      <c r="BJ139" s="492"/>
      <c r="BM139" s="492"/>
      <c r="BN139" s="492"/>
      <c r="BO139" s="492"/>
      <c r="BP139" s="492"/>
      <c r="BQ139" s="492"/>
      <c r="BT139" s="492"/>
      <c r="BU139" s="492"/>
      <c r="BV139" s="492"/>
      <c r="BW139" s="492"/>
      <c r="BX139" s="492"/>
      <c r="CA139" s="492"/>
      <c r="CB139" s="492"/>
      <c r="CC139" s="492"/>
      <c r="CD139" s="492"/>
      <c r="CE139" s="492"/>
      <c r="CH139" s="492"/>
      <c r="CI139" s="492"/>
      <c r="CJ139" s="492"/>
      <c r="CK139" s="492"/>
      <c r="CL139" s="492"/>
      <c r="CO139" s="492"/>
      <c r="CP139" s="492"/>
      <c r="CQ139" s="492"/>
      <c r="CR139" s="492"/>
      <c r="CS139" s="492"/>
    </row>
    <row r="140" spans="3:97" ht="15.75" thickBot="1" x14ac:dyDescent="0.3">
      <c r="C140" s="489">
        <v>300</v>
      </c>
      <c r="D140" s="490">
        <v>0.96</v>
      </c>
      <c r="E140" s="490">
        <v>0.97</v>
      </c>
      <c r="F140" s="491">
        <v>0.96</v>
      </c>
      <c r="G140" s="490">
        <v>0.94</v>
      </c>
      <c r="H140" s="490">
        <v>0.9</v>
      </c>
      <c r="I140" s="490">
        <v>0.84</v>
      </c>
      <c r="J140" s="490">
        <v>0.78</v>
      </c>
      <c r="K140" s="490">
        <v>0.7</v>
      </c>
      <c r="L140" s="490">
        <v>0.63</v>
      </c>
      <c r="M140" s="490">
        <v>0.55000000000000004</v>
      </c>
      <c r="P140" s="492"/>
      <c r="Q140" s="492"/>
      <c r="R140" s="492"/>
      <c r="S140" s="492"/>
      <c r="T140" s="492"/>
      <c r="W140" s="492"/>
      <c r="X140" s="492"/>
      <c r="Y140" s="492"/>
      <c r="Z140" s="492"/>
      <c r="AA140" s="492"/>
      <c r="AD140" s="492"/>
      <c r="AE140" s="492"/>
      <c r="AF140" s="492"/>
      <c r="AG140" s="492"/>
      <c r="AH140" s="492"/>
      <c r="AK140" s="492"/>
      <c r="AL140" s="492"/>
      <c r="AM140" s="492"/>
      <c r="AN140" s="492"/>
      <c r="AO140" s="492"/>
      <c r="AR140" s="492"/>
      <c r="AS140" s="492"/>
      <c r="AT140" s="492"/>
      <c r="AU140" s="492"/>
      <c r="AV140" s="492"/>
      <c r="AY140" s="492"/>
      <c r="AZ140" s="492"/>
      <c r="BA140" s="492"/>
      <c r="BB140" s="492"/>
      <c r="BC140" s="492"/>
      <c r="BF140" s="492"/>
      <c r="BG140" s="492"/>
      <c r="BH140" s="492"/>
      <c r="BI140" s="492"/>
      <c r="BJ140" s="492"/>
      <c r="BM140" s="492"/>
      <c r="BN140" s="492"/>
      <c r="BO140" s="492"/>
      <c r="BP140" s="492"/>
      <c r="BQ140" s="492"/>
      <c r="BT140" s="492"/>
      <c r="BU140" s="492"/>
      <c r="BV140" s="492"/>
      <c r="BW140" s="492"/>
      <c r="BX140" s="492"/>
      <c r="CA140" s="492"/>
      <c r="CB140" s="492"/>
      <c r="CC140" s="492"/>
      <c r="CD140" s="492"/>
      <c r="CE140" s="492"/>
      <c r="CH140" s="492"/>
      <c r="CI140" s="492"/>
      <c r="CJ140" s="492"/>
      <c r="CK140" s="492"/>
      <c r="CL140" s="492"/>
      <c r="CO140" s="492"/>
      <c r="CP140" s="492"/>
      <c r="CQ140" s="492"/>
      <c r="CR140" s="492"/>
      <c r="CS140" s="492"/>
    </row>
    <row r="141" spans="3:97" ht="15.75" thickBot="1" x14ac:dyDescent="0.3">
      <c r="C141" s="489">
        <v>310</v>
      </c>
      <c r="D141" s="490">
        <v>0.96</v>
      </c>
      <c r="E141" s="490">
        <v>0.98</v>
      </c>
      <c r="F141" s="491">
        <v>0.97</v>
      </c>
      <c r="G141" s="490">
        <v>0.95</v>
      </c>
      <c r="H141" s="490">
        <v>0.91</v>
      </c>
      <c r="I141" s="490">
        <v>0.85</v>
      </c>
      <c r="J141" s="490">
        <v>0.78</v>
      </c>
      <c r="K141" s="490">
        <v>0.7</v>
      </c>
      <c r="L141" s="490">
        <v>0.62</v>
      </c>
      <c r="M141" s="490">
        <v>0.54</v>
      </c>
      <c r="P141" s="492"/>
      <c r="Q141" s="492"/>
      <c r="R141" s="492"/>
      <c r="S141" s="492"/>
      <c r="T141" s="492"/>
      <c r="W141" s="492"/>
      <c r="X141" s="492"/>
      <c r="Y141" s="492"/>
      <c r="Z141" s="492"/>
      <c r="AA141" s="492"/>
      <c r="AD141" s="492"/>
      <c r="AE141" s="492"/>
      <c r="AF141" s="492"/>
      <c r="AG141" s="492"/>
      <c r="AH141" s="492"/>
      <c r="AK141" s="492"/>
      <c r="AL141" s="492"/>
      <c r="AM141" s="492"/>
      <c r="AN141" s="492"/>
      <c r="AO141" s="492"/>
      <c r="AR141" s="492"/>
      <c r="AS141" s="492"/>
      <c r="AT141" s="492"/>
      <c r="AU141" s="492"/>
      <c r="AV141" s="492"/>
      <c r="AY141" s="492"/>
      <c r="AZ141" s="492"/>
      <c r="BA141" s="492"/>
      <c r="BB141" s="492"/>
      <c r="BC141" s="492"/>
      <c r="BF141" s="492"/>
      <c r="BG141" s="492"/>
      <c r="BH141" s="492"/>
      <c r="BI141" s="492"/>
      <c r="BJ141" s="492"/>
      <c r="BM141" s="492"/>
      <c r="BN141" s="492"/>
      <c r="BO141" s="492"/>
      <c r="BP141" s="492"/>
      <c r="BQ141" s="492"/>
      <c r="BT141" s="492"/>
      <c r="BU141" s="492"/>
      <c r="BV141" s="492"/>
      <c r="BW141" s="492"/>
      <c r="BX141" s="492"/>
      <c r="CA141" s="492"/>
      <c r="CB141" s="492"/>
      <c r="CC141" s="492"/>
      <c r="CD141" s="492"/>
      <c r="CE141" s="492"/>
      <c r="CH141" s="492"/>
      <c r="CI141" s="492"/>
      <c r="CJ141" s="492"/>
      <c r="CK141" s="492"/>
      <c r="CL141" s="492"/>
      <c r="CO141" s="492"/>
      <c r="CP141" s="492"/>
      <c r="CQ141" s="492"/>
      <c r="CR141" s="492"/>
      <c r="CS141" s="492"/>
    </row>
    <row r="142" spans="3:97" ht="15.75" thickBot="1" x14ac:dyDescent="0.3">
      <c r="C142" s="489">
        <v>320</v>
      </c>
      <c r="D142" s="490">
        <v>0.96</v>
      </c>
      <c r="E142" s="490">
        <v>0.98</v>
      </c>
      <c r="F142" s="491">
        <v>0.98</v>
      </c>
      <c r="G142" s="490">
        <v>0.96</v>
      </c>
      <c r="H142" s="490">
        <v>0.92</v>
      </c>
      <c r="I142" s="490">
        <v>0.86</v>
      </c>
      <c r="J142" s="490">
        <v>0.78</v>
      </c>
      <c r="K142" s="490">
        <v>0.7</v>
      </c>
      <c r="L142" s="490">
        <v>0.61</v>
      </c>
      <c r="M142" s="490">
        <v>0.52</v>
      </c>
      <c r="P142" s="492"/>
      <c r="Q142" s="492"/>
      <c r="R142" s="492"/>
      <c r="S142" s="492"/>
      <c r="T142" s="492"/>
      <c r="W142" s="492"/>
      <c r="X142" s="492"/>
      <c r="Y142" s="492"/>
      <c r="Z142" s="492"/>
      <c r="AA142" s="492"/>
      <c r="AD142" s="492"/>
      <c r="AE142" s="492"/>
      <c r="AF142" s="492"/>
      <c r="AG142" s="492"/>
      <c r="AH142" s="492"/>
      <c r="AK142" s="492"/>
      <c r="AL142" s="492"/>
      <c r="AM142" s="492"/>
      <c r="AN142" s="492"/>
      <c r="AO142" s="492"/>
      <c r="AR142" s="492"/>
      <c r="AS142" s="492"/>
      <c r="AT142" s="492"/>
      <c r="AU142" s="492"/>
      <c r="AV142" s="492"/>
      <c r="AY142" s="492"/>
      <c r="AZ142" s="492"/>
      <c r="BA142" s="492"/>
      <c r="BB142" s="492"/>
      <c r="BC142" s="492"/>
      <c r="BF142" s="492"/>
      <c r="BG142" s="492"/>
      <c r="BH142" s="492"/>
      <c r="BI142" s="492"/>
      <c r="BJ142" s="492"/>
      <c r="BM142" s="492"/>
      <c r="BN142" s="492"/>
      <c r="BO142" s="492"/>
      <c r="BP142" s="492"/>
      <c r="BQ142" s="492"/>
      <c r="BT142" s="492"/>
      <c r="BU142" s="492"/>
      <c r="BV142" s="492"/>
      <c r="BW142" s="492"/>
      <c r="BX142" s="492"/>
      <c r="CA142" s="492"/>
      <c r="CB142" s="492"/>
      <c r="CC142" s="492"/>
      <c r="CD142" s="492"/>
      <c r="CE142" s="492"/>
      <c r="CH142" s="492"/>
      <c r="CI142" s="492"/>
      <c r="CJ142" s="492"/>
      <c r="CK142" s="492"/>
      <c r="CL142" s="492"/>
      <c r="CO142" s="492"/>
      <c r="CP142" s="492"/>
      <c r="CQ142" s="492"/>
      <c r="CR142" s="492"/>
      <c r="CS142" s="492"/>
    </row>
    <row r="143" spans="3:97" ht="15.75" thickBot="1" x14ac:dyDescent="0.3">
      <c r="C143" s="489">
        <v>330</v>
      </c>
      <c r="D143" s="490">
        <v>0.96</v>
      </c>
      <c r="E143" s="490">
        <v>0.99</v>
      </c>
      <c r="F143" s="491">
        <v>0.99</v>
      </c>
      <c r="G143" s="490">
        <v>0.97</v>
      </c>
      <c r="H143" s="490">
        <v>0.93</v>
      </c>
      <c r="I143" s="490">
        <v>0.86</v>
      </c>
      <c r="J143" s="490">
        <v>0.78</v>
      </c>
      <c r="K143" s="490">
        <v>0.7</v>
      </c>
      <c r="L143" s="490">
        <v>0.6</v>
      </c>
      <c r="M143" s="490">
        <v>0.51</v>
      </c>
      <c r="P143" s="492"/>
      <c r="Q143" s="492"/>
      <c r="R143" s="492"/>
      <c r="S143" s="492"/>
      <c r="T143" s="492"/>
      <c r="W143" s="492"/>
      <c r="X143" s="492"/>
      <c r="Y143" s="492"/>
      <c r="Z143" s="492"/>
      <c r="AA143" s="492"/>
      <c r="AD143" s="492"/>
      <c r="AE143" s="492"/>
      <c r="AF143" s="492"/>
      <c r="AG143" s="492"/>
      <c r="AH143" s="492"/>
      <c r="AK143" s="492"/>
      <c r="AL143" s="492"/>
      <c r="AM143" s="492"/>
      <c r="AN143" s="492"/>
      <c r="AO143" s="492"/>
      <c r="AR143" s="492"/>
      <c r="AS143" s="492"/>
      <c r="AT143" s="492"/>
      <c r="AU143" s="492"/>
      <c r="AV143" s="492"/>
      <c r="AY143" s="492"/>
      <c r="AZ143" s="492"/>
      <c r="BA143" s="492"/>
      <c r="BB143" s="492"/>
      <c r="BC143" s="492"/>
      <c r="BF143" s="492"/>
      <c r="BG143" s="492"/>
      <c r="BH143" s="492"/>
      <c r="BI143" s="492"/>
      <c r="BJ143" s="492"/>
      <c r="BM143" s="492"/>
      <c r="BN143" s="492"/>
      <c r="BO143" s="492"/>
      <c r="BP143" s="492"/>
      <c r="BQ143" s="492"/>
      <c r="BT143" s="492"/>
      <c r="BU143" s="492"/>
      <c r="BV143" s="492"/>
      <c r="BW143" s="492"/>
      <c r="BX143" s="492"/>
      <c r="CA143" s="492"/>
      <c r="CB143" s="492"/>
      <c r="CC143" s="492"/>
      <c r="CD143" s="492"/>
      <c r="CE143" s="492"/>
      <c r="CH143" s="492"/>
      <c r="CI143" s="492"/>
      <c r="CJ143" s="492"/>
      <c r="CK143" s="492"/>
      <c r="CL143" s="492"/>
      <c r="CO143" s="492"/>
      <c r="CP143" s="492"/>
      <c r="CQ143" s="492"/>
      <c r="CR143" s="492"/>
      <c r="CS143" s="492"/>
    </row>
    <row r="144" spans="3:97" ht="15.75" thickBot="1" x14ac:dyDescent="0.3">
      <c r="C144" s="489">
        <v>340</v>
      </c>
      <c r="D144" s="490">
        <v>0.96</v>
      </c>
      <c r="E144" s="490">
        <v>0.99</v>
      </c>
      <c r="F144" s="491">
        <v>1</v>
      </c>
      <c r="G144" s="490">
        <v>0.98</v>
      </c>
      <c r="H144" s="490">
        <v>0.93</v>
      </c>
      <c r="I144" s="490">
        <v>0.87</v>
      </c>
      <c r="J144" s="490">
        <v>0.79</v>
      </c>
      <c r="K144" s="490">
        <v>0.69</v>
      </c>
      <c r="L144" s="490">
        <v>0.59</v>
      </c>
      <c r="M144" s="490">
        <v>0.49</v>
      </c>
      <c r="P144" s="492"/>
      <c r="Q144" s="492"/>
      <c r="R144" s="492"/>
      <c r="S144" s="492"/>
      <c r="T144" s="492"/>
      <c r="W144" s="492"/>
      <c r="X144" s="492"/>
      <c r="Y144" s="492"/>
      <c r="Z144" s="492"/>
      <c r="AA144" s="492"/>
      <c r="AD144" s="492"/>
      <c r="AE144" s="492"/>
      <c r="AF144" s="492"/>
      <c r="AG144" s="492"/>
      <c r="AH144" s="492"/>
      <c r="AK144" s="492"/>
      <c r="AL144" s="492"/>
      <c r="AM144" s="492"/>
      <c r="AN144" s="492"/>
      <c r="AO144" s="492"/>
      <c r="AR144" s="492"/>
      <c r="AS144" s="492"/>
      <c r="AT144" s="492"/>
      <c r="AU144" s="492"/>
      <c r="AV144" s="492"/>
      <c r="AY144" s="492"/>
      <c r="AZ144" s="492"/>
      <c r="BA144" s="492"/>
      <c r="BB144" s="492"/>
      <c r="BC144" s="492"/>
      <c r="BF144" s="492"/>
      <c r="BG144" s="492"/>
      <c r="BH144" s="492"/>
      <c r="BI144" s="492"/>
      <c r="BJ144" s="492"/>
      <c r="BM144" s="492"/>
      <c r="BN144" s="492"/>
      <c r="BO144" s="492"/>
      <c r="BP144" s="492"/>
      <c r="BQ144" s="492"/>
      <c r="BT144" s="492"/>
      <c r="BU144" s="492"/>
      <c r="BV144" s="492"/>
      <c r="BW144" s="492"/>
      <c r="BX144" s="492"/>
      <c r="CA144" s="492"/>
      <c r="CB144" s="492"/>
      <c r="CC144" s="492"/>
      <c r="CD144" s="492"/>
      <c r="CE144" s="492"/>
      <c r="CH144" s="492"/>
      <c r="CI144" s="492"/>
      <c r="CJ144" s="492"/>
      <c r="CK144" s="492"/>
      <c r="CL144" s="492"/>
      <c r="CO144" s="492"/>
      <c r="CP144" s="492"/>
      <c r="CQ144" s="492"/>
      <c r="CR144" s="492"/>
      <c r="CS144" s="492"/>
    </row>
    <row r="145" spans="3:97" ht="15.75" thickBot="1" x14ac:dyDescent="0.3">
      <c r="C145" s="489">
        <v>350</v>
      </c>
      <c r="D145" s="490">
        <v>0.96</v>
      </c>
      <c r="E145" s="490">
        <v>0.99</v>
      </c>
      <c r="F145" s="491">
        <v>1</v>
      </c>
      <c r="G145" s="490">
        <v>0.98</v>
      </c>
      <c r="H145" s="490">
        <v>0.94</v>
      </c>
      <c r="I145" s="490">
        <v>0.87</v>
      </c>
      <c r="J145" s="490">
        <v>0.79</v>
      </c>
      <c r="K145" s="490">
        <v>0.69</v>
      </c>
      <c r="L145" s="490">
        <v>0.57999999999999996</v>
      </c>
      <c r="M145" s="490">
        <v>0.48</v>
      </c>
      <c r="P145" s="492"/>
      <c r="Q145" s="492"/>
      <c r="R145" s="492"/>
      <c r="S145" s="492"/>
      <c r="T145" s="492"/>
      <c r="W145" s="492"/>
      <c r="X145" s="492"/>
      <c r="Y145" s="492"/>
      <c r="Z145" s="492"/>
      <c r="AA145" s="492"/>
      <c r="AD145" s="492"/>
      <c r="AE145" s="492"/>
      <c r="AF145" s="492"/>
      <c r="AG145" s="492"/>
      <c r="AH145" s="492"/>
      <c r="AK145" s="492"/>
      <c r="AL145" s="492"/>
      <c r="AM145" s="492"/>
      <c r="AN145" s="492"/>
      <c r="AO145" s="492"/>
      <c r="AR145" s="492"/>
      <c r="AS145" s="492"/>
      <c r="AT145" s="492"/>
      <c r="AU145" s="492"/>
      <c r="AV145" s="492"/>
      <c r="AY145" s="492"/>
      <c r="AZ145" s="492"/>
      <c r="BA145" s="492"/>
      <c r="BB145" s="492"/>
      <c r="BC145" s="492"/>
      <c r="BF145" s="492"/>
      <c r="BG145" s="492"/>
      <c r="BH145" s="492"/>
      <c r="BI145" s="492"/>
      <c r="BJ145" s="492"/>
      <c r="BM145" s="492"/>
      <c r="BN145" s="492"/>
      <c r="BO145" s="492"/>
      <c r="BP145" s="492"/>
      <c r="BQ145" s="492"/>
      <c r="BT145" s="492"/>
      <c r="BU145" s="492"/>
      <c r="BV145" s="492"/>
      <c r="BW145" s="492"/>
      <c r="BX145" s="492"/>
      <c r="CA145" s="492"/>
      <c r="CB145" s="492"/>
      <c r="CC145" s="492"/>
      <c r="CD145" s="492"/>
      <c r="CE145" s="492"/>
      <c r="CH145" s="492"/>
      <c r="CI145" s="492"/>
      <c r="CJ145" s="492"/>
      <c r="CK145" s="492"/>
      <c r="CL145" s="492"/>
      <c r="CO145" s="492"/>
      <c r="CP145" s="492"/>
      <c r="CQ145" s="492"/>
      <c r="CR145" s="492"/>
      <c r="CS145" s="492"/>
    </row>
    <row r="146" spans="3:97" x14ac:dyDescent="0.25">
      <c r="P146" s="492"/>
      <c r="Q146" s="492"/>
      <c r="R146" s="492"/>
      <c r="S146" s="492"/>
      <c r="T146" s="492"/>
      <c r="W146" s="492"/>
      <c r="X146" s="492"/>
      <c r="Y146" s="492"/>
      <c r="Z146" s="492"/>
      <c r="AA146" s="492"/>
      <c r="AD146" s="492"/>
      <c r="AE146" s="492"/>
      <c r="AF146" s="492"/>
      <c r="AG146" s="492"/>
      <c r="AH146" s="492"/>
      <c r="AK146" s="492"/>
      <c r="AL146" s="492"/>
      <c r="AM146" s="492"/>
      <c r="AN146" s="492"/>
      <c r="AO146" s="492"/>
      <c r="AR146" s="492"/>
      <c r="AS146" s="492"/>
      <c r="AT146" s="492"/>
      <c r="AU146" s="492"/>
      <c r="AV146" s="492"/>
      <c r="AY146" s="492"/>
      <c r="AZ146" s="492"/>
      <c r="BA146" s="492"/>
      <c r="BB146" s="492"/>
      <c r="BC146" s="492"/>
      <c r="BF146" s="492"/>
      <c r="BG146" s="492"/>
      <c r="BH146" s="492"/>
      <c r="BI146" s="492"/>
      <c r="BJ146" s="492"/>
      <c r="BM146" s="492"/>
      <c r="BN146" s="492"/>
      <c r="BO146" s="492"/>
      <c r="BP146" s="492"/>
      <c r="BQ146" s="492"/>
      <c r="BT146" s="492"/>
      <c r="BU146" s="492"/>
      <c r="BV146" s="492"/>
      <c r="BW146" s="492"/>
      <c r="BX146" s="492"/>
      <c r="CA146" s="492"/>
      <c r="CB146" s="492"/>
      <c r="CC146" s="492"/>
      <c r="CD146" s="492"/>
      <c r="CE146" s="492"/>
      <c r="CH146" s="492"/>
      <c r="CI146" s="492"/>
      <c r="CJ146" s="492"/>
      <c r="CK146" s="492"/>
      <c r="CL146" s="492"/>
      <c r="CO146" s="492"/>
      <c r="CP146" s="492"/>
      <c r="CQ146" s="492"/>
      <c r="CR146" s="492"/>
      <c r="CS146" s="492"/>
    </row>
    <row r="147" spans="3:97" ht="15.75" thickBot="1" x14ac:dyDescent="0.3">
      <c r="P147" s="492"/>
      <c r="Q147" s="492"/>
      <c r="R147" s="492"/>
      <c r="S147" s="492"/>
      <c r="T147" s="492"/>
      <c r="W147" s="492"/>
      <c r="X147" s="492"/>
      <c r="Y147" s="492"/>
      <c r="Z147" s="492"/>
      <c r="AA147" s="492"/>
      <c r="AD147" s="492"/>
      <c r="AE147" s="492"/>
      <c r="AF147" s="492"/>
      <c r="AG147" s="492"/>
      <c r="AH147" s="492"/>
      <c r="AK147" s="492"/>
      <c r="AL147" s="492"/>
      <c r="AM147" s="492"/>
      <c r="AN147" s="492"/>
      <c r="AO147" s="492"/>
      <c r="AR147" s="492"/>
      <c r="AS147" s="492"/>
      <c r="AT147" s="492"/>
      <c r="AU147" s="492"/>
      <c r="AV147" s="492"/>
      <c r="AY147" s="492"/>
      <c r="AZ147" s="492"/>
      <c r="BA147" s="492"/>
      <c r="BB147" s="492"/>
      <c r="BC147" s="492"/>
      <c r="BF147" s="492"/>
      <c r="BG147" s="492"/>
      <c r="BH147" s="492"/>
      <c r="BI147" s="492"/>
      <c r="BJ147" s="492"/>
      <c r="BM147" s="492"/>
      <c r="BN147" s="492"/>
      <c r="BO147" s="492"/>
      <c r="BP147" s="492"/>
      <c r="BQ147" s="492"/>
      <c r="BT147" s="492"/>
      <c r="BU147" s="492"/>
      <c r="BV147" s="492"/>
      <c r="BW147" s="492"/>
      <c r="BX147" s="492"/>
      <c r="CA147" s="492"/>
      <c r="CB147" s="492"/>
      <c r="CC147" s="492"/>
      <c r="CD147" s="492"/>
      <c r="CE147" s="492"/>
      <c r="CH147" s="492"/>
      <c r="CI147" s="492"/>
      <c r="CJ147" s="492"/>
      <c r="CK147" s="492"/>
      <c r="CL147" s="492"/>
      <c r="CO147" s="492"/>
      <c r="CP147" s="492"/>
      <c r="CQ147" s="492"/>
      <c r="CR147" s="492"/>
      <c r="CS147" s="492"/>
    </row>
    <row r="148" spans="3:97" ht="15.75" thickBot="1" x14ac:dyDescent="0.3">
      <c r="C148" s="784" t="s">
        <v>3725</v>
      </c>
      <c r="D148" s="785"/>
      <c r="E148" s="785"/>
      <c r="F148" s="785"/>
      <c r="G148" s="785"/>
      <c r="H148" s="785"/>
      <c r="I148" s="785"/>
      <c r="J148" s="785"/>
      <c r="K148" s="785"/>
      <c r="L148" s="785"/>
      <c r="M148" s="786"/>
      <c r="O148" s="486" t="s">
        <v>3726</v>
      </c>
    </row>
    <row r="149" spans="3:97" ht="15.75" customHeight="1" thickBot="1" x14ac:dyDescent="0.3">
      <c r="C149" s="780" t="s">
        <v>3720</v>
      </c>
      <c r="D149" s="781" t="s">
        <v>3721</v>
      </c>
      <c r="E149" s="782"/>
      <c r="F149" s="782"/>
      <c r="G149" s="782"/>
      <c r="H149" s="782"/>
      <c r="I149" s="782"/>
      <c r="J149" s="782"/>
      <c r="K149" s="782"/>
      <c r="L149" s="782"/>
      <c r="M149" s="783"/>
      <c r="O149" s="777" t="str">
        <f>O148&amp;" - Janurary"</f>
        <v>HOBART - Janurary</v>
      </c>
      <c r="P149" s="778"/>
      <c r="Q149" s="778"/>
      <c r="R149" s="778"/>
      <c r="S149" s="778"/>
      <c r="T149" s="779"/>
      <c r="V149" s="777" t="str">
        <f>O148&amp;" - February"</f>
        <v>HOBART - February</v>
      </c>
      <c r="W149" s="778"/>
      <c r="X149" s="778"/>
      <c r="Y149" s="778"/>
      <c r="Z149" s="778"/>
      <c r="AA149" s="779"/>
      <c r="AC149" s="777" t="str">
        <f>O148&amp;" - March"</f>
        <v>HOBART - March</v>
      </c>
      <c r="AD149" s="778"/>
      <c r="AE149" s="778"/>
      <c r="AF149" s="778"/>
      <c r="AG149" s="778"/>
      <c r="AH149" s="779"/>
      <c r="AJ149" s="777" t="str">
        <f>O148&amp;" - April"</f>
        <v>HOBART - April</v>
      </c>
      <c r="AK149" s="778"/>
      <c r="AL149" s="778"/>
      <c r="AM149" s="778"/>
      <c r="AN149" s="778"/>
      <c r="AO149" s="779"/>
      <c r="AQ149" s="777" t="str">
        <f>O148&amp;" - May"</f>
        <v>HOBART - May</v>
      </c>
      <c r="AR149" s="778"/>
      <c r="AS149" s="778"/>
      <c r="AT149" s="778"/>
      <c r="AU149" s="778"/>
      <c r="AV149" s="779"/>
      <c r="AX149" s="777" t="str">
        <f>O148&amp;" - June"</f>
        <v>HOBART - June</v>
      </c>
      <c r="AY149" s="778"/>
      <c r="AZ149" s="778"/>
      <c r="BA149" s="778"/>
      <c r="BB149" s="778"/>
      <c r="BC149" s="779"/>
      <c r="BE149" s="777" t="str">
        <f>O148&amp;" - July"</f>
        <v>HOBART - July</v>
      </c>
      <c r="BF149" s="778"/>
      <c r="BG149" s="778"/>
      <c r="BH149" s="778"/>
      <c r="BI149" s="778"/>
      <c r="BJ149" s="779"/>
      <c r="BL149" s="777" t="str">
        <f>O148&amp;" - August"</f>
        <v>HOBART - August</v>
      </c>
      <c r="BM149" s="778"/>
      <c r="BN149" s="778"/>
      <c r="BO149" s="778"/>
      <c r="BP149" s="778"/>
      <c r="BQ149" s="779"/>
      <c r="BS149" s="777" t="str">
        <f>O148&amp;" - September"</f>
        <v>HOBART - September</v>
      </c>
      <c r="BT149" s="778"/>
      <c r="BU149" s="778"/>
      <c r="BV149" s="778"/>
      <c r="BW149" s="778"/>
      <c r="BX149" s="779"/>
      <c r="BZ149" s="777" t="str">
        <f>O148&amp;" - October"</f>
        <v>HOBART - October</v>
      </c>
      <c r="CA149" s="778"/>
      <c r="CB149" s="778"/>
      <c r="CC149" s="778"/>
      <c r="CD149" s="778"/>
      <c r="CE149" s="779"/>
      <c r="CG149" s="777" t="str">
        <f>O148&amp;" - November"</f>
        <v>HOBART - November</v>
      </c>
      <c r="CH149" s="778"/>
      <c r="CI149" s="778"/>
      <c r="CJ149" s="778"/>
      <c r="CK149" s="778"/>
      <c r="CL149" s="779"/>
      <c r="CN149" s="777" t="str">
        <f>O148&amp;" - December"</f>
        <v>HOBART - December</v>
      </c>
      <c r="CO149" s="778"/>
      <c r="CP149" s="778"/>
      <c r="CQ149" s="778"/>
      <c r="CR149" s="778"/>
      <c r="CS149" s="779"/>
    </row>
    <row r="150" spans="3:97" ht="15.75" thickBot="1" x14ac:dyDescent="0.3">
      <c r="C150" s="773"/>
      <c r="D150" s="488">
        <v>0</v>
      </c>
      <c r="E150" s="488">
        <v>10</v>
      </c>
      <c r="F150" s="488">
        <v>20</v>
      </c>
      <c r="G150" s="488">
        <v>30</v>
      </c>
      <c r="H150" s="488">
        <v>40</v>
      </c>
      <c r="I150" s="488">
        <v>50</v>
      </c>
      <c r="J150" s="488">
        <v>60</v>
      </c>
      <c r="K150" s="488">
        <v>70</v>
      </c>
      <c r="L150" s="488">
        <v>80</v>
      </c>
      <c r="M150" s="488">
        <v>90</v>
      </c>
      <c r="O150" s="772" t="s">
        <v>3720</v>
      </c>
      <c r="P150" s="774" t="s">
        <v>3721</v>
      </c>
      <c r="Q150" s="775"/>
      <c r="R150" s="775"/>
      <c r="S150" s="775"/>
      <c r="T150" s="776"/>
      <c r="V150" s="772" t="s">
        <v>3720</v>
      </c>
      <c r="W150" s="774" t="s">
        <v>3721</v>
      </c>
      <c r="X150" s="775"/>
      <c r="Y150" s="775"/>
      <c r="Z150" s="775"/>
      <c r="AA150" s="776"/>
      <c r="AC150" s="772" t="s">
        <v>3720</v>
      </c>
      <c r="AD150" s="774" t="s">
        <v>3721</v>
      </c>
      <c r="AE150" s="775"/>
      <c r="AF150" s="775"/>
      <c r="AG150" s="775"/>
      <c r="AH150" s="776"/>
      <c r="AJ150" s="772" t="s">
        <v>3720</v>
      </c>
      <c r="AK150" s="774" t="s">
        <v>3721</v>
      </c>
      <c r="AL150" s="775"/>
      <c r="AM150" s="775"/>
      <c r="AN150" s="775"/>
      <c r="AO150" s="776"/>
      <c r="AQ150" s="772" t="s">
        <v>3720</v>
      </c>
      <c r="AR150" s="774" t="s">
        <v>3721</v>
      </c>
      <c r="AS150" s="775"/>
      <c r="AT150" s="775"/>
      <c r="AU150" s="775"/>
      <c r="AV150" s="776"/>
      <c r="AX150" s="772" t="s">
        <v>3720</v>
      </c>
      <c r="AY150" s="774" t="s">
        <v>3721</v>
      </c>
      <c r="AZ150" s="775"/>
      <c r="BA150" s="775"/>
      <c r="BB150" s="775"/>
      <c r="BC150" s="776"/>
      <c r="BE150" s="772" t="s">
        <v>3720</v>
      </c>
      <c r="BF150" s="774" t="s">
        <v>3721</v>
      </c>
      <c r="BG150" s="775"/>
      <c r="BH150" s="775"/>
      <c r="BI150" s="775"/>
      <c r="BJ150" s="776"/>
      <c r="BL150" s="772" t="s">
        <v>3720</v>
      </c>
      <c r="BM150" s="774" t="s">
        <v>3721</v>
      </c>
      <c r="BN150" s="775"/>
      <c r="BO150" s="775"/>
      <c r="BP150" s="775"/>
      <c r="BQ150" s="776"/>
      <c r="BS150" s="772" t="s">
        <v>3720</v>
      </c>
      <c r="BT150" s="774" t="s">
        <v>3721</v>
      </c>
      <c r="BU150" s="775"/>
      <c r="BV150" s="775"/>
      <c r="BW150" s="775"/>
      <c r="BX150" s="776"/>
      <c r="BZ150" s="772" t="s">
        <v>3720</v>
      </c>
      <c r="CA150" s="774" t="s">
        <v>3721</v>
      </c>
      <c r="CB150" s="775"/>
      <c r="CC150" s="775"/>
      <c r="CD150" s="775"/>
      <c r="CE150" s="776"/>
      <c r="CG150" s="772" t="s">
        <v>3720</v>
      </c>
      <c r="CH150" s="774" t="s">
        <v>3721</v>
      </c>
      <c r="CI150" s="775"/>
      <c r="CJ150" s="775"/>
      <c r="CK150" s="775"/>
      <c r="CL150" s="776"/>
      <c r="CN150" s="772" t="s">
        <v>3720</v>
      </c>
      <c r="CO150" s="774" t="s">
        <v>3721</v>
      </c>
      <c r="CP150" s="775"/>
      <c r="CQ150" s="775"/>
      <c r="CR150" s="775"/>
      <c r="CS150" s="776"/>
    </row>
    <row r="151" spans="3:97" ht="15.75" thickBot="1" x14ac:dyDescent="0.3">
      <c r="C151" s="489">
        <v>0</v>
      </c>
      <c r="D151" s="490">
        <v>0.82</v>
      </c>
      <c r="E151" s="490">
        <v>0.9</v>
      </c>
      <c r="F151" s="490">
        <v>0.95</v>
      </c>
      <c r="G151" s="490">
        <v>0.99</v>
      </c>
      <c r="H151" s="491">
        <v>1</v>
      </c>
      <c r="I151" s="490">
        <v>0.99</v>
      </c>
      <c r="J151" s="490">
        <v>0.95</v>
      </c>
      <c r="K151" s="490">
        <v>0.89</v>
      </c>
      <c r="L151" s="490">
        <v>0.81</v>
      </c>
      <c r="M151" s="490">
        <v>0.72</v>
      </c>
      <c r="O151" s="773"/>
      <c r="P151" s="488">
        <v>0</v>
      </c>
      <c r="Q151" s="488">
        <v>10</v>
      </c>
      <c r="R151" s="488">
        <v>20</v>
      </c>
      <c r="S151" s="488">
        <v>30</v>
      </c>
      <c r="T151" s="488">
        <v>40</v>
      </c>
      <c r="V151" s="773"/>
      <c r="W151" s="488">
        <v>0</v>
      </c>
      <c r="X151" s="488">
        <v>10</v>
      </c>
      <c r="Y151" s="488">
        <v>20</v>
      </c>
      <c r="Z151" s="488">
        <v>30</v>
      </c>
      <c r="AA151" s="488">
        <v>40</v>
      </c>
      <c r="AC151" s="773"/>
      <c r="AD151" s="488">
        <v>0</v>
      </c>
      <c r="AE151" s="488">
        <v>10</v>
      </c>
      <c r="AF151" s="488">
        <v>20</v>
      </c>
      <c r="AG151" s="488">
        <v>30</v>
      </c>
      <c r="AH151" s="488">
        <v>40</v>
      </c>
      <c r="AJ151" s="773"/>
      <c r="AK151" s="488">
        <v>0</v>
      </c>
      <c r="AL151" s="488">
        <v>10</v>
      </c>
      <c r="AM151" s="488">
        <v>20</v>
      </c>
      <c r="AN151" s="488">
        <v>30</v>
      </c>
      <c r="AO151" s="488">
        <v>40</v>
      </c>
      <c r="AQ151" s="773"/>
      <c r="AR151" s="488">
        <v>0</v>
      </c>
      <c r="AS151" s="488">
        <v>10</v>
      </c>
      <c r="AT151" s="488">
        <v>20</v>
      </c>
      <c r="AU151" s="488">
        <v>30</v>
      </c>
      <c r="AV151" s="488">
        <v>40</v>
      </c>
      <c r="AX151" s="773"/>
      <c r="AY151" s="488">
        <v>0</v>
      </c>
      <c r="AZ151" s="488">
        <v>10</v>
      </c>
      <c r="BA151" s="488">
        <v>20</v>
      </c>
      <c r="BB151" s="488">
        <v>30</v>
      </c>
      <c r="BC151" s="488">
        <v>40</v>
      </c>
      <c r="BE151" s="773"/>
      <c r="BF151" s="488">
        <v>0</v>
      </c>
      <c r="BG151" s="488">
        <v>10</v>
      </c>
      <c r="BH151" s="488">
        <v>20</v>
      </c>
      <c r="BI151" s="488">
        <v>30</v>
      </c>
      <c r="BJ151" s="488">
        <v>40</v>
      </c>
      <c r="BL151" s="773"/>
      <c r="BM151" s="488">
        <v>0</v>
      </c>
      <c r="BN151" s="488">
        <v>10</v>
      </c>
      <c r="BO151" s="488">
        <v>20</v>
      </c>
      <c r="BP151" s="488">
        <v>30</v>
      </c>
      <c r="BQ151" s="488">
        <v>40</v>
      </c>
      <c r="BS151" s="773"/>
      <c r="BT151" s="488">
        <v>0</v>
      </c>
      <c r="BU151" s="488">
        <v>10</v>
      </c>
      <c r="BV151" s="488">
        <v>20</v>
      </c>
      <c r="BW151" s="488">
        <v>30</v>
      </c>
      <c r="BX151" s="488">
        <v>40</v>
      </c>
      <c r="BZ151" s="773"/>
      <c r="CA151" s="488">
        <v>0</v>
      </c>
      <c r="CB151" s="488">
        <v>10</v>
      </c>
      <c r="CC151" s="488">
        <v>20</v>
      </c>
      <c r="CD151" s="488">
        <v>30</v>
      </c>
      <c r="CE151" s="488">
        <v>40</v>
      </c>
      <c r="CG151" s="773"/>
      <c r="CH151" s="488">
        <v>0</v>
      </c>
      <c r="CI151" s="488">
        <v>10</v>
      </c>
      <c r="CJ151" s="488">
        <v>20</v>
      </c>
      <c r="CK151" s="488">
        <v>30</v>
      </c>
      <c r="CL151" s="488">
        <v>40</v>
      </c>
      <c r="CN151" s="773"/>
      <c r="CO151" s="488">
        <v>0</v>
      </c>
      <c r="CP151" s="488">
        <v>10</v>
      </c>
      <c r="CQ151" s="488">
        <v>20</v>
      </c>
      <c r="CR151" s="488">
        <v>30</v>
      </c>
      <c r="CS151" s="488">
        <v>40</v>
      </c>
    </row>
    <row r="152" spans="3:97" ht="15.75" thickBot="1" x14ac:dyDescent="0.3">
      <c r="C152" s="489">
        <v>10</v>
      </c>
      <c r="D152" s="490">
        <v>0.82</v>
      </c>
      <c r="E152" s="490">
        <v>0.89</v>
      </c>
      <c r="F152" s="490">
        <v>0.95</v>
      </c>
      <c r="G152" s="490">
        <v>0.98</v>
      </c>
      <c r="H152" s="491">
        <v>0.99</v>
      </c>
      <c r="I152" s="490">
        <v>0.98</v>
      </c>
      <c r="J152" s="490">
        <v>0.95</v>
      </c>
      <c r="K152" s="490">
        <v>0.88</v>
      </c>
      <c r="L152" s="490">
        <v>0.81</v>
      </c>
      <c r="M152" s="490">
        <v>0.72</v>
      </c>
      <c r="O152" s="489">
        <v>270</v>
      </c>
      <c r="P152" s="490">
        <v>1</v>
      </c>
      <c r="Q152" s="490">
        <v>1.01</v>
      </c>
      <c r="R152" s="490">
        <v>1</v>
      </c>
      <c r="S152" s="490">
        <v>0.98</v>
      </c>
      <c r="T152" s="490">
        <v>0.94</v>
      </c>
      <c r="V152" s="489">
        <v>270</v>
      </c>
      <c r="W152" s="490">
        <v>1</v>
      </c>
      <c r="X152" s="490">
        <v>1.01</v>
      </c>
      <c r="Y152" s="490">
        <v>1.01</v>
      </c>
      <c r="Z152" s="490">
        <v>1</v>
      </c>
      <c r="AA152" s="490">
        <v>0.97</v>
      </c>
      <c r="AC152" s="489">
        <v>270</v>
      </c>
      <c r="AD152" s="490">
        <v>1</v>
      </c>
      <c r="AE152" s="490">
        <v>1.01</v>
      </c>
      <c r="AF152" s="490">
        <v>1</v>
      </c>
      <c r="AG152" s="490">
        <v>0.99</v>
      </c>
      <c r="AH152" s="490">
        <v>0.98</v>
      </c>
      <c r="AJ152" s="489">
        <v>270</v>
      </c>
      <c r="AK152" s="490">
        <v>1</v>
      </c>
      <c r="AL152" s="490">
        <v>1.01</v>
      </c>
      <c r="AM152" s="490">
        <v>1.02</v>
      </c>
      <c r="AN152" s="490">
        <v>1.01</v>
      </c>
      <c r="AO152" s="490">
        <v>1</v>
      </c>
      <c r="AQ152" s="489">
        <v>270</v>
      </c>
      <c r="AR152" s="490">
        <v>1</v>
      </c>
      <c r="AS152" s="490">
        <v>1.01</v>
      </c>
      <c r="AT152" s="490">
        <v>1.03</v>
      </c>
      <c r="AU152" s="490">
        <v>1.04</v>
      </c>
      <c r="AV152" s="490">
        <v>1.03</v>
      </c>
      <c r="AX152" s="489">
        <v>270</v>
      </c>
      <c r="AY152" s="490">
        <v>1</v>
      </c>
      <c r="AZ152" s="490">
        <v>1.02</v>
      </c>
      <c r="BA152" s="490">
        <v>1.03</v>
      </c>
      <c r="BB152" s="490">
        <v>1.03</v>
      </c>
      <c r="BC152" s="490">
        <v>1.03</v>
      </c>
      <c r="BE152" s="489">
        <v>270</v>
      </c>
      <c r="BF152" s="490">
        <v>1</v>
      </c>
      <c r="BG152" s="490">
        <v>1.01</v>
      </c>
      <c r="BH152" s="490">
        <v>1.03</v>
      </c>
      <c r="BI152" s="490">
        <v>1.04</v>
      </c>
      <c r="BJ152" s="490">
        <v>1.04</v>
      </c>
      <c r="BL152" s="489">
        <v>270</v>
      </c>
      <c r="BM152" s="490">
        <v>1</v>
      </c>
      <c r="BN152" s="490">
        <v>1.01</v>
      </c>
      <c r="BO152" s="490">
        <v>1.01</v>
      </c>
      <c r="BP152" s="490">
        <v>1.01</v>
      </c>
      <c r="BQ152" s="490">
        <v>1</v>
      </c>
      <c r="BS152" s="489">
        <v>270</v>
      </c>
      <c r="BT152" s="490">
        <v>1</v>
      </c>
      <c r="BU152" s="490">
        <v>1.01</v>
      </c>
      <c r="BV152" s="490">
        <v>1.01</v>
      </c>
      <c r="BW152" s="490">
        <v>1</v>
      </c>
      <c r="BX152" s="490">
        <v>0.98</v>
      </c>
      <c r="BZ152" s="489">
        <v>270</v>
      </c>
      <c r="CA152" s="490">
        <v>1</v>
      </c>
      <c r="CB152" s="490">
        <v>1.01</v>
      </c>
      <c r="CC152" s="490">
        <v>1.01</v>
      </c>
      <c r="CD152" s="490">
        <v>0.99</v>
      </c>
      <c r="CE152" s="490">
        <v>0.96</v>
      </c>
      <c r="CG152" s="489">
        <v>270</v>
      </c>
      <c r="CH152" s="490">
        <v>1</v>
      </c>
      <c r="CI152" s="490">
        <v>1.01</v>
      </c>
      <c r="CJ152" s="490">
        <v>1</v>
      </c>
      <c r="CK152" s="490">
        <v>0.99</v>
      </c>
      <c r="CL152" s="490">
        <v>0.96</v>
      </c>
      <c r="CN152" s="489">
        <v>270</v>
      </c>
      <c r="CO152" s="490">
        <v>1</v>
      </c>
      <c r="CP152" s="490">
        <v>1.01</v>
      </c>
      <c r="CQ152" s="490">
        <v>1</v>
      </c>
      <c r="CR152" s="490">
        <v>0.97</v>
      </c>
      <c r="CS152" s="490">
        <v>0.94</v>
      </c>
    </row>
    <row r="153" spans="3:97" ht="15.75" thickBot="1" x14ac:dyDescent="0.3">
      <c r="C153" s="489">
        <v>20</v>
      </c>
      <c r="D153" s="490">
        <v>0.82</v>
      </c>
      <c r="E153" s="490">
        <v>0.89</v>
      </c>
      <c r="F153" s="490">
        <v>0.95</v>
      </c>
      <c r="G153" s="490">
        <v>0.98</v>
      </c>
      <c r="H153" s="491">
        <v>0.99</v>
      </c>
      <c r="I153" s="490">
        <v>0.97</v>
      </c>
      <c r="J153" s="490">
        <v>0.94</v>
      </c>
      <c r="K153" s="490">
        <v>0.88</v>
      </c>
      <c r="L153" s="490">
        <v>0.81</v>
      </c>
      <c r="M153" s="490">
        <v>0.72</v>
      </c>
      <c r="O153" s="489">
        <v>280</v>
      </c>
      <c r="P153" s="490">
        <v>1</v>
      </c>
      <c r="Q153" s="490">
        <v>1.01</v>
      </c>
      <c r="R153" s="490">
        <v>1.01</v>
      </c>
      <c r="S153" s="490">
        <v>0.99</v>
      </c>
      <c r="T153" s="490">
        <v>0.96</v>
      </c>
      <c r="V153" s="489">
        <v>280</v>
      </c>
      <c r="W153" s="490">
        <v>1</v>
      </c>
      <c r="X153" s="490">
        <v>1.02</v>
      </c>
      <c r="Y153" s="490">
        <v>1.03</v>
      </c>
      <c r="Z153" s="490">
        <v>1.02</v>
      </c>
      <c r="AA153" s="490">
        <v>1</v>
      </c>
      <c r="AC153" s="489">
        <v>280</v>
      </c>
      <c r="AD153" s="490">
        <v>1</v>
      </c>
      <c r="AE153" s="490">
        <v>1.02</v>
      </c>
      <c r="AF153" s="490">
        <v>1.04</v>
      </c>
      <c r="AG153" s="490">
        <v>1.04</v>
      </c>
      <c r="AH153" s="490">
        <v>1.02</v>
      </c>
      <c r="AJ153" s="489">
        <v>280</v>
      </c>
      <c r="AK153" s="490">
        <v>1</v>
      </c>
      <c r="AL153" s="490">
        <v>1.04</v>
      </c>
      <c r="AM153" s="490">
        <v>1.06</v>
      </c>
      <c r="AN153" s="490">
        <v>1.08</v>
      </c>
      <c r="AO153" s="490">
        <v>1.0900000000000001</v>
      </c>
      <c r="AQ153" s="489">
        <v>280</v>
      </c>
      <c r="AR153" s="490">
        <v>1</v>
      </c>
      <c r="AS153" s="490">
        <v>1.05</v>
      </c>
      <c r="AT153" s="490">
        <v>1.1000000000000001</v>
      </c>
      <c r="AU153" s="490">
        <v>1.1299999999999999</v>
      </c>
      <c r="AV153" s="490">
        <v>1.1499999999999999</v>
      </c>
      <c r="AX153" s="489">
        <v>280</v>
      </c>
      <c r="AY153" s="490">
        <v>1</v>
      </c>
      <c r="AZ153" s="490">
        <v>1.06</v>
      </c>
      <c r="BA153" s="490">
        <v>1.1100000000000001</v>
      </c>
      <c r="BB153" s="490">
        <v>1.1599999999999999</v>
      </c>
      <c r="BC153" s="490">
        <v>1.17</v>
      </c>
      <c r="BE153" s="489">
        <v>280</v>
      </c>
      <c r="BF153" s="490">
        <v>1</v>
      </c>
      <c r="BG153" s="490">
        <v>1.07</v>
      </c>
      <c r="BH153" s="490">
        <v>1.1100000000000001</v>
      </c>
      <c r="BI153" s="490">
        <v>1.1499999999999999</v>
      </c>
      <c r="BJ153" s="490">
        <v>1.17</v>
      </c>
      <c r="BL153" s="489">
        <v>280</v>
      </c>
      <c r="BM153" s="490">
        <v>1</v>
      </c>
      <c r="BN153" s="490">
        <v>1.04</v>
      </c>
      <c r="BO153" s="490">
        <v>1.08</v>
      </c>
      <c r="BP153" s="490">
        <v>1.0900000000000001</v>
      </c>
      <c r="BQ153" s="490">
        <v>1.1000000000000001</v>
      </c>
      <c r="BS153" s="489">
        <v>280</v>
      </c>
      <c r="BT153" s="490">
        <v>1</v>
      </c>
      <c r="BU153" s="490">
        <v>1.03</v>
      </c>
      <c r="BV153" s="490">
        <v>1.05</v>
      </c>
      <c r="BW153" s="490">
        <v>1.05</v>
      </c>
      <c r="BX153" s="490">
        <v>1.05</v>
      </c>
      <c r="BZ153" s="489">
        <v>280</v>
      </c>
      <c r="CA153" s="490">
        <v>1</v>
      </c>
      <c r="CB153" s="490">
        <v>1.02</v>
      </c>
      <c r="CC153" s="490">
        <v>1.03</v>
      </c>
      <c r="CD153" s="490">
        <v>1.02</v>
      </c>
      <c r="CE153" s="490">
        <v>1.01</v>
      </c>
      <c r="CG153" s="489">
        <v>280</v>
      </c>
      <c r="CH153" s="490">
        <v>1</v>
      </c>
      <c r="CI153" s="490">
        <v>1.02</v>
      </c>
      <c r="CJ153" s="490">
        <v>1.02</v>
      </c>
      <c r="CK153" s="490">
        <v>1</v>
      </c>
      <c r="CL153" s="490">
        <v>0.97</v>
      </c>
      <c r="CN153" s="489">
        <v>280</v>
      </c>
      <c r="CO153" s="490">
        <v>1</v>
      </c>
      <c r="CP153" s="490">
        <v>1.01</v>
      </c>
      <c r="CQ153" s="490">
        <v>1</v>
      </c>
      <c r="CR153" s="490">
        <v>0.98</v>
      </c>
      <c r="CS153" s="490">
        <v>0.95</v>
      </c>
    </row>
    <row r="154" spans="3:97" ht="15.75" thickBot="1" x14ac:dyDescent="0.3">
      <c r="C154" s="489">
        <v>30</v>
      </c>
      <c r="D154" s="490">
        <v>0.82</v>
      </c>
      <c r="E154" s="490">
        <v>0.88</v>
      </c>
      <c r="F154" s="490">
        <v>0.93</v>
      </c>
      <c r="G154" s="490">
        <v>0.96</v>
      </c>
      <c r="H154" s="491">
        <v>0.97</v>
      </c>
      <c r="I154" s="490">
        <v>0.96</v>
      </c>
      <c r="J154" s="490">
        <v>0.92</v>
      </c>
      <c r="K154" s="490">
        <v>0.87</v>
      </c>
      <c r="L154" s="490">
        <v>0.79</v>
      </c>
      <c r="M154" s="490">
        <v>0.7</v>
      </c>
      <c r="O154" s="489">
        <v>290</v>
      </c>
      <c r="P154" s="490">
        <v>1</v>
      </c>
      <c r="Q154" s="490">
        <v>1.02</v>
      </c>
      <c r="R154" s="490">
        <v>1.02</v>
      </c>
      <c r="S154" s="490">
        <v>1</v>
      </c>
      <c r="T154" s="490">
        <v>0.98</v>
      </c>
      <c r="V154" s="489">
        <v>290</v>
      </c>
      <c r="W154" s="490">
        <v>1</v>
      </c>
      <c r="X154" s="490">
        <v>1.03</v>
      </c>
      <c r="Y154" s="490">
        <v>1.05</v>
      </c>
      <c r="Z154" s="490">
        <v>1.04</v>
      </c>
      <c r="AA154" s="490">
        <v>1.03</v>
      </c>
      <c r="AC154" s="489">
        <v>290</v>
      </c>
      <c r="AD154" s="490">
        <v>1</v>
      </c>
      <c r="AE154" s="490">
        <v>1.04</v>
      </c>
      <c r="AF154" s="490">
        <v>1.07</v>
      </c>
      <c r="AG154" s="490">
        <v>1.08</v>
      </c>
      <c r="AH154" s="490">
        <v>1.07</v>
      </c>
      <c r="AJ154" s="489">
        <v>290</v>
      </c>
      <c r="AK154" s="490">
        <v>1</v>
      </c>
      <c r="AL154" s="490">
        <v>1.06</v>
      </c>
      <c r="AM154" s="490">
        <v>1.1200000000000001</v>
      </c>
      <c r="AN154" s="490">
        <v>1.1499999999999999</v>
      </c>
      <c r="AO154" s="490">
        <v>1.1599999999999999</v>
      </c>
      <c r="AQ154" s="489">
        <v>290</v>
      </c>
      <c r="AR154" s="490">
        <v>1</v>
      </c>
      <c r="AS154" s="490">
        <v>1.0900000000000001</v>
      </c>
      <c r="AT154" s="490">
        <v>1.17</v>
      </c>
      <c r="AU154" s="490">
        <v>1.23</v>
      </c>
      <c r="AV154" s="490">
        <v>1.27</v>
      </c>
      <c r="AX154" s="489">
        <v>290</v>
      </c>
      <c r="AY154" s="490">
        <v>1</v>
      </c>
      <c r="AZ154" s="490">
        <v>1.1100000000000001</v>
      </c>
      <c r="BA154" s="490">
        <v>1.2</v>
      </c>
      <c r="BB154" s="490">
        <v>1.28</v>
      </c>
      <c r="BC154" s="490">
        <v>1.33</v>
      </c>
      <c r="BE154" s="489">
        <v>290</v>
      </c>
      <c r="BF154" s="490">
        <v>1</v>
      </c>
      <c r="BG154" s="490">
        <v>1.1100000000000001</v>
      </c>
      <c r="BH154" s="490">
        <v>1.19</v>
      </c>
      <c r="BI154" s="490">
        <v>1.26</v>
      </c>
      <c r="BJ154" s="490">
        <v>1.32</v>
      </c>
      <c r="BL154" s="489">
        <v>290</v>
      </c>
      <c r="BM154" s="490">
        <v>1</v>
      </c>
      <c r="BN154" s="490">
        <v>1.07</v>
      </c>
      <c r="BO154" s="490">
        <v>1.1299999999999999</v>
      </c>
      <c r="BP154" s="490">
        <v>1.17</v>
      </c>
      <c r="BQ154" s="490">
        <v>1.2</v>
      </c>
      <c r="BS154" s="489">
        <v>290</v>
      </c>
      <c r="BT154" s="490">
        <v>1</v>
      </c>
      <c r="BU154" s="490">
        <v>1.05</v>
      </c>
      <c r="BV154" s="490">
        <v>1.0900000000000001</v>
      </c>
      <c r="BW154" s="490">
        <v>1.1100000000000001</v>
      </c>
      <c r="BX154" s="490">
        <v>1.1100000000000001</v>
      </c>
      <c r="BZ154" s="489">
        <v>290</v>
      </c>
      <c r="CA154" s="490">
        <v>1</v>
      </c>
      <c r="CB154" s="490">
        <v>1.04</v>
      </c>
      <c r="CC154" s="490">
        <v>1.05</v>
      </c>
      <c r="CD154" s="490">
        <v>1.05</v>
      </c>
      <c r="CE154" s="490">
        <v>1.04</v>
      </c>
      <c r="CG154" s="489">
        <v>290</v>
      </c>
      <c r="CH154" s="490">
        <v>1</v>
      </c>
      <c r="CI154" s="490">
        <v>1.02</v>
      </c>
      <c r="CJ154" s="490">
        <v>1.03</v>
      </c>
      <c r="CK154" s="490">
        <v>1.02</v>
      </c>
      <c r="CL154" s="490">
        <v>0.99</v>
      </c>
      <c r="CN154" s="489">
        <v>290</v>
      </c>
      <c r="CO154" s="490">
        <v>1</v>
      </c>
      <c r="CP154" s="490">
        <v>1.01</v>
      </c>
      <c r="CQ154" s="490">
        <v>1.01</v>
      </c>
      <c r="CR154" s="490">
        <v>0.99</v>
      </c>
      <c r="CS154" s="490">
        <v>0.96</v>
      </c>
    </row>
    <row r="155" spans="3:97" ht="15.75" thickBot="1" x14ac:dyDescent="0.3">
      <c r="C155" s="489">
        <v>40</v>
      </c>
      <c r="D155" s="490">
        <v>0.82</v>
      </c>
      <c r="E155" s="490">
        <v>0.88</v>
      </c>
      <c r="F155" s="490">
        <v>0.92</v>
      </c>
      <c r="G155" s="490">
        <v>0.95</v>
      </c>
      <c r="H155" s="491">
        <v>0.95</v>
      </c>
      <c r="I155" s="490">
        <v>0.93</v>
      </c>
      <c r="J155" s="490">
        <v>0.9</v>
      </c>
      <c r="K155" s="490">
        <v>0.84</v>
      </c>
      <c r="L155" s="490">
        <v>0.78</v>
      </c>
      <c r="M155" s="490">
        <v>0.69</v>
      </c>
      <c r="O155" s="489">
        <v>300</v>
      </c>
      <c r="P155" s="490">
        <v>1</v>
      </c>
      <c r="Q155" s="490">
        <v>1.02</v>
      </c>
      <c r="R155" s="491">
        <v>1.03</v>
      </c>
      <c r="S155" s="490">
        <v>1.02</v>
      </c>
      <c r="T155" s="490">
        <v>0.98</v>
      </c>
      <c r="V155" s="489">
        <v>300</v>
      </c>
      <c r="W155" s="490">
        <v>1</v>
      </c>
      <c r="X155" s="490">
        <v>1.04</v>
      </c>
      <c r="Y155" s="491">
        <v>1.06</v>
      </c>
      <c r="Z155" s="490">
        <v>1.06</v>
      </c>
      <c r="AA155" s="490">
        <v>1.05</v>
      </c>
      <c r="AC155" s="489">
        <v>300</v>
      </c>
      <c r="AD155" s="490">
        <v>1</v>
      </c>
      <c r="AE155" s="490">
        <v>1.06</v>
      </c>
      <c r="AF155" s="491">
        <v>1.1000000000000001</v>
      </c>
      <c r="AG155" s="490">
        <v>1.1200000000000001</v>
      </c>
      <c r="AH155" s="490">
        <v>1.1200000000000001</v>
      </c>
      <c r="AJ155" s="489">
        <v>300</v>
      </c>
      <c r="AK155" s="490">
        <v>1</v>
      </c>
      <c r="AL155" s="490">
        <v>1.0900000000000001</v>
      </c>
      <c r="AM155" s="491">
        <v>1.1599999999999999</v>
      </c>
      <c r="AN155" s="490">
        <v>1.21</v>
      </c>
      <c r="AO155" s="490">
        <v>1.24</v>
      </c>
      <c r="AQ155" s="489">
        <v>300</v>
      </c>
      <c r="AR155" s="490">
        <v>1</v>
      </c>
      <c r="AS155" s="490">
        <v>1.1299999999999999</v>
      </c>
      <c r="AT155" s="491">
        <v>1.24</v>
      </c>
      <c r="AU155" s="490">
        <v>1.32</v>
      </c>
      <c r="AV155" s="490">
        <v>1.38</v>
      </c>
      <c r="AX155" s="489">
        <v>300</v>
      </c>
      <c r="AY155" s="490">
        <v>1</v>
      </c>
      <c r="AZ155" s="490">
        <v>1.1599999999999999</v>
      </c>
      <c r="BA155" s="491">
        <v>1.3</v>
      </c>
      <c r="BB155" s="490">
        <v>1.41</v>
      </c>
      <c r="BC155" s="490">
        <v>1.47</v>
      </c>
      <c r="BE155" s="489">
        <v>300</v>
      </c>
      <c r="BF155" s="490">
        <v>1</v>
      </c>
      <c r="BG155" s="490">
        <v>1.1499999999999999</v>
      </c>
      <c r="BH155" s="491">
        <v>1.28</v>
      </c>
      <c r="BI155" s="490">
        <v>1.38</v>
      </c>
      <c r="BJ155" s="490">
        <v>1.44</v>
      </c>
      <c r="BL155" s="489">
        <v>300</v>
      </c>
      <c r="BM155" s="490">
        <v>1</v>
      </c>
      <c r="BN155" s="490">
        <v>1.1000000000000001</v>
      </c>
      <c r="BO155" s="491">
        <v>1.19</v>
      </c>
      <c r="BP155" s="490">
        <v>1.25</v>
      </c>
      <c r="BQ155" s="490">
        <v>1.29</v>
      </c>
      <c r="BS155" s="489">
        <v>300</v>
      </c>
      <c r="BT155" s="490">
        <v>1</v>
      </c>
      <c r="BU155" s="490">
        <v>1.08</v>
      </c>
      <c r="BV155" s="491">
        <v>1.1299999999999999</v>
      </c>
      <c r="BW155" s="490">
        <v>1.1599999999999999</v>
      </c>
      <c r="BX155" s="490">
        <v>1.17</v>
      </c>
      <c r="BZ155" s="489">
        <v>300</v>
      </c>
      <c r="CA155" s="490">
        <v>1</v>
      </c>
      <c r="CB155" s="490">
        <v>1.05</v>
      </c>
      <c r="CC155" s="491">
        <v>1.07</v>
      </c>
      <c r="CD155" s="490">
        <v>1.08</v>
      </c>
      <c r="CE155" s="490">
        <v>1.07</v>
      </c>
      <c r="CG155" s="489">
        <v>300</v>
      </c>
      <c r="CH155" s="490">
        <v>1</v>
      </c>
      <c r="CI155" s="490">
        <v>1.03</v>
      </c>
      <c r="CJ155" s="491">
        <v>1.03</v>
      </c>
      <c r="CK155" s="490">
        <v>1.03</v>
      </c>
      <c r="CL155" s="490">
        <v>1</v>
      </c>
      <c r="CN155" s="489">
        <v>300</v>
      </c>
      <c r="CO155" s="490">
        <v>1</v>
      </c>
      <c r="CP155" s="490">
        <v>1.02</v>
      </c>
      <c r="CQ155" s="491">
        <v>1.01</v>
      </c>
      <c r="CR155" s="490">
        <v>1</v>
      </c>
      <c r="CS155" s="490">
        <v>0.96</v>
      </c>
    </row>
    <row r="156" spans="3:97" ht="15.75" thickBot="1" x14ac:dyDescent="0.3">
      <c r="C156" s="489">
        <v>50</v>
      </c>
      <c r="D156" s="490">
        <v>0.82</v>
      </c>
      <c r="E156" s="490">
        <v>0.87</v>
      </c>
      <c r="F156" s="490">
        <v>0.9</v>
      </c>
      <c r="G156" s="490">
        <v>0.92</v>
      </c>
      <c r="H156" s="491">
        <v>0.92</v>
      </c>
      <c r="I156" s="490">
        <v>0.9</v>
      </c>
      <c r="J156" s="490">
        <v>0.87</v>
      </c>
      <c r="K156" s="490">
        <v>0.81</v>
      </c>
      <c r="L156" s="490">
        <v>0.75</v>
      </c>
      <c r="M156" s="490">
        <v>0.67</v>
      </c>
      <c r="O156" s="489">
        <v>310</v>
      </c>
      <c r="P156" s="490">
        <v>1</v>
      </c>
      <c r="Q156" s="490">
        <v>1.02</v>
      </c>
      <c r="R156" s="491">
        <v>1.03</v>
      </c>
      <c r="S156" s="490">
        <v>1.02</v>
      </c>
      <c r="T156" s="490">
        <v>0.99</v>
      </c>
      <c r="V156" s="489">
        <v>310</v>
      </c>
      <c r="W156" s="490">
        <v>1</v>
      </c>
      <c r="X156" s="490">
        <v>1.05</v>
      </c>
      <c r="Y156" s="491">
        <v>1.07</v>
      </c>
      <c r="Z156" s="490">
        <v>1.08</v>
      </c>
      <c r="AA156" s="490">
        <v>1.07</v>
      </c>
      <c r="AC156" s="489">
        <v>310</v>
      </c>
      <c r="AD156" s="490">
        <v>1</v>
      </c>
      <c r="AE156" s="490">
        <v>1.07</v>
      </c>
      <c r="AF156" s="491">
        <v>1.1200000000000001</v>
      </c>
      <c r="AG156" s="490">
        <v>1.1499999999999999</v>
      </c>
      <c r="AH156" s="490">
        <v>1.1599999999999999</v>
      </c>
      <c r="AJ156" s="489">
        <v>310</v>
      </c>
      <c r="AK156" s="490">
        <v>1</v>
      </c>
      <c r="AL156" s="490">
        <v>1.1100000000000001</v>
      </c>
      <c r="AM156" s="491">
        <v>1.21</v>
      </c>
      <c r="AN156" s="490">
        <v>1.27</v>
      </c>
      <c r="AO156" s="490">
        <v>1.31</v>
      </c>
      <c r="AQ156" s="489">
        <v>310</v>
      </c>
      <c r="AR156" s="490">
        <v>1</v>
      </c>
      <c r="AS156" s="490">
        <v>1.1499999999999999</v>
      </c>
      <c r="AT156" s="491">
        <v>1.29</v>
      </c>
      <c r="AU156" s="490">
        <v>1.41</v>
      </c>
      <c r="AV156" s="490">
        <v>1.49</v>
      </c>
      <c r="AX156" s="489">
        <v>310</v>
      </c>
      <c r="AY156" s="490">
        <v>1</v>
      </c>
      <c r="AZ156" s="490">
        <v>1.2</v>
      </c>
      <c r="BA156" s="491">
        <v>1.38</v>
      </c>
      <c r="BB156" s="490">
        <v>1.52</v>
      </c>
      <c r="BC156" s="490">
        <v>1.63</v>
      </c>
      <c r="BE156" s="489">
        <v>310</v>
      </c>
      <c r="BF156" s="490">
        <v>1</v>
      </c>
      <c r="BG156" s="490">
        <v>1.19</v>
      </c>
      <c r="BH156" s="491">
        <v>1.35</v>
      </c>
      <c r="BI156" s="490">
        <v>1.49</v>
      </c>
      <c r="BJ156" s="490">
        <v>1.58</v>
      </c>
      <c r="BL156" s="489">
        <v>310</v>
      </c>
      <c r="BM156" s="490">
        <v>1</v>
      </c>
      <c r="BN156" s="490">
        <v>1.1299999999999999</v>
      </c>
      <c r="BO156" s="491">
        <v>1.24</v>
      </c>
      <c r="BP156" s="490">
        <v>1.32</v>
      </c>
      <c r="BQ156" s="490">
        <v>1.38</v>
      </c>
      <c r="BS156" s="489">
        <v>310</v>
      </c>
      <c r="BT156" s="490">
        <v>1</v>
      </c>
      <c r="BU156" s="490">
        <v>1.0900000000000001</v>
      </c>
      <c r="BV156" s="491">
        <v>1.1599999999999999</v>
      </c>
      <c r="BW156" s="490">
        <v>1.21</v>
      </c>
      <c r="BX156" s="490">
        <v>1.23</v>
      </c>
      <c r="BZ156" s="489">
        <v>310</v>
      </c>
      <c r="CA156" s="490">
        <v>1</v>
      </c>
      <c r="CB156" s="490">
        <v>1.06</v>
      </c>
      <c r="CC156" s="491">
        <v>1.0900000000000001</v>
      </c>
      <c r="CD156" s="490">
        <v>1.1000000000000001</v>
      </c>
      <c r="CE156" s="490">
        <v>1.0900000000000001</v>
      </c>
      <c r="CG156" s="489">
        <v>310</v>
      </c>
      <c r="CH156" s="490">
        <v>1</v>
      </c>
      <c r="CI156" s="490">
        <v>1.03</v>
      </c>
      <c r="CJ156" s="491">
        <v>1.04</v>
      </c>
      <c r="CK156" s="490">
        <v>1.03</v>
      </c>
      <c r="CL156" s="490">
        <v>1.01</v>
      </c>
      <c r="CN156" s="489">
        <v>310</v>
      </c>
      <c r="CO156" s="490">
        <v>1</v>
      </c>
      <c r="CP156" s="490">
        <v>1.02</v>
      </c>
      <c r="CQ156" s="491">
        <v>1.02</v>
      </c>
      <c r="CR156" s="490">
        <v>1</v>
      </c>
      <c r="CS156" s="490">
        <v>0.96</v>
      </c>
    </row>
    <row r="157" spans="3:97" ht="15.75" thickBot="1" x14ac:dyDescent="0.3">
      <c r="C157" s="489">
        <v>60</v>
      </c>
      <c r="D157" s="490">
        <v>0.82</v>
      </c>
      <c r="E157" s="490">
        <v>0.86</v>
      </c>
      <c r="F157" s="490">
        <v>0.88</v>
      </c>
      <c r="G157" s="490">
        <v>0.9</v>
      </c>
      <c r="H157" s="491">
        <v>0.89</v>
      </c>
      <c r="I157" s="490">
        <v>0.87</v>
      </c>
      <c r="J157" s="490">
        <v>0.83</v>
      </c>
      <c r="K157" s="490">
        <v>0.78</v>
      </c>
      <c r="L157" s="490">
        <v>0.72</v>
      </c>
      <c r="M157" s="490">
        <v>0.65</v>
      </c>
      <c r="O157" s="489">
        <v>320</v>
      </c>
      <c r="P157" s="490">
        <v>1</v>
      </c>
      <c r="Q157" s="490">
        <v>1.03</v>
      </c>
      <c r="R157" s="491">
        <v>1.04</v>
      </c>
      <c r="S157" s="490">
        <v>1.02</v>
      </c>
      <c r="T157" s="490">
        <v>0.99</v>
      </c>
      <c r="V157" s="489">
        <v>320</v>
      </c>
      <c r="W157" s="490">
        <v>1</v>
      </c>
      <c r="X157" s="490">
        <v>1.05</v>
      </c>
      <c r="Y157" s="491">
        <v>1.08</v>
      </c>
      <c r="Z157" s="490">
        <v>1.0900000000000001</v>
      </c>
      <c r="AA157" s="490">
        <v>1.08</v>
      </c>
      <c r="AC157" s="489">
        <v>320</v>
      </c>
      <c r="AD157" s="490">
        <v>1</v>
      </c>
      <c r="AE157" s="490">
        <v>1.0900000000000001</v>
      </c>
      <c r="AF157" s="491">
        <v>1.1499999999999999</v>
      </c>
      <c r="AG157" s="490">
        <v>1.18</v>
      </c>
      <c r="AH157" s="490">
        <v>1.19</v>
      </c>
      <c r="AJ157" s="489">
        <v>320</v>
      </c>
      <c r="AK157" s="490">
        <v>1</v>
      </c>
      <c r="AL157" s="490">
        <v>1.1299999999999999</v>
      </c>
      <c r="AM157" s="491">
        <v>1.24</v>
      </c>
      <c r="AN157" s="490">
        <v>1.32</v>
      </c>
      <c r="AO157" s="490">
        <v>1.38</v>
      </c>
      <c r="AQ157" s="489">
        <v>320</v>
      </c>
      <c r="AR157" s="490">
        <v>1</v>
      </c>
      <c r="AS157" s="490">
        <v>1.19</v>
      </c>
      <c r="AT157" s="491">
        <v>1.36</v>
      </c>
      <c r="AU157" s="490">
        <v>1.49</v>
      </c>
      <c r="AV157" s="490">
        <v>1.59</v>
      </c>
      <c r="AX157" s="489">
        <v>320</v>
      </c>
      <c r="AY157" s="490">
        <v>1</v>
      </c>
      <c r="AZ157" s="490">
        <v>1.23</v>
      </c>
      <c r="BA157" s="491">
        <v>1.44</v>
      </c>
      <c r="BB157" s="490">
        <v>1.61</v>
      </c>
      <c r="BC157" s="490">
        <v>1.75</v>
      </c>
      <c r="BE157" s="489">
        <v>320</v>
      </c>
      <c r="BF157" s="490">
        <v>1</v>
      </c>
      <c r="BG157" s="490">
        <v>1.22</v>
      </c>
      <c r="BH157" s="491">
        <v>1.42</v>
      </c>
      <c r="BI157" s="490">
        <v>1.58</v>
      </c>
      <c r="BJ157" s="490">
        <v>1.69</v>
      </c>
      <c r="BL157" s="489">
        <v>320</v>
      </c>
      <c r="BM157" s="490">
        <v>1</v>
      </c>
      <c r="BN157" s="490">
        <v>1.1599999999999999</v>
      </c>
      <c r="BO157" s="491">
        <v>1.28</v>
      </c>
      <c r="BP157" s="490">
        <v>1.38</v>
      </c>
      <c r="BQ157" s="490">
        <v>1.45</v>
      </c>
      <c r="BS157" s="489">
        <v>320</v>
      </c>
      <c r="BT157" s="490">
        <v>1</v>
      </c>
      <c r="BU157" s="490">
        <v>1.1100000000000001</v>
      </c>
      <c r="BV157" s="491">
        <v>1.18</v>
      </c>
      <c r="BW157" s="490">
        <v>1.24</v>
      </c>
      <c r="BX157" s="490">
        <v>1.27</v>
      </c>
      <c r="BZ157" s="489">
        <v>320</v>
      </c>
      <c r="CA157" s="490">
        <v>1</v>
      </c>
      <c r="CB157" s="490">
        <v>1.06</v>
      </c>
      <c r="CC157" s="491">
        <v>1.1000000000000001</v>
      </c>
      <c r="CD157" s="490">
        <v>1.1200000000000001</v>
      </c>
      <c r="CE157" s="490">
        <v>1.1100000000000001</v>
      </c>
      <c r="CG157" s="489">
        <v>320</v>
      </c>
      <c r="CH157" s="490">
        <v>1</v>
      </c>
      <c r="CI157" s="490">
        <v>1.03</v>
      </c>
      <c r="CJ157" s="491">
        <v>1.05</v>
      </c>
      <c r="CK157" s="490">
        <v>1.04</v>
      </c>
      <c r="CL157" s="490">
        <v>1.01</v>
      </c>
      <c r="CN157" s="489">
        <v>320</v>
      </c>
      <c r="CO157" s="490">
        <v>1</v>
      </c>
      <c r="CP157" s="490">
        <v>1.02</v>
      </c>
      <c r="CQ157" s="491">
        <v>1.02</v>
      </c>
      <c r="CR157" s="490">
        <v>1</v>
      </c>
      <c r="CS157" s="490">
        <v>0.96</v>
      </c>
    </row>
    <row r="158" spans="3:97" ht="15.75" thickBot="1" x14ac:dyDescent="0.3">
      <c r="C158" s="489">
        <v>70</v>
      </c>
      <c r="D158" s="490">
        <v>0.82</v>
      </c>
      <c r="E158" s="490">
        <v>0.85</v>
      </c>
      <c r="F158" s="490">
        <v>0.87</v>
      </c>
      <c r="G158" s="490">
        <v>0.87</v>
      </c>
      <c r="H158" s="491">
        <v>0.85</v>
      </c>
      <c r="I158" s="490">
        <v>0.83</v>
      </c>
      <c r="J158" s="490">
        <v>0.79</v>
      </c>
      <c r="K158" s="490">
        <v>0.75</v>
      </c>
      <c r="L158" s="490">
        <v>0.69</v>
      </c>
      <c r="M158" s="490">
        <v>0.62</v>
      </c>
      <c r="O158" s="489">
        <v>330</v>
      </c>
      <c r="P158" s="490">
        <v>1</v>
      </c>
      <c r="Q158" s="490">
        <v>1.03</v>
      </c>
      <c r="R158" s="491">
        <v>1.04</v>
      </c>
      <c r="S158" s="490">
        <v>1.02</v>
      </c>
      <c r="T158" s="490">
        <v>0.99</v>
      </c>
      <c r="V158" s="489">
        <v>330</v>
      </c>
      <c r="W158" s="490">
        <v>1</v>
      </c>
      <c r="X158" s="490">
        <v>1.06</v>
      </c>
      <c r="Y158" s="491">
        <v>1.0900000000000001</v>
      </c>
      <c r="Z158" s="490">
        <v>1.1000000000000001</v>
      </c>
      <c r="AA158" s="490">
        <v>1.0900000000000001</v>
      </c>
      <c r="AC158" s="489">
        <v>330</v>
      </c>
      <c r="AD158" s="490">
        <v>1</v>
      </c>
      <c r="AE158" s="490">
        <v>1.0900000000000001</v>
      </c>
      <c r="AF158" s="491">
        <v>1.1599999999999999</v>
      </c>
      <c r="AG158" s="490">
        <v>1.21</v>
      </c>
      <c r="AH158" s="490">
        <v>1.22</v>
      </c>
      <c r="AJ158" s="489">
        <v>330</v>
      </c>
      <c r="AK158" s="490">
        <v>1</v>
      </c>
      <c r="AL158" s="490">
        <v>1.1399999999999999</v>
      </c>
      <c r="AM158" s="491">
        <v>1.27</v>
      </c>
      <c r="AN158" s="490">
        <v>1.37</v>
      </c>
      <c r="AO158" s="490">
        <v>1.43</v>
      </c>
      <c r="AQ158" s="489">
        <v>330</v>
      </c>
      <c r="AR158" s="490">
        <v>1</v>
      </c>
      <c r="AS158" s="490">
        <v>1.21</v>
      </c>
      <c r="AT158" s="491">
        <v>1.4</v>
      </c>
      <c r="AU158" s="490">
        <v>1.55</v>
      </c>
      <c r="AV158" s="490">
        <v>1.67</v>
      </c>
      <c r="AX158" s="489">
        <v>330</v>
      </c>
      <c r="AY158" s="490">
        <v>1</v>
      </c>
      <c r="AZ158" s="490">
        <v>1.27</v>
      </c>
      <c r="BA158" s="491">
        <v>1.5</v>
      </c>
      <c r="BB158" s="490">
        <v>1.7</v>
      </c>
      <c r="BC158" s="490">
        <v>1.86</v>
      </c>
      <c r="BE158" s="489">
        <v>330</v>
      </c>
      <c r="BF158" s="490">
        <v>1</v>
      </c>
      <c r="BG158" s="490">
        <v>1.25</v>
      </c>
      <c r="BH158" s="491">
        <v>1.47</v>
      </c>
      <c r="BI158" s="490">
        <v>1.65</v>
      </c>
      <c r="BJ158" s="490">
        <v>1.79</v>
      </c>
      <c r="BL158" s="489">
        <v>330</v>
      </c>
      <c r="BM158" s="490">
        <v>1</v>
      </c>
      <c r="BN158" s="490">
        <v>1.17</v>
      </c>
      <c r="BO158" s="491">
        <v>1.32</v>
      </c>
      <c r="BP158" s="490">
        <v>1.44</v>
      </c>
      <c r="BQ158" s="490">
        <v>1.53</v>
      </c>
      <c r="BS158" s="489">
        <v>330</v>
      </c>
      <c r="BT158" s="490">
        <v>1</v>
      </c>
      <c r="BU158" s="490">
        <v>1.1200000000000001</v>
      </c>
      <c r="BV158" s="491">
        <v>1.21</v>
      </c>
      <c r="BW158" s="490">
        <v>1.27</v>
      </c>
      <c r="BX158" s="490">
        <v>1.31</v>
      </c>
      <c r="BZ158" s="489">
        <v>330</v>
      </c>
      <c r="CA158" s="490">
        <v>1</v>
      </c>
      <c r="CB158" s="490">
        <v>1.07</v>
      </c>
      <c r="CC158" s="491">
        <v>1.1100000000000001</v>
      </c>
      <c r="CD158" s="490">
        <v>1.1299999999999999</v>
      </c>
      <c r="CE158" s="490">
        <v>1.1299999999999999</v>
      </c>
      <c r="CG158" s="489">
        <v>330</v>
      </c>
      <c r="CH158" s="490">
        <v>1</v>
      </c>
      <c r="CI158" s="490">
        <v>1.03</v>
      </c>
      <c r="CJ158" s="491">
        <v>1.05</v>
      </c>
      <c r="CK158" s="490">
        <v>1.04</v>
      </c>
      <c r="CL158" s="490">
        <v>1.01</v>
      </c>
      <c r="CN158" s="489">
        <v>330</v>
      </c>
      <c r="CO158" s="490">
        <v>1</v>
      </c>
      <c r="CP158" s="490">
        <v>1.02</v>
      </c>
      <c r="CQ158" s="491">
        <v>1.02</v>
      </c>
      <c r="CR158" s="490">
        <v>1</v>
      </c>
      <c r="CS158" s="490">
        <v>0.96</v>
      </c>
    </row>
    <row r="159" spans="3:97" ht="15.75" thickBot="1" x14ac:dyDescent="0.3">
      <c r="C159" s="489">
        <v>80</v>
      </c>
      <c r="D159" s="490">
        <v>0.82</v>
      </c>
      <c r="E159" s="490">
        <v>0.84</v>
      </c>
      <c r="F159" s="490">
        <v>0.84</v>
      </c>
      <c r="G159" s="490">
        <v>0.84</v>
      </c>
      <c r="H159" s="491">
        <v>0.82</v>
      </c>
      <c r="I159" s="490">
        <v>0.79</v>
      </c>
      <c r="J159" s="490">
        <v>0.75</v>
      </c>
      <c r="K159" s="490">
        <v>0.7</v>
      </c>
      <c r="L159" s="490">
        <v>0.65</v>
      </c>
      <c r="M159" s="490">
        <v>0.59</v>
      </c>
      <c r="O159" s="489">
        <v>340</v>
      </c>
      <c r="P159" s="490">
        <v>1</v>
      </c>
      <c r="Q159" s="490">
        <v>1.03</v>
      </c>
      <c r="R159" s="491">
        <v>1.04</v>
      </c>
      <c r="S159" s="490">
        <v>1.02</v>
      </c>
      <c r="T159" s="490">
        <v>0.98</v>
      </c>
      <c r="V159" s="489">
        <v>340</v>
      </c>
      <c r="W159" s="490">
        <v>1</v>
      </c>
      <c r="X159" s="490">
        <v>1.06</v>
      </c>
      <c r="Y159" s="491">
        <v>1.0900000000000001</v>
      </c>
      <c r="Z159" s="490">
        <v>1.1000000000000001</v>
      </c>
      <c r="AA159" s="490">
        <v>1.0900000000000001</v>
      </c>
      <c r="AC159" s="489">
        <v>340</v>
      </c>
      <c r="AD159" s="490">
        <v>1</v>
      </c>
      <c r="AE159" s="490">
        <v>1.1000000000000001</v>
      </c>
      <c r="AF159" s="491">
        <v>1.18</v>
      </c>
      <c r="AG159" s="490">
        <v>1.22</v>
      </c>
      <c r="AH159" s="490">
        <v>1.25</v>
      </c>
      <c r="AJ159" s="489">
        <v>340</v>
      </c>
      <c r="AK159" s="490">
        <v>1</v>
      </c>
      <c r="AL159" s="490">
        <v>1.1599999999999999</v>
      </c>
      <c r="AM159" s="491">
        <v>1.29</v>
      </c>
      <c r="AN159" s="490">
        <v>1.39</v>
      </c>
      <c r="AO159" s="490">
        <v>1.46</v>
      </c>
      <c r="AQ159" s="489">
        <v>340</v>
      </c>
      <c r="AR159" s="490">
        <v>1</v>
      </c>
      <c r="AS159" s="490">
        <v>1.23</v>
      </c>
      <c r="AT159" s="491">
        <v>1.44</v>
      </c>
      <c r="AU159" s="490">
        <v>1.6</v>
      </c>
      <c r="AV159" s="490">
        <v>1.73</v>
      </c>
      <c r="AX159" s="489">
        <v>340</v>
      </c>
      <c r="AY159" s="490">
        <v>1</v>
      </c>
      <c r="AZ159" s="490">
        <v>1.28</v>
      </c>
      <c r="BA159" s="491">
        <v>1.55</v>
      </c>
      <c r="BB159" s="490">
        <v>1.77</v>
      </c>
      <c r="BC159" s="490">
        <v>1.94</v>
      </c>
      <c r="BE159" s="489">
        <v>340</v>
      </c>
      <c r="BF159" s="490">
        <v>1</v>
      </c>
      <c r="BG159" s="490">
        <v>1.28</v>
      </c>
      <c r="BH159" s="491">
        <v>1.51</v>
      </c>
      <c r="BI159" s="490">
        <v>1.71</v>
      </c>
      <c r="BJ159" s="490">
        <v>1.88</v>
      </c>
      <c r="BL159" s="489">
        <v>340</v>
      </c>
      <c r="BM159" s="490">
        <v>1</v>
      </c>
      <c r="BN159" s="490">
        <v>1.19</v>
      </c>
      <c r="BO159" s="491">
        <v>1.35</v>
      </c>
      <c r="BP159" s="490">
        <v>1.48</v>
      </c>
      <c r="BQ159" s="490">
        <v>1.58</v>
      </c>
      <c r="BS159" s="489">
        <v>340</v>
      </c>
      <c r="BT159" s="490">
        <v>1</v>
      </c>
      <c r="BU159" s="490">
        <v>1.1299999999999999</v>
      </c>
      <c r="BV159" s="491">
        <v>1.23</v>
      </c>
      <c r="BW159" s="490">
        <v>1.29</v>
      </c>
      <c r="BX159" s="490">
        <v>1.34</v>
      </c>
      <c r="BZ159" s="489">
        <v>340</v>
      </c>
      <c r="CA159" s="490">
        <v>1</v>
      </c>
      <c r="CB159" s="490">
        <v>1.07</v>
      </c>
      <c r="CC159" s="491">
        <v>1.1200000000000001</v>
      </c>
      <c r="CD159" s="490">
        <v>1.1399999999999999</v>
      </c>
      <c r="CE159" s="490">
        <v>1.1399999999999999</v>
      </c>
      <c r="CG159" s="489">
        <v>340</v>
      </c>
      <c r="CH159" s="490">
        <v>1</v>
      </c>
      <c r="CI159" s="490">
        <v>1.03</v>
      </c>
      <c r="CJ159" s="491">
        <v>1.05</v>
      </c>
      <c r="CK159" s="490">
        <v>1.04</v>
      </c>
      <c r="CL159" s="490">
        <v>1.01</v>
      </c>
      <c r="CN159" s="489">
        <v>340</v>
      </c>
      <c r="CO159" s="490">
        <v>1</v>
      </c>
      <c r="CP159" s="490">
        <v>1.02</v>
      </c>
      <c r="CQ159" s="491">
        <v>1.02</v>
      </c>
      <c r="CR159" s="490">
        <v>1</v>
      </c>
      <c r="CS159" s="490">
        <v>0.95</v>
      </c>
    </row>
    <row r="160" spans="3:97" ht="15.75" thickBot="1" x14ac:dyDescent="0.3">
      <c r="C160" s="489">
        <v>90</v>
      </c>
      <c r="D160" s="490">
        <v>0.82</v>
      </c>
      <c r="E160" s="490">
        <v>0.82</v>
      </c>
      <c r="F160" s="490">
        <v>0.82</v>
      </c>
      <c r="G160" s="490">
        <v>0.8</v>
      </c>
      <c r="H160" s="491">
        <v>0.78</v>
      </c>
      <c r="I160" s="490">
        <v>0.75</v>
      </c>
      <c r="J160" s="490">
        <v>0.71</v>
      </c>
      <c r="K160" s="490">
        <v>0.66</v>
      </c>
      <c r="L160" s="490">
        <v>0.61</v>
      </c>
      <c r="M160" s="490">
        <v>0.55000000000000004</v>
      </c>
      <c r="O160" s="489">
        <v>350</v>
      </c>
      <c r="P160" s="490">
        <v>1</v>
      </c>
      <c r="Q160" s="490">
        <v>1.03</v>
      </c>
      <c r="R160" s="491">
        <v>1.04</v>
      </c>
      <c r="S160" s="490">
        <v>1.02</v>
      </c>
      <c r="T160" s="490">
        <v>0.98</v>
      </c>
      <c r="V160" s="489">
        <v>350</v>
      </c>
      <c r="W160" s="490">
        <v>1</v>
      </c>
      <c r="X160" s="490">
        <v>1.06</v>
      </c>
      <c r="Y160" s="491">
        <v>1.0900000000000001</v>
      </c>
      <c r="Z160" s="490">
        <v>1.1000000000000001</v>
      </c>
      <c r="AA160" s="490">
        <v>1.0900000000000001</v>
      </c>
      <c r="AC160" s="489">
        <v>350</v>
      </c>
      <c r="AD160" s="490">
        <v>1</v>
      </c>
      <c r="AE160" s="490">
        <v>1.1000000000000001</v>
      </c>
      <c r="AF160" s="491">
        <v>1.18</v>
      </c>
      <c r="AG160" s="490">
        <v>1.23</v>
      </c>
      <c r="AH160" s="490">
        <v>1.26</v>
      </c>
      <c r="AJ160" s="489">
        <v>350</v>
      </c>
      <c r="AK160" s="490">
        <v>1</v>
      </c>
      <c r="AL160" s="490">
        <v>1.17</v>
      </c>
      <c r="AM160" s="491">
        <v>1.3</v>
      </c>
      <c r="AN160" s="490">
        <v>1.42</v>
      </c>
      <c r="AO160" s="490">
        <v>1.49</v>
      </c>
      <c r="AQ160" s="489">
        <v>350</v>
      </c>
      <c r="AR160" s="490">
        <v>1</v>
      </c>
      <c r="AS160" s="490">
        <v>1.24</v>
      </c>
      <c r="AT160" s="491">
        <v>1.45</v>
      </c>
      <c r="AU160" s="490">
        <v>1.63</v>
      </c>
      <c r="AV160" s="490">
        <v>1.77</v>
      </c>
      <c r="AX160" s="489">
        <v>350</v>
      </c>
      <c r="AY160" s="490">
        <v>1</v>
      </c>
      <c r="AZ160" s="490">
        <v>1.3</v>
      </c>
      <c r="BA160" s="491">
        <v>1.56</v>
      </c>
      <c r="BB160" s="490">
        <v>1.8</v>
      </c>
      <c r="BC160" s="490">
        <v>1.98</v>
      </c>
      <c r="BE160" s="489">
        <v>350</v>
      </c>
      <c r="BF160" s="490">
        <v>1</v>
      </c>
      <c r="BG160" s="490">
        <v>1.28</v>
      </c>
      <c r="BH160" s="491">
        <v>1.54</v>
      </c>
      <c r="BI160" s="490">
        <v>1.75</v>
      </c>
      <c r="BJ160" s="490">
        <v>1.92</v>
      </c>
      <c r="BL160" s="489">
        <v>350</v>
      </c>
      <c r="BM160" s="490">
        <v>1</v>
      </c>
      <c r="BN160" s="490">
        <v>1.2</v>
      </c>
      <c r="BO160" s="491">
        <v>1.37</v>
      </c>
      <c r="BP160" s="490">
        <v>1.52</v>
      </c>
      <c r="BQ160" s="490">
        <v>1.62</v>
      </c>
      <c r="BS160" s="489">
        <v>350</v>
      </c>
      <c r="BT160" s="490">
        <v>1</v>
      </c>
      <c r="BU160" s="490">
        <v>1.1299999999999999</v>
      </c>
      <c r="BV160" s="491">
        <v>1.24</v>
      </c>
      <c r="BW160" s="490">
        <v>1.31</v>
      </c>
      <c r="BX160" s="490">
        <v>1.36</v>
      </c>
      <c r="BZ160" s="489">
        <v>350</v>
      </c>
      <c r="CA160" s="490">
        <v>1</v>
      </c>
      <c r="CB160" s="490">
        <v>1.08</v>
      </c>
      <c r="CC160" s="491">
        <v>1.1200000000000001</v>
      </c>
      <c r="CD160" s="490">
        <v>1.1499999999999999</v>
      </c>
      <c r="CE160" s="490">
        <v>1.1399999999999999</v>
      </c>
      <c r="CG160" s="489">
        <v>350</v>
      </c>
      <c r="CH160" s="490">
        <v>1</v>
      </c>
      <c r="CI160" s="490">
        <v>1.03</v>
      </c>
      <c r="CJ160" s="491">
        <v>1.05</v>
      </c>
      <c r="CK160" s="490">
        <v>1.04</v>
      </c>
      <c r="CL160" s="490">
        <v>1.01</v>
      </c>
      <c r="CN160" s="489">
        <v>350</v>
      </c>
      <c r="CO160" s="490">
        <v>1</v>
      </c>
      <c r="CP160" s="490">
        <v>1.02</v>
      </c>
      <c r="CQ160" s="491">
        <v>1.02</v>
      </c>
      <c r="CR160" s="490">
        <v>0.99</v>
      </c>
      <c r="CS160" s="490">
        <v>0.95</v>
      </c>
    </row>
    <row r="161" spans="3:97" ht="15.75" thickBot="1" x14ac:dyDescent="0.3">
      <c r="C161" s="489">
        <v>100</v>
      </c>
      <c r="D161" s="490">
        <v>0.82</v>
      </c>
      <c r="E161" s="490">
        <v>0.81</v>
      </c>
      <c r="F161" s="490">
        <v>0.79</v>
      </c>
      <c r="G161" s="490">
        <v>0.76</v>
      </c>
      <c r="H161" s="491">
        <v>0.73</v>
      </c>
      <c r="I161" s="490">
        <v>0.7</v>
      </c>
      <c r="J161" s="490">
        <v>0.66</v>
      </c>
      <c r="K161" s="490">
        <v>0.61</v>
      </c>
      <c r="L161" s="490">
        <v>0.56000000000000005</v>
      </c>
      <c r="M161" s="490">
        <v>0.52</v>
      </c>
      <c r="O161" s="489">
        <v>0</v>
      </c>
      <c r="P161" s="490">
        <v>1</v>
      </c>
      <c r="Q161" s="490">
        <v>1.03</v>
      </c>
      <c r="R161" s="491">
        <v>1.04</v>
      </c>
      <c r="S161" s="490">
        <v>1.02</v>
      </c>
      <c r="T161" s="490">
        <v>0.98</v>
      </c>
      <c r="V161" s="489">
        <v>0</v>
      </c>
      <c r="W161" s="490">
        <v>1</v>
      </c>
      <c r="X161" s="490">
        <v>1.06</v>
      </c>
      <c r="Y161" s="491">
        <v>1.0900000000000001</v>
      </c>
      <c r="Z161" s="490">
        <v>1.1000000000000001</v>
      </c>
      <c r="AA161" s="490">
        <v>1.0900000000000001</v>
      </c>
      <c r="AC161" s="489">
        <v>0</v>
      </c>
      <c r="AD161" s="490">
        <v>1</v>
      </c>
      <c r="AE161" s="490">
        <v>1.1100000000000001</v>
      </c>
      <c r="AF161" s="491">
        <v>1.19</v>
      </c>
      <c r="AG161" s="490">
        <v>1.24</v>
      </c>
      <c r="AH161" s="490">
        <v>1.26</v>
      </c>
      <c r="AJ161" s="489">
        <v>0</v>
      </c>
      <c r="AK161" s="490">
        <v>1</v>
      </c>
      <c r="AL161" s="490">
        <v>1.17</v>
      </c>
      <c r="AM161" s="491">
        <v>1.31</v>
      </c>
      <c r="AN161" s="490">
        <v>1.43</v>
      </c>
      <c r="AO161" s="490">
        <v>1.5</v>
      </c>
      <c r="AQ161" s="489">
        <v>0</v>
      </c>
      <c r="AR161" s="490">
        <v>1</v>
      </c>
      <c r="AS161" s="490">
        <v>1.24</v>
      </c>
      <c r="AT161" s="491">
        <v>1.46</v>
      </c>
      <c r="AU161" s="490">
        <v>1.64</v>
      </c>
      <c r="AV161" s="490">
        <v>1.78</v>
      </c>
      <c r="AX161" s="489">
        <v>0</v>
      </c>
      <c r="AY161" s="490">
        <v>1</v>
      </c>
      <c r="AZ161" s="490">
        <v>1.3</v>
      </c>
      <c r="BA161" s="491">
        <v>1.58</v>
      </c>
      <c r="BB161" s="490">
        <v>1.81</v>
      </c>
      <c r="BC161" s="490">
        <v>2</v>
      </c>
      <c r="BE161" s="489">
        <v>0</v>
      </c>
      <c r="BF161" s="490">
        <v>1</v>
      </c>
      <c r="BG161" s="490">
        <v>1.29</v>
      </c>
      <c r="BH161" s="491">
        <v>1.54</v>
      </c>
      <c r="BI161" s="490">
        <v>1.76</v>
      </c>
      <c r="BJ161" s="490">
        <v>1.93</v>
      </c>
      <c r="BL161" s="489">
        <v>0</v>
      </c>
      <c r="BM161" s="490">
        <v>1</v>
      </c>
      <c r="BN161" s="490">
        <v>1.2</v>
      </c>
      <c r="BO161" s="491">
        <v>1.37</v>
      </c>
      <c r="BP161" s="490">
        <v>1.53</v>
      </c>
      <c r="BQ161" s="490">
        <v>1.63</v>
      </c>
      <c r="BS161" s="489">
        <v>0</v>
      </c>
      <c r="BT161" s="490">
        <v>1</v>
      </c>
      <c r="BU161" s="490">
        <v>1.1399999999999999</v>
      </c>
      <c r="BV161" s="491">
        <v>1.24</v>
      </c>
      <c r="BW161" s="490">
        <v>1.32</v>
      </c>
      <c r="BX161" s="490">
        <v>1.36</v>
      </c>
      <c r="BZ161" s="489">
        <v>0</v>
      </c>
      <c r="CA161" s="490">
        <v>1</v>
      </c>
      <c r="CB161" s="490">
        <v>1.08</v>
      </c>
      <c r="CC161" s="491">
        <v>1.1200000000000001</v>
      </c>
      <c r="CD161" s="490">
        <v>1.1499999999999999</v>
      </c>
      <c r="CE161" s="490">
        <v>1.1399999999999999</v>
      </c>
      <c r="CG161" s="489">
        <v>0</v>
      </c>
      <c r="CH161" s="490">
        <v>1</v>
      </c>
      <c r="CI161" s="490">
        <v>1.03</v>
      </c>
      <c r="CJ161" s="491">
        <v>1.05</v>
      </c>
      <c r="CK161" s="490">
        <v>1.04</v>
      </c>
      <c r="CL161" s="490">
        <v>1</v>
      </c>
      <c r="CN161" s="489">
        <v>0</v>
      </c>
      <c r="CO161" s="490">
        <v>1</v>
      </c>
      <c r="CP161" s="490">
        <v>1.02</v>
      </c>
      <c r="CQ161" s="491">
        <v>1.02</v>
      </c>
      <c r="CR161" s="490">
        <v>0.99</v>
      </c>
      <c r="CS161" s="490">
        <v>0.94</v>
      </c>
    </row>
    <row r="162" spans="3:97" ht="15.75" thickBot="1" x14ac:dyDescent="0.3">
      <c r="C162" s="489">
        <v>110</v>
      </c>
      <c r="D162" s="490">
        <v>0.82</v>
      </c>
      <c r="E162" s="490">
        <v>0.8</v>
      </c>
      <c r="F162" s="490">
        <v>0.77</v>
      </c>
      <c r="G162" s="490">
        <v>0.73</v>
      </c>
      <c r="H162" s="491">
        <v>0.69</v>
      </c>
      <c r="I162" s="490">
        <v>0.65</v>
      </c>
      <c r="J162" s="490">
        <v>0.61</v>
      </c>
      <c r="K162" s="490">
        <v>0.56000000000000005</v>
      </c>
      <c r="L162" s="490">
        <v>0.52</v>
      </c>
      <c r="M162" s="490">
        <v>0.47</v>
      </c>
      <c r="O162" s="489">
        <v>10</v>
      </c>
      <c r="P162" s="490">
        <v>1</v>
      </c>
      <c r="Q162" s="490">
        <v>1.03</v>
      </c>
      <c r="R162" s="491">
        <v>1.04</v>
      </c>
      <c r="S162" s="490">
        <v>1.02</v>
      </c>
      <c r="T162" s="490">
        <v>0.98</v>
      </c>
      <c r="V162" s="489">
        <v>10</v>
      </c>
      <c r="W162" s="490">
        <v>1</v>
      </c>
      <c r="X162" s="490">
        <v>1.06</v>
      </c>
      <c r="Y162" s="491">
        <v>1.0900000000000001</v>
      </c>
      <c r="Z162" s="490">
        <v>1.0900000000000001</v>
      </c>
      <c r="AA162" s="490">
        <v>1.08</v>
      </c>
      <c r="AC162" s="489">
        <v>10</v>
      </c>
      <c r="AD162" s="490">
        <v>1</v>
      </c>
      <c r="AE162" s="490">
        <v>1.1000000000000001</v>
      </c>
      <c r="AF162" s="491">
        <v>1.18</v>
      </c>
      <c r="AG162" s="490">
        <v>1.24</v>
      </c>
      <c r="AH162" s="490">
        <v>1.26</v>
      </c>
      <c r="AJ162" s="489">
        <v>10</v>
      </c>
      <c r="AK162" s="490">
        <v>1</v>
      </c>
      <c r="AL162" s="490">
        <v>1.17</v>
      </c>
      <c r="AM162" s="491">
        <v>1.3</v>
      </c>
      <c r="AN162" s="490">
        <v>1.42</v>
      </c>
      <c r="AO162" s="490">
        <v>1.49</v>
      </c>
      <c r="AQ162" s="489">
        <v>10</v>
      </c>
      <c r="AR162" s="490">
        <v>1</v>
      </c>
      <c r="AS162" s="490">
        <v>1.23</v>
      </c>
      <c r="AT162" s="491">
        <v>1.45</v>
      </c>
      <c r="AU162" s="490">
        <v>1.63</v>
      </c>
      <c r="AV162" s="490">
        <v>1.77</v>
      </c>
      <c r="AX162" s="489">
        <v>10</v>
      </c>
      <c r="AY162" s="490">
        <v>1</v>
      </c>
      <c r="AZ162" s="490">
        <v>1.3</v>
      </c>
      <c r="BA162" s="491">
        <v>1.56</v>
      </c>
      <c r="BB162" s="490">
        <v>1.8</v>
      </c>
      <c r="BC162" s="490">
        <v>1.98</v>
      </c>
      <c r="BE162" s="489">
        <v>10</v>
      </c>
      <c r="BF162" s="490">
        <v>1</v>
      </c>
      <c r="BG162" s="490">
        <v>1.28</v>
      </c>
      <c r="BH162" s="491">
        <v>1.54</v>
      </c>
      <c r="BI162" s="490">
        <v>1.75</v>
      </c>
      <c r="BJ162" s="490">
        <v>1.92</v>
      </c>
      <c r="BL162" s="489">
        <v>10</v>
      </c>
      <c r="BM162" s="490">
        <v>1</v>
      </c>
      <c r="BN162" s="490">
        <v>1.2</v>
      </c>
      <c r="BO162" s="491">
        <v>1.37</v>
      </c>
      <c r="BP162" s="490">
        <v>1.52</v>
      </c>
      <c r="BQ162" s="490">
        <v>1.62</v>
      </c>
      <c r="BS162" s="489">
        <v>10</v>
      </c>
      <c r="BT162" s="490">
        <v>1</v>
      </c>
      <c r="BU162" s="490">
        <v>1.1299999999999999</v>
      </c>
      <c r="BV162" s="491">
        <v>1.24</v>
      </c>
      <c r="BW162" s="490">
        <v>1.31</v>
      </c>
      <c r="BX162" s="490">
        <v>1.36</v>
      </c>
      <c r="BZ162" s="489">
        <v>10</v>
      </c>
      <c r="CA162" s="490">
        <v>1</v>
      </c>
      <c r="CB162" s="490">
        <v>1.08</v>
      </c>
      <c r="CC162" s="491">
        <v>1.1200000000000001</v>
      </c>
      <c r="CD162" s="490">
        <v>1.1399999999999999</v>
      </c>
      <c r="CE162" s="490">
        <v>1.1399999999999999</v>
      </c>
      <c r="CG162" s="489">
        <v>10</v>
      </c>
      <c r="CH162" s="490">
        <v>1</v>
      </c>
      <c r="CI162" s="490">
        <v>1.03</v>
      </c>
      <c r="CJ162" s="491">
        <v>1.05</v>
      </c>
      <c r="CK162" s="490">
        <v>1.03</v>
      </c>
      <c r="CL162" s="490">
        <v>1</v>
      </c>
      <c r="CN162" s="489">
        <v>10</v>
      </c>
      <c r="CO162" s="490">
        <v>1</v>
      </c>
      <c r="CP162" s="490">
        <v>1.02</v>
      </c>
      <c r="CQ162" s="491">
        <v>1.02</v>
      </c>
      <c r="CR162" s="490">
        <v>0.99</v>
      </c>
      <c r="CS162" s="490">
        <v>0.95</v>
      </c>
    </row>
    <row r="163" spans="3:97" ht="15.75" thickBot="1" x14ac:dyDescent="0.3">
      <c r="C163" s="489">
        <v>120</v>
      </c>
      <c r="D163" s="490">
        <v>0.82</v>
      </c>
      <c r="E163" s="490">
        <v>0.79</v>
      </c>
      <c r="F163" s="490">
        <v>0.75</v>
      </c>
      <c r="G163" s="490">
        <v>0.7</v>
      </c>
      <c r="H163" s="491">
        <v>0.65</v>
      </c>
      <c r="I163" s="490">
        <v>0.6</v>
      </c>
      <c r="J163" s="490">
        <v>0.56000000000000005</v>
      </c>
      <c r="K163" s="490">
        <v>0.52</v>
      </c>
      <c r="L163" s="490">
        <v>0.47</v>
      </c>
      <c r="M163" s="490">
        <v>0.42</v>
      </c>
      <c r="O163" s="489">
        <v>20</v>
      </c>
      <c r="P163" s="490">
        <v>1</v>
      </c>
      <c r="Q163" s="490">
        <v>1.03</v>
      </c>
      <c r="R163" s="491">
        <v>1.03</v>
      </c>
      <c r="S163" s="490">
        <v>1.01</v>
      </c>
      <c r="T163" s="490">
        <v>0.98</v>
      </c>
      <c r="V163" s="489">
        <v>20</v>
      </c>
      <c r="W163" s="490">
        <v>1</v>
      </c>
      <c r="X163" s="490">
        <v>1.05</v>
      </c>
      <c r="Y163" s="491">
        <v>1.08</v>
      </c>
      <c r="Z163" s="490">
        <v>1.0900000000000001</v>
      </c>
      <c r="AA163" s="490">
        <v>1.07</v>
      </c>
      <c r="AC163" s="489">
        <v>20</v>
      </c>
      <c r="AD163" s="490">
        <v>1</v>
      </c>
      <c r="AE163" s="490">
        <v>1.1000000000000001</v>
      </c>
      <c r="AF163" s="491">
        <v>1.18</v>
      </c>
      <c r="AG163" s="490">
        <v>1.23</v>
      </c>
      <c r="AH163" s="490">
        <v>1.25</v>
      </c>
      <c r="AJ163" s="489">
        <v>20</v>
      </c>
      <c r="AK163" s="490">
        <v>1</v>
      </c>
      <c r="AL163" s="490">
        <v>1.1599999999999999</v>
      </c>
      <c r="AM163" s="491">
        <v>1.29</v>
      </c>
      <c r="AN163" s="490">
        <v>1.39</v>
      </c>
      <c r="AO163" s="490">
        <v>1.46</v>
      </c>
      <c r="AQ163" s="489">
        <v>20</v>
      </c>
      <c r="AR163" s="490">
        <v>1</v>
      </c>
      <c r="AS163" s="490">
        <v>1.23</v>
      </c>
      <c r="AT163" s="491">
        <v>1.42</v>
      </c>
      <c r="AU163" s="490">
        <v>1.6</v>
      </c>
      <c r="AV163" s="490">
        <v>1.73</v>
      </c>
      <c r="AX163" s="489">
        <v>20</v>
      </c>
      <c r="AY163" s="490">
        <v>1</v>
      </c>
      <c r="AZ163" s="490">
        <v>1.28</v>
      </c>
      <c r="BA163" s="491">
        <v>1.55</v>
      </c>
      <c r="BB163" s="490">
        <v>1.77</v>
      </c>
      <c r="BC163" s="490">
        <v>1.94</v>
      </c>
      <c r="BE163" s="489">
        <v>20</v>
      </c>
      <c r="BF163" s="490">
        <v>1</v>
      </c>
      <c r="BG163" s="490">
        <v>1.28</v>
      </c>
      <c r="BH163" s="491">
        <v>1.51</v>
      </c>
      <c r="BI163" s="490">
        <v>1.71</v>
      </c>
      <c r="BJ163" s="490">
        <v>1.88</v>
      </c>
      <c r="BL163" s="489">
        <v>20</v>
      </c>
      <c r="BM163" s="490">
        <v>1</v>
      </c>
      <c r="BN163" s="490">
        <v>1.19</v>
      </c>
      <c r="BO163" s="491">
        <v>1.35</v>
      </c>
      <c r="BP163" s="490">
        <v>1.48</v>
      </c>
      <c r="BQ163" s="490">
        <v>1.59</v>
      </c>
      <c r="BS163" s="489">
        <v>20</v>
      </c>
      <c r="BT163" s="490">
        <v>1</v>
      </c>
      <c r="BU163" s="490">
        <v>1.1299999999999999</v>
      </c>
      <c r="BV163" s="491">
        <v>1.23</v>
      </c>
      <c r="BW163" s="490">
        <v>1.29</v>
      </c>
      <c r="BX163" s="490">
        <v>1.34</v>
      </c>
      <c r="BZ163" s="489">
        <v>20</v>
      </c>
      <c r="CA163" s="490">
        <v>1</v>
      </c>
      <c r="CB163" s="490">
        <v>1.07</v>
      </c>
      <c r="CC163" s="491">
        <v>1.1200000000000001</v>
      </c>
      <c r="CD163" s="490">
        <v>1.1399999999999999</v>
      </c>
      <c r="CE163" s="490">
        <v>1.1299999999999999</v>
      </c>
      <c r="CG163" s="489">
        <v>20</v>
      </c>
      <c r="CH163" s="490">
        <v>1</v>
      </c>
      <c r="CI163" s="490">
        <v>1.03</v>
      </c>
      <c r="CJ163" s="491">
        <v>1.04</v>
      </c>
      <c r="CK163" s="490">
        <v>1.03</v>
      </c>
      <c r="CL163" s="490">
        <v>1</v>
      </c>
      <c r="CN163" s="489">
        <v>20</v>
      </c>
      <c r="CO163" s="490">
        <v>1</v>
      </c>
      <c r="CP163" s="490">
        <v>1.02</v>
      </c>
      <c r="CQ163" s="491">
        <v>1.02</v>
      </c>
      <c r="CR163" s="490">
        <v>0.99</v>
      </c>
      <c r="CS163" s="490">
        <v>0.95</v>
      </c>
    </row>
    <row r="164" spans="3:97" ht="15.75" thickBot="1" x14ac:dyDescent="0.3">
      <c r="C164" s="489">
        <v>130</v>
      </c>
      <c r="D164" s="490">
        <v>0.82</v>
      </c>
      <c r="E164" s="490">
        <v>0.78</v>
      </c>
      <c r="F164" s="490">
        <v>0.72</v>
      </c>
      <c r="G164" s="490">
        <v>0.66</v>
      </c>
      <c r="H164" s="491">
        <v>0.61</v>
      </c>
      <c r="I164" s="490">
        <v>0.55000000000000004</v>
      </c>
      <c r="J164" s="490">
        <v>0.51</v>
      </c>
      <c r="K164" s="490">
        <v>0.47</v>
      </c>
      <c r="L164" s="490">
        <v>0.42</v>
      </c>
      <c r="M164" s="490">
        <v>0.38</v>
      </c>
      <c r="O164" s="489">
        <v>30</v>
      </c>
      <c r="P164" s="490">
        <v>1</v>
      </c>
      <c r="Q164" s="490">
        <v>1.02</v>
      </c>
      <c r="R164" s="491">
        <v>1.03</v>
      </c>
      <c r="S164" s="490">
        <v>1.01</v>
      </c>
      <c r="T164" s="490">
        <v>0.98</v>
      </c>
      <c r="V164" s="489">
        <v>30</v>
      </c>
      <c r="W164" s="490">
        <v>1</v>
      </c>
      <c r="X164" s="490">
        <v>1.05</v>
      </c>
      <c r="Y164" s="491">
        <v>1.07</v>
      </c>
      <c r="Z164" s="490">
        <v>1.08</v>
      </c>
      <c r="AA164" s="490">
        <v>1.06</v>
      </c>
      <c r="AC164" s="489">
        <v>30</v>
      </c>
      <c r="AD164" s="490">
        <v>1</v>
      </c>
      <c r="AE164" s="490">
        <v>1.0900000000000001</v>
      </c>
      <c r="AF164" s="491">
        <v>1.17</v>
      </c>
      <c r="AG164" s="490">
        <v>1.21</v>
      </c>
      <c r="AH164" s="490">
        <v>1.23</v>
      </c>
      <c r="AJ164" s="489">
        <v>30</v>
      </c>
      <c r="AK164" s="490">
        <v>1</v>
      </c>
      <c r="AL164" s="490">
        <v>1.1399999999999999</v>
      </c>
      <c r="AM164" s="491">
        <v>1.27</v>
      </c>
      <c r="AN164" s="490">
        <v>1.37</v>
      </c>
      <c r="AO164" s="490">
        <v>1.43</v>
      </c>
      <c r="AQ164" s="489">
        <v>30</v>
      </c>
      <c r="AR164" s="490">
        <v>1</v>
      </c>
      <c r="AS164" s="490">
        <v>1.21</v>
      </c>
      <c r="AT164" s="491">
        <v>1.4</v>
      </c>
      <c r="AU164" s="490">
        <v>1.55</v>
      </c>
      <c r="AV164" s="490">
        <v>1.67</v>
      </c>
      <c r="AX164" s="489">
        <v>30</v>
      </c>
      <c r="AY164" s="490">
        <v>1</v>
      </c>
      <c r="AZ164" s="490">
        <v>1.27</v>
      </c>
      <c r="BA164" s="491">
        <v>1.5</v>
      </c>
      <c r="BB164" s="490">
        <v>1.7</v>
      </c>
      <c r="BC164" s="490">
        <v>1.86</v>
      </c>
      <c r="BE164" s="489">
        <v>30</v>
      </c>
      <c r="BF164" s="490">
        <v>1</v>
      </c>
      <c r="BG164" s="490">
        <v>1.25</v>
      </c>
      <c r="BH164" s="491">
        <v>1.47</v>
      </c>
      <c r="BI164" s="490">
        <v>1.65</v>
      </c>
      <c r="BJ164" s="490">
        <v>1.79</v>
      </c>
      <c r="BL164" s="489">
        <v>30</v>
      </c>
      <c r="BM164" s="490">
        <v>1</v>
      </c>
      <c r="BN164" s="490">
        <v>1.18</v>
      </c>
      <c r="BO164" s="491">
        <v>1.33</v>
      </c>
      <c r="BP164" s="490">
        <v>1.44</v>
      </c>
      <c r="BQ164" s="490">
        <v>1.54</v>
      </c>
      <c r="BS164" s="489">
        <v>30</v>
      </c>
      <c r="BT164" s="490">
        <v>1</v>
      </c>
      <c r="BU164" s="490">
        <v>1.1200000000000001</v>
      </c>
      <c r="BV164" s="491">
        <v>1.21</v>
      </c>
      <c r="BW164" s="490">
        <v>1.27</v>
      </c>
      <c r="BX164" s="490">
        <v>1.31</v>
      </c>
      <c r="BZ164" s="489">
        <v>30</v>
      </c>
      <c r="CA164" s="490">
        <v>1</v>
      </c>
      <c r="CB164" s="490">
        <v>1.07</v>
      </c>
      <c r="CC164" s="491">
        <v>1.1100000000000001</v>
      </c>
      <c r="CD164" s="490">
        <v>1.1299999999999999</v>
      </c>
      <c r="CE164" s="490">
        <v>1.1200000000000001</v>
      </c>
      <c r="CG164" s="489">
        <v>30</v>
      </c>
      <c r="CH164" s="490">
        <v>1</v>
      </c>
      <c r="CI164" s="490">
        <v>1.03</v>
      </c>
      <c r="CJ164" s="491">
        <v>1.04</v>
      </c>
      <c r="CK164" s="490">
        <v>1.03</v>
      </c>
      <c r="CL164" s="490">
        <v>1</v>
      </c>
      <c r="CN164" s="489">
        <v>30</v>
      </c>
      <c r="CO164" s="490">
        <v>1</v>
      </c>
      <c r="CP164" s="490">
        <v>1.02</v>
      </c>
      <c r="CQ164" s="491">
        <v>1.02</v>
      </c>
      <c r="CR164" s="490">
        <v>0.99</v>
      </c>
      <c r="CS164" s="490">
        <v>0.95</v>
      </c>
    </row>
    <row r="165" spans="3:97" ht="15.75" thickBot="1" x14ac:dyDescent="0.3">
      <c r="C165" s="489">
        <v>140</v>
      </c>
      <c r="D165" s="490">
        <v>0.82</v>
      </c>
      <c r="E165" s="490">
        <v>0.76</v>
      </c>
      <c r="F165" s="490">
        <v>0.7</v>
      </c>
      <c r="G165" s="490">
        <v>0.64</v>
      </c>
      <c r="H165" s="491">
        <v>0.56999999999999995</v>
      </c>
      <c r="I165" s="490">
        <v>0.51</v>
      </c>
      <c r="J165" s="490">
        <v>0.46</v>
      </c>
      <c r="K165" s="490">
        <v>0.42</v>
      </c>
      <c r="L165" s="490">
        <v>0.38</v>
      </c>
      <c r="M165" s="490">
        <v>0.35</v>
      </c>
      <c r="O165" s="489">
        <v>40</v>
      </c>
      <c r="P165" s="490">
        <v>1</v>
      </c>
      <c r="Q165" s="490">
        <v>1.02</v>
      </c>
      <c r="R165" s="491">
        <v>1.02</v>
      </c>
      <c r="S165" s="490">
        <v>1.01</v>
      </c>
      <c r="T165" s="490">
        <v>0.97</v>
      </c>
      <c r="V165" s="489">
        <v>40</v>
      </c>
      <c r="W165" s="490">
        <v>1</v>
      </c>
      <c r="X165" s="490">
        <v>1.04</v>
      </c>
      <c r="Y165" s="491">
        <v>1.06</v>
      </c>
      <c r="Z165" s="490">
        <v>1.07</v>
      </c>
      <c r="AA165" s="490">
        <v>1.05</v>
      </c>
      <c r="AC165" s="489">
        <v>40</v>
      </c>
      <c r="AD165" s="490">
        <v>1</v>
      </c>
      <c r="AE165" s="490">
        <v>1.0900000000000001</v>
      </c>
      <c r="AF165" s="491">
        <v>1.1499999999999999</v>
      </c>
      <c r="AG165" s="490">
        <v>1.18</v>
      </c>
      <c r="AH165" s="490">
        <v>1.2</v>
      </c>
      <c r="AJ165" s="489">
        <v>40</v>
      </c>
      <c r="AK165" s="490">
        <v>1</v>
      </c>
      <c r="AL165" s="490">
        <v>1.1299999999999999</v>
      </c>
      <c r="AM165" s="491">
        <v>1.24</v>
      </c>
      <c r="AN165" s="490">
        <v>1.32</v>
      </c>
      <c r="AO165" s="490">
        <v>1.38</v>
      </c>
      <c r="AQ165" s="489">
        <v>40</v>
      </c>
      <c r="AR165" s="490">
        <v>1</v>
      </c>
      <c r="AS165" s="490">
        <v>1.18</v>
      </c>
      <c r="AT165" s="491">
        <v>1.35</v>
      </c>
      <c r="AU165" s="490">
        <v>1.47</v>
      </c>
      <c r="AV165" s="490">
        <v>1.58</v>
      </c>
      <c r="AX165" s="489">
        <v>40</v>
      </c>
      <c r="AY165" s="490">
        <v>1</v>
      </c>
      <c r="AZ165" s="490">
        <v>1.23</v>
      </c>
      <c r="BA165" s="491">
        <v>1.44</v>
      </c>
      <c r="BB165" s="490">
        <v>1.63</v>
      </c>
      <c r="BC165" s="490">
        <v>1.75</v>
      </c>
      <c r="BE165" s="489">
        <v>40</v>
      </c>
      <c r="BF165" s="490">
        <v>1</v>
      </c>
      <c r="BG165" s="490">
        <v>1.22</v>
      </c>
      <c r="BH165" s="491">
        <v>1.42</v>
      </c>
      <c r="BI165" s="490">
        <v>1.58</v>
      </c>
      <c r="BJ165" s="490">
        <v>1.69</v>
      </c>
      <c r="BL165" s="489">
        <v>40</v>
      </c>
      <c r="BM165" s="490">
        <v>1</v>
      </c>
      <c r="BN165" s="490">
        <v>1.1599999999999999</v>
      </c>
      <c r="BO165" s="491">
        <v>1.29</v>
      </c>
      <c r="BP165" s="490">
        <v>1.4</v>
      </c>
      <c r="BQ165" s="490">
        <v>1.47</v>
      </c>
      <c r="BS165" s="489">
        <v>40</v>
      </c>
      <c r="BT165" s="490">
        <v>1</v>
      </c>
      <c r="BU165" s="490">
        <v>1.1100000000000001</v>
      </c>
      <c r="BV165" s="491">
        <v>1.18</v>
      </c>
      <c r="BW165" s="490">
        <v>1.24</v>
      </c>
      <c r="BX165" s="490">
        <v>1.27</v>
      </c>
      <c r="BZ165" s="489">
        <v>40</v>
      </c>
      <c r="CA165" s="490">
        <v>1</v>
      </c>
      <c r="CB165" s="490">
        <v>1.06</v>
      </c>
      <c r="CC165" s="491">
        <v>1.1000000000000001</v>
      </c>
      <c r="CD165" s="490">
        <v>1.1100000000000001</v>
      </c>
      <c r="CE165" s="490">
        <v>1.1100000000000001</v>
      </c>
      <c r="CG165" s="489">
        <v>40</v>
      </c>
      <c r="CH165" s="490">
        <v>1</v>
      </c>
      <c r="CI165" s="490">
        <v>1.03</v>
      </c>
      <c r="CJ165" s="491">
        <v>1.03</v>
      </c>
      <c r="CK165" s="490">
        <v>1.02</v>
      </c>
      <c r="CL165" s="490">
        <v>0.99</v>
      </c>
      <c r="CN165" s="489">
        <v>40</v>
      </c>
      <c r="CO165" s="490">
        <v>1</v>
      </c>
      <c r="CP165" s="490">
        <v>1.02</v>
      </c>
      <c r="CQ165" s="491">
        <v>1.01</v>
      </c>
      <c r="CR165" s="490">
        <v>0.99</v>
      </c>
      <c r="CS165" s="490">
        <v>0.95</v>
      </c>
    </row>
    <row r="166" spans="3:97" ht="15.75" thickBot="1" x14ac:dyDescent="0.3">
      <c r="C166" s="489">
        <v>150</v>
      </c>
      <c r="D166" s="490">
        <v>0.82</v>
      </c>
      <c r="E166" s="490">
        <v>0.76</v>
      </c>
      <c r="F166" s="490">
        <v>0.68</v>
      </c>
      <c r="G166" s="490">
        <v>0.61</v>
      </c>
      <c r="H166" s="491">
        <v>0.54</v>
      </c>
      <c r="I166" s="490">
        <v>0.47</v>
      </c>
      <c r="J166" s="490">
        <v>0.42</v>
      </c>
      <c r="K166" s="490">
        <v>0.38</v>
      </c>
      <c r="L166" s="490">
        <v>0.35</v>
      </c>
      <c r="M166" s="490">
        <v>0.32</v>
      </c>
      <c r="O166" s="489">
        <v>50</v>
      </c>
      <c r="P166" s="490">
        <v>1</v>
      </c>
      <c r="Q166" s="490">
        <v>1.02</v>
      </c>
      <c r="R166" s="491">
        <v>1.02</v>
      </c>
      <c r="S166" s="490">
        <v>1</v>
      </c>
      <c r="T166" s="490">
        <v>0.97</v>
      </c>
      <c r="V166" s="489">
        <v>50</v>
      </c>
      <c r="W166" s="490">
        <v>1</v>
      </c>
      <c r="X166" s="490">
        <v>1.03</v>
      </c>
      <c r="Y166" s="491">
        <v>1.05</v>
      </c>
      <c r="Z166" s="490">
        <v>1.05</v>
      </c>
      <c r="AA166" s="490">
        <v>1.03</v>
      </c>
      <c r="AC166" s="489">
        <v>50</v>
      </c>
      <c r="AD166" s="490">
        <v>1</v>
      </c>
      <c r="AE166" s="490">
        <v>1.07</v>
      </c>
      <c r="AF166" s="491">
        <v>1.1299999999999999</v>
      </c>
      <c r="AG166" s="490">
        <v>1.1599999999999999</v>
      </c>
      <c r="AH166" s="490">
        <v>1.17</v>
      </c>
      <c r="AJ166" s="489">
        <v>50</v>
      </c>
      <c r="AK166" s="490">
        <v>1</v>
      </c>
      <c r="AL166" s="490">
        <v>1.1100000000000001</v>
      </c>
      <c r="AM166" s="491">
        <v>1.21</v>
      </c>
      <c r="AN166" s="490">
        <v>1.27</v>
      </c>
      <c r="AO166" s="490">
        <v>1.31</v>
      </c>
      <c r="AQ166" s="489">
        <v>50</v>
      </c>
      <c r="AR166" s="490">
        <v>1</v>
      </c>
      <c r="AS166" s="490">
        <v>1.1499999999999999</v>
      </c>
      <c r="AT166" s="491">
        <v>1.29</v>
      </c>
      <c r="AU166" s="490">
        <v>1.4</v>
      </c>
      <c r="AV166" s="490">
        <v>1.47</v>
      </c>
      <c r="AX166" s="489">
        <v>50</v>
      </c>
      <c r="AY166" s="490">
        <v>1</v>
      </c>
      <c r="AZ166" s="490">
        <v>1.2</v>
      </c>
      <c r="BA166" s="491">
        <v>1.38</v>
      </c>
      <c r="BB166" s="490">
        <v>1.52</v>
      </c>
      <c r="BC166" s="490">
        <v>1.63</v>
      </c>
      <c r="BE166" s="489">
        <v>50</v>
      </c>
      <c r="BF166" s="490">
        <v>1</v>
      </c>
      <c r="BG166" s="490">
        <v>1.19</v>
      </c>
      <c r="BH166" s="491">
        <v>1.35</v>
      </c>
      <c r="BI166" s="490">
        <v>1.49</v>
      </c>
      <c r="BJ166" s="490">
        <v>1.58</v>
      </c>
      <c r="BL166" s="489">
        <v>50</v>
      </c>
      <c r="BM166" s="490">
        <v>1</v>
      </c>
      <c r="BN166" s="490">
        <v>1.1299999999999999</v>
      </c>
      <c r="BO166" s="491">
        <v>1.25</v>
      </c>
      <c r="BP166" s="490">
        <v>1.33</v>
      </c>
      <c r="BQ166" s="490">
        <v>1.39</v>
      </c>
      <c r="BS166" s="489">
        <v>50</v>
      </c>
      <c r="BT166" s="490">
        <v>1</v>
      </c>
      <c r="BU166" s="490">
        <v>1.0900000000000001</v>
      </c>
      <c r="BV166" s="491">
        <v>1.1599999999999999</v>
      </c>
      <c r="BW166" s="490">
        <v>1.21</v>
      </c>
      <c r="BX166" s="490">
        <v>1.22</v>
      </c>
      <c r="BZ166" s="489">
        <v>50</v>
      </c>
      <c r="CA166" s="490">
        <v>1</v>
      </c>
      <c r="CB166" s="490">
        <v>1.05</v>
      </c>
      <c r="CC166" s="491">
        <v>1.08</v>
      </c>
      <c r="CD166" s="490">
        <v>1.0900000000000001</v>
      </c>
      <c r="CE166" s="490">
        <v>1.08</v>
      </c>
      <c r="CG166" s="489">
        <v>50</v>
      </c>
      <c r="CH166" s="490">
        <v>1</v>
      </c>
      <c r="CI166" s="490">
        <v>1.02</v>
      </c>
      <c r="CJ166" s="491">
        <v>1.03</v>
      </c>
      <c r="CK166" s="490">
        <v>1.01</v>
      </c>
      <c r="CL166" s="490">
        <v>0.98</v>
      </c>
      <c r="CN166" s="489">
        <v>50</v>
      </c>
      <c r="CO166" s="490">
        <v>1</v>
      </c>
      <c r="CP166" s="490">
        <v>1.02</v>
      </c>
      <c r="CQ166" s="491">
        <v>1.01</v>
      </c>
      <c r="CR166" s="490">
        <v>0.99</v>
      </c>
      <c r="CS166" s="490">
        <v>0.96</v>
      </c>
    </row>
    <row r="167" spans="3:97" ht="15.75" thickBot="1" x14ac:dyDescent="0.3">
      <c r="C167" s="489">
        <v>160</v>
      </c>
      <c r="D167" s="490">
        <v>0.82</v>
      </c>
      <c r="E167" s="490">
        <v>0.75</v>
      </c>
      <c r="F167" s="490">
        <v>0.67</v>
      </c>
      <c r="G167" s="490">
        <v>0.59</v>
      </c>
      <c r="H167" s="491">
        <v>0.52</v>
      </c>
      <c r="I167" s="490">
        <v>0.45</v>
      </c>
      <c r="J167" s="490">
        <v>0.39</v>
      </c>
      <c r="K167" s="490">
        <v>0.35</v>
      </c>
      <c r="L167" s="490">
        <v>0.32</v>
      </c>
      <c r="M167" s="490">
        <v>0.28999999999999998</v>
      </c>
      <c r="O167" s="489">
        <v>60</v>
      </c>
      <c r="P167" s="490">
        <v>1</v>
      </c>
      <c r="Q167" s="490">
        <v>1.01</v>
      </c>
      <c r="R167" s="491">
        <v>1.01</v>
      </c>
      <c r="S167" s="490">
        <v>0.99</v>
      </c>
      <c r="T167" s="490">
        <v>0.96</v>
      </c>
      <c r="V167" s="489">
        <v>60</v>
      </c>
      <c r="W167" s="490">
        <v>1</v>
      </c>
      <c r="X167" s="490">
        <v>1.03</v>
      </c>
      <c r="Y167" s="491">
        <v>1.04</v>
      </c>
      <c r="Z167" s="490">
        <v>1.03</v>
      </c>
      <c r="AA167" s="490">
        <v>1.01</v>
      </c>
      <c r="AC167" s="489">
        <v>60</v>
      </c>
      <c r="AD167" s="490">
        <v>1</v>
      </c>
      <c r="AE167" s="490">
        <v>1.06</v>
      </c>
      <c r="AF167" s="491">
        <v>1.1000000000000001</v>
      </c>
      <c r="AG167" s="490">
        <v>1.1200000000000001</v>
      </c>
      <c r="AH167" s="490">
        <v>1.1299999999999999</v>
      </c>
      <c r="AJ167" s="489">
        <v>60</v>
      </c>
      <c r="AK167" s="490">
        <v>1</v>
      </c>
      <c r="AL167" s="490">
        <v>1.0900000000000001</v>
      </c>
      <c r="AM167" s="491">
        <v>1.1599999999999999</v>
      </c>
      <c r="AN167" s="490">
        <v>1.21</v>
      </c>
      <c r="AO167" s="490">
        <v>1.24</v>
      </c>
      <c r="AQ167" s="489">
        <v>60</v>
      </c>
      <c r="AR167" s="490">
        <v>1</v>
      </c>
      <c r="AS167" s="490">
        <v>1.1299999999999999</v>
      </c>
      <c r="AT167" s="491">
        <v>1.23</v>
      </c>
      <c r="AU167" s="490">
        <v>1.31</v>
      </c>
      <c r="AV167" s="490">
        <v>1.37</v>
      </c>
      <c r="AX167" s="489">
        <v>60</v>
      </c>
      <c r="AY167" s="490">
        <v>1</v>
      </c>
      <c r="AZ167" s="490">
        <v>1.1599999999999999</v>
      </c>
      <c r="BA167" s="491">
        <v>1.3</v>
      </c>
      <c r="BB167" s="490">
        <v>1.41</v>
      </c>
      <c r="BC167" s="490">
        <v>1.48</v>
      </c>
      <c r="BE167" s="489">
        <v>60</v>
      </c>
      <c r="BF167" s="490">
        <v>1</v>
      </c>
      <c r="BG167" s="490">
        <v>1.1499999999999999</v>
      </c>
      <c r="BH167" s="491">
        <v>1.28</v>
      </c>
      <c r="BI167" s="490">
        <v>1.38</v>
      </c>
      <c r="BJ167" s="490">
        <v>1.46</v>
      </c>
      <c r="BL167" s="489">
        <v>60</v>
      </c>
      <c r="BM167" s="490">
        <v>1</v>
      </c>
      <c r="BN167" s="490">
        <v>1.1100000000000001</v>
      </c>
      <c r="BO167" s="491">
        <v>1.2</v>
      </c>
      <c r="BP167" s="490">
        <v>1.26</v>
      </c>
      <c r="BQ167" s="490">
        <v>1.31</v>
      </c>
      <c r="BS167" s="489">
        <v>60</v>
      </c>
      <c r="BT167" s="490">
        <v>1</v>
      </c>
      <c r="BU167" s="490">
        <v>1.08</v>
      </c>
      <c r="BV167" s="491">
        <v>1.1299999999999999</v>
      </c>
      <c r="BW167" s="490">
        <v>1.1599999999999999</v>
      </c>
      <c r="BX167" s="490">
        <v>1.17</v>
      </c>
      <c r="BZ167" s="489">
        <v>60</v>
      </c>
      <c r="CA167" s="490">
        <v>1</v>
      </c>
      <c r="CB167" s="490">
        <v>1.04</v>
      </c>
      <c r="CC167" s="491">
        <v>1.06</v>
      </c>
      <c r="CD167" s="490">
        <v>1.07</v>
      </c>
      <c r="CE167" s="490">
        <v>1.06</v>
      </c>
      <c r="CG167" s="489">
        <v>60</v>
      </c>
      <c r="CH167" s="490">
        <v>1</v>
      </c>
      <c r="CI167" s="490">
        <v>1.02</v>
      </c>
      <c r="CJ167" s="491">
        <v>1.02</v>
      </c>
      <c r="CK167" s="490">
        <v>1</v>
      </c>
      <c r="CL167" s="490">
        <v>0.97</v>
      </c>
      <c r="CN167" s="489">
        <v>60</v>
      </c>
      <c r="CO167" s="490">
        <v>1</v>
      </c>
      <c r="CP167" s="490">
        <v>1.01</v>
      </c>
      <c r="CQ167" s="491">
        <v>1.01</v>
      </c>
      <c r="CR167" s="490">
        <v>0.98</v>
      </c>
      <c r="CS167" s="490">
        <v>0.95</v>
      </c>
    </row>
    <row r="168" spans="3:97" ht="15.75" thickBot="1" x14ac:dyDescent="0.3">
      <c r="C168" s="489">
        <v>170</v>
      </c>
      <c r="D168" s="490">
        <v>0.82</v>
      </c>
      <c r="E168" s="490">
        <v>0.75</v>
      </c>
      <c r="F168" s="490">
        <v>0.67</v>
      </c>
      <c r="G168" s="490">
        <v>0.57999999999999996</v>
      </c>
      <c r="H168" s="491">
        <v>0.5</v>
      </c>
      <c r="I168" s="490">
        <v>0.43</v>
      </c>
      <c r="J168" s="490">
        <v>0.37</v>
      </c>
      <c r="K168" s="490">
        <v>0.32</v>
      </c>
      <c r="L168" s="490">
        <v>0.3</v>
      </c>
      <c r="M168" s="490">
        <v>0.28000000000000003</v>
      </c>
      <c r="O168" s="489">
        <v>70</v>
      </c>
      <c r="P168" s="490">
        <v>1</v>
      </c>
      <c r="Q168" s="490">
        <v>1.01</v>
      </c>
      <c r="R168" s="491">
        <v>1</v>
      </c>
      <c r="S168" s="490">
        <v>0.98</v>
      </c>
      <c r="T168" s="490">
        <v>0.94</v>
      </c>
      <c r="V168" s="489">
        <v>70</v>
      </c>
      <c r="W168" s="490">
        <v>1</v>
      </c>
      <c r="X168" s="490">
        <v>1.02</v>
      </c>
      <c r="Y168" s="491">
        <v>1.02</v>
      </c>
      <c r="Z168" s="490">
        <v>1.01</v>
      </c>
      <c r="AA168" s="490">
        <v>0.99</v>
      </c>
      <c r="AC168" s="489">
        <v>70</v>
      </c>
      <c r="AD168" s="490">
        <v>1</v>
      </c>
      <c r="AE168" s="490">
        <v>1.04</v>
      </c>
      <c r="AF168" s="491">
        <v>1.07</v>
      </c>
      <c r="AG168" s="490">
        <v>1.0900000000000001</v>
      </c>
      <c r="AH168" s="490">
        <v>1.0900000000000001</v>
      </c>
      <c r="AJ168" s="489">
        <v>70</v>
      </c>
      <c r="AK168" s="490">
        <v>1</v>
      </c>
      <c r="AL168" s="490">
        <v>1.06</v>
      </c>
      <c r="AM168" s="491">
        <v>1.1200000000000001</v>
      </c>
      <c r="AN168" s="490">
        <v>1.1499999999999999</v>
      </c>
      <c r="AO168" s="490">
        <v>1.17</v>
      </c>
      <c r="AQ168" s="489">
        <v>70</v>
      </c>
      <c r="AR168" s="490">
        <v>1</v>
      </c>
      <c r="AS168" s="490">
        <v>1.0900000000000001</v>
      </c>
      <c r="AT168" s="491">
        <v>1.17</v>
      </c>
      <c r="AU168" s="490">
        <v>1.22</v>
      </c>
      <c r="AV168" s="490">
        <v>1.26</v>
      </c>
      <c r="AX168" s="489">
        <v>70</v>
      </c>
      <c r="AY168" s="490">
        <v>1</v>
      </c>
      <c r="AZ168" s="490">
        <v>1.1100000000000001</v>
      </c>
      <c r="BA168" s="491">
        <v>1.22</v>
      </c>
      <c r="BB168" s="490">
        <v>1.3</v>
      </c>
      <c r="BC168" s="490">
        <v>1.34</v>
      </c>
      <c r="BE168" s="489">
        <v>70</v>
      </c>
      <c r="BF168" s="490">
        <v>1</v>
      </c>
      <c r="BG168" s="490">
        <v>1.1100000000000001</v>
      </c>
      <c r="BH168" s="491">
        <v>1.19</v>
      </c>
      <c r="BI168" s="490">
        <v>1.26</v>
      </c>
      <c r="BJ168" s="490">
        <v>1.31</v>
      </c>
      <c r="BL168" s="489">
        <v>70</v>
      </c>
      <c r="BM168" s="490">
        <v>1</v>
      </c>
      <c r="BN168" s="490">
        <v>1.08</v>
      </c>
      <c r="BO168" s="491">
        <v>1.1399999999999999</v>
      </c>
      <c r="BP168" s="490">
        <v>1.19</v>
      </c>
      <c r="BQ168" s="490">
        <v>1.22</v>
      </c>
      <c r="BS168" s="489">
        <v>70</v>
      </c>
      <c r="BT168" s="490">
        <v>1</v>
      </c>
      <c r="BU168" s="490">
        <v>1.05</v>
      </c>
      <c r="BV168" s="491">
        <v>1.0900000000000001</v>
      </c>
      <c r="BW168" s="490">
        <v>1.1100000000000001</v>
      </c>
      <c r="BX168" s="490">
        <v>1.1200000000000001</v>
      </c>
      <c r="BZ168" s="489">
        <v>70</v>
      </c>
      <c r="CA168" s="490">
        <v>1</v>
      </c>
      <c r="CB168" s="490">
        <v>1.03</v>
      </c>
      <c r="CC168" s="491">
        <v>1.05</v>
      </c>
      <c r="CD168" s="490">
        <v>1.05</v>
      </c>
      <c r="CE168" s="490">
        <v>1.03</v>
      </c>
      <c r="CG168" s="489">
        <v>70</v>
      </c>
      <c r="CH168" s="490">
        <v>1</v>
      </c>
      <c r="CI168" s="490">
        <v>1.01</v>
      </c>
      <c r="CJ168" s="491">
        <v>1</v>
      </c>
      <c r="CK168" s="490">
        <v>0.99</v>
      </c>
      <c r="CL168" s="490">
        <v>0.96</v>
      </c>
      <c r="CN168" s="489">
        <v>70</v>
      </c>
      <c r="CO168" s="490">
        <v>1</v>
      </c>
      <c r="CP168" s="490">
        <v>1.01</v>
      </c>
      <c r="CQ168" s="491">
        <v>1</v>
      </c>
      <c r="CR168" s="490">
        <v>0.98</v>
      </c>
      <c r="CS168" s="490">
        <v>0.94</v>
      </c>
    </row>
    <row r="169" spans="3:97" ht="15.75" thickBot="1" x14ac:dyDescent="0.3">
      <c r="C169" s="489">
        <v>180</v>
      </c>
      <c r="D169" s="490">
        <v>0.82</v>
      </c>
      <c r="E169" s="490">
        <v>0.75</v>
      </c>
      <c r="F169" s="490">
        <v>0.66</v>
      </c>
      <c r="G169" s="490">
        <v>0.57999999999999996</v>
      </c>
      <c r="H169" s="491">
        <v>0.5</v>
      </c>
      <c r="I169" s="490">
        <v>0.43</v>
      </c>
      <c r="J169" s="490">
        <v>0.36</v>
      </c>
      <c r="K169" s="490">
        <v>0.32</v>
      </c>
      <c r="L169" s="490">
        <v>0.28999999999999998</v>
      </c>
      <c r="M169" s="490">
        <v>0.27</v>
      </c>
      <c r="O169" s="489">
        <v>80</v>
      </c>
      <c r="P169" s="490">
        <v>1</v>
      </c>
      <c r="Q169" s="490">
        <v>1</v>
      </c>
      <c r="R169" s="491">
        <v>0.99</v>
      </c>
      <c r="S169" s="490">
        <v>0.97</v>
      </c>
      <c r="T169" s="490">
        <v>0.93</v>
      </c>
      <c r="V169" s="489">
        <v>80</v>
      </c>
      <c r="W169" s="490">
        <v>1</v>
      </c>
      <c r="X169" s="490">
        <v>1.01</v>
      </c>
      <c r="Y169" s="491">
        <v>1</v>
      </c>
      <c r="Z169" s="490">
        <v>0.99</v>
      </c>
      <c r="AA169" s="490">
        <v>0.96</v>
      </c>
      <c r="AC169" s="489">
        <v>80</v>
      </c>
      <c r="AD169" s="490">
        <v>1</v>
      </c>
      <c r="AE169" s="490">
        <v>1.03</v>
      </c>
      <c r="AF169" s="491">
        <v>1.04</v>
      </c>
      <c r="AG169" s="490">
        <v>1.04</v>
      </c>
      <c r="AH169" s="490">
        <v>1.04</v>
      </c>
      <c r="AJ169" s="489">
        <v>80</v>
      </c>
      <c r="AK169" s="490">
        <v>1</v>
      </c>
      <c r="AL169" s="490">
        <v>1.04</v>
      </c>
      <c r="AM169" s="491">
        <v>1.06</v>
      </c>
      <c r="AN169" s="490">
        <v>1.08</v>
      </c>
      <c r="AO169" s="490">
        <v>1.0900000000000001</v>
      </c>
      <c r="AQ169" s="489">
        <v>80</v>
      </c>
      <c r="AR169" s="490">
        <v>1</v>
      </c>
      <c r="AS169" s="490">
        <v>1.05</v>
      </c>
      <c r="AT169" s="491">
        <v>1.0900000000000001</v>
      </c>
      <c r="AU169" s="490">
        <v>1.1200000000000001</v>
      </c>
      <c r="AV169" s="490">
        <v>1.1399999999999999</v>
      </c>
      <c r="AX169" s="489">
        <v>80</v>
      </c>
      <c r="AY169" s="490">
        <v>1</v>
      </c>
      <c r="AZ169" s="490">
        <v>1.06</v>
      </c>
      <c r="BA169" s="491">
        <v>1.1299999999999999</v>
      </c>
      <c r="BB169" s="490">
        <v>1.17</v>
      </c>
      <c r="BC169" s="490">
        <v>1.2</v>
      </c>
      <c r="BE169" s="489">
        <v>80</v>
      </c>
      <c r="BF169" s="490">
        <v>1</v>
      </c>
      <c r="BG169" s="490">
        <v>1.07</v>
      </c>
      <c r="BH169" s="491">
        <v>1.1299999999999999</v>
      </c>
      <c r="BI169" s="490">
        <v>1.1499999999999999</v>
      </c>
      <c r="BJ169" s="490">
        <v>1.18</v>
      </c>
      <c r="BL169" s="489">
        <v>80</v>
      </c>
      <c r="BM169" s="490">
        <v>1</v>
      </c>
      <c r="BN169" s="490">
        <v>1.05</v>
      </c>
      <c r="BO169" s="491">
        <v>1.0900000000000001</v>
      </c>
      <c r="BP169" s="490">
        <v>1.1100000000000001</v>
      </c>
      <c r="BQ169" s="490">
        <v>1.1200000000000001</v>
      </c>
      <c r="BS169" s="489">
        <v>80</v>
      </c>
      <c r="BT169" s="490">
        <v>1</v>
      </c>
      <c r="BU169" s="490">
        <v>1.03</v>
      </c>
      <c r="BV169" s="491">
        <v>1.05</v>
      </c>
      <c r="BW169" s="490">
        <v>1.05</v>
      </c>
      <c r="BX169" s="490">
        <v>1.05</v>
      </c>
      <c r="BZ169" s="489">
        <v>80</v>
      </c>
      <c r="CA169" s="490">
        <v>1</v>
      </c>
      <c r="CB169" s="490">
        <v>1.02</v>
      </c>
      <c r="CC169" s="491">
        <v>1.02</v>
      </c>
      <c r="CD169" s="490">
        <v>1.02</v>
      </c>
      <c r="CE169" s="490">
        <v>0.99</v>
      </c>
      <c r="CG169" s="489">
        <v>80</v>
      </c>
      <c r="CH169" s="490">
        <v>1</v>
      </c>
      <c r="CI169" s="490">
        <v>1</v>
      </c>
      <c r="CJ169" s="491">
        <v>1</v>
      </c>
      <c r="CK169" s="490">
        <v>0.97</v>
      </c>
      <c r="CL169" s="490">
        <v>0.94</v>
      </c>
      <c r="CN169" s="489">
        <v>80</v>
      </c>
      <c r="CO169" s="490">
        <v>1</v>
      </c>
      <c r="CP169" s="490">
        <v>1.01</v>
      </c>
      <c r="CQ169" s="491">
        <v>1</v>
      </c>
      <c r="CR169" s="490">
        <v>0.97</v>
      </c>
      <c r="CS169" s="490">
        <v>0.93</v>
      </c>
    </row>
    <row r="170" spans="3:97" ht="15.75" thickBot="1" x14ac:dyDescent="0.3">
      <c r="C170" s="489">
        <v>190</v>
      </c>
      <c r="D170" s="490">
        <v>0.82</v>
      </c>
      <c r="E170" s="490">
        <v>0.75</v>
      </c>
      <c r="F170" s="490">
        <v>0.67</v>
      </c>
      <c r="G170" s="490">
        <v>0.57999999999999996</v>
      </c>
      <c r="H170" s="491">
        <v>0.5</v>
      </c>
      <c r="I170" s="490">
        <v>0.43</v>
      </c>
      <c r="J170" s="490">
        <v>0.37</v>
      </c>
      <c r="K170" s="490">
        <v>0.33</v>
      </c>
      <c r="L170" s="490">
        <v>0.3</v>
      </c>
      <c r="M170" s="490">
        <v>0.28000000000000003</v>
      </c>
      <c r="O170" s="489">
        <v>90</v>
      </c>
      <c r="P170" s="490">
        <v>1</v>
      </c>
      <c r="Q170" s="490">
        <v>1</v>
      </c>
      <c r="R170" s="491">
        <v>0.98</v>
      </c>
      <c r="S170" s="490">
        <v>0.95</v>
      </c>
      <c r="T170" s="490">
        <v>0.91</v>
      </c>
      <c r="V170" s="489">
        <v>90</v>
      </c>
      <c r="W170" s="490">
        <v>1</v>
      </c>
      <c r="X170" s="490">
        <v>1</v>
      </c>
      <c r="Y170" s="491">
        <v>0.98</v>
      </c>
      <c r="Z170" s="490">
        <v>0.96</v>
      </c>
      <c r="AA170" s="490">
        <v>0.92</v>
      </c>
      <c r="AC170" s="489">
        <v>90</v>
      </c>
      <c r="AD170" s="490">
        <v>1</v>
      </c>
      <c r="AE170" s="490">
        <v>1.01</v>
      </c>
      <c r="AF170" s="491">
        <v>1.01</v>
      </c>
      <c r="AG170" s="490">
        <v>1</v>
      </c>
      <c r="AH170" s="490">
        <v>0.98</v>
      </c>
      <c r="AJ170" s="489">
        <v>90</v>
      </c>
      <c r="AK170" s="490">
        <v>1</v>
      </c>
      <c r="AL170" s="490">
        <v>1.01</v>
      </c>
      <c r="AM170" s="491">
        <v>1.01</v>
      </c>
      <c r="AN170" s="490">
        <v>1.01</v>
      </c>
      <c r="AO170" s="490">
        <v>1.01</v>
      </c>
      <c r="AQ170" s="489">
        <v>90</v>
      </c>
      <c r="AR170" s="490">
        <v>1</v>
      </c>
      <c r="AS170" s="490">
        <v>1</v>
      </c>
      <c r="AT170" s="491">
        <v>1.01</v>
      </c>
      <c r="AU170" s="490">
        <v>1.03</v>
      </c>
      <c r="AV170" s="490">
        <v>1.01</v>
      </c>
      <c r="AX170" s="489">
        <v>90</v>
      </c>
      <c r="AY170" s="490">
        <v>1</v>
      </c>
      <c r="AZ170" s="490">
        <v>1.02</v>
      </c>
      <c r="BA170" s="491">
        <v>1.03</v>
      </c>
      <c r="BB170" s="490">
        <v>1.05</v>
      </c>
      <c r="BC170" s="490">
        <v>1.05</v>
      </c>
      <c r="BE170" s="489">
        <v>90</v>
      </c>
      <c r="BF170" s="490">
        <v>1</v>
      </c>
      <c r="BG170" s="490">
        <v>1.01</v>
      </c>
      <c r="BH170" s="491">
        <v>1.03</v>
      </c>
      <c r="BI170" s="490">
        <v>1.04</v>
      </c>
      <c r="BJ170" s="490">
        <v>1.04</v>
      </c>
      <c r="BL170" s="489">
        <v>90</v>
      </c>
      <c r="BM170" s="490">
        <v>1</v>
      </c>
      <c r="BN170" s="490">
        <v>1.02</v>
      </c>
      <c r="BO170" s="491">
        <v>1.03</v>
      </c>
      <c r="BP170" s="490">
        <v>1.03</v>
      </c>
      <c r="BQ170" s="490">
        <v>1.03</v>
      </c>
      <c r="BS170" s="489">
        <v>90</v>
      </c>
      <c r="BT170" s="490">
        <v>1</v>
      </c>
      <c r="BU170" s="490">
        <v>1.01</v>
      </c>
      <c r="BV170" s="491">
        <v>1.01</v>
      </c>
      <c r="BW170" s="490">
        <v>1</v>
      </c>
      <c r="BX170" s="490">
        <v>0.99</v>
      </c>
      <c r="BZ170" s="489">
        <v>90</v>
      </c>
      <c r="CA170" s="490">
        <v>1</v>
      </c>
      <c r="CB170" s="490">
        <v>1.01</v>
      </c>
      <c r="CC170" s="491">
        <v>1</v>
      </c>
      <c r="CD170" s="490">
        <v>0.98</v>
      </c>
      <c r="CE170" s="490">
        <v>0.95</v>
      </c>
      <c r="CG170" s="489">
        <v>90</v>
      </c>
      <c r="CH170" s="490">
        <v>1</v>
      </c>
      <c r="CI170" s="490">
        <v>1</v>
      </c>
      <c r="CJ170" s="491">
        <v>0.98</v>
      </c>
      <c r="CK170" s="490">
        <v>0.96</v>
      </c>
      <c r="CL170" s="490">
        <v>0.92</v>
      </c>
      <c r="CN170" s="489">
        <v>90</v>
      </c>
      <c r="CO170" s="490">
        <v>1</v>
      </c>
      <c r="CP170" s="490">
        <v>1</v>
      </c>
      <c r="CQ170" s="491">
        <v>0.99</v>
      </c>
      <c r="CR170" s="490">
        <v>0.96</v>
      </c>
      <c r="CS170" s="490">
        <v>0.92</v>
      </c>
    </row>
    <row r="171" spans="3:97" ht="15.75" thickBot="1" x14ac:dyDescent="0.3">
      <c r="C171" s="489">
        <v>200</v>
      </c>
      <c r="D171" s="490">
        <v>0.82</v>
      </c>
      <c r="E171" s="490">
        <v>0.75</v>
      </c>
      <c r="F171" s="490">
        <v>0.67</v>
      </c>
      <c r="G171" s="490">
        <v>0.59</v>
      </c>
      <c r="H171" s="491">
        <v>0.52</v>
      </c>
      <c r="I171" s="490">
        <v>0.45</v>
      </c>
      <c r="J171" s="490">
        <v>0.39</v>
      </c>
      <c r="K171" s="490">
        <v>0.35</v>
      </c>
      <c r="L171" s="490">
        <v>0.32</v>
      </c>
      <c r="M171" s="490">
        <v>0.28999999999999998</v>
      </c>
      <c r="P171" s="492"/>
      <c r="Q171" s="492"/>
      <c r="R171" s="492"/>
      <c r="S171" s="492"/>
      <c r="T171" s="492"/>
      <c r="W171" s="492"/>
      <c r="X171" s="492"/>
      <c r="Y171" s="492"/>
      <c r="Z171" s="492"/>
      <c r="AA171" s="492"/>
      <c r="AD171" s="492"/>
      <c r="AE171" s="492"/>
      <c r="AF171" s="492"/>
      <c r="AG171" s="492"/>
      <c r="AH171" s="492"/>
      <c r="AK171" s="492"/>
      <c r="AL171" s="492"/>
      <c r="AM171" s="492"/>
      <c r="AN171" s="492"/>
      <c r="AO171" s="492"/>
      <c r="AR171" s="492"/>
      <c r="AS171" s="492"/>
      <c r="AT171" s="492"/>
      <c r="AU171" s="492"/>
      <c r="AV171" s="492"/>
      <c r="AY171" s="492"/>
      <c r="AZ171" s="492"/>
      <c r="BA171" s="492"/>
      <c r="BB171" s="492"/>
      <c r="BC171" s="492"/>
      <c r="BF171" s="492"/>
      <c r="BG171" s="492"/>
      <c r="BH171" s="492"/>
      <c r="BI171" s="492"/>
      <c r="BJ171" s="492"/>
      <c r="BM171" s="492"/>
      <c r="BN171" s="492"/>
      <c r="BO171" s="492"/>
      <c r="BP171" s="492"/>
      <c r="BQ171" s="492"/>
      <c r="BT171" s="492"/>
      <c r="BU171" s="492"/>
      <c r="BV171" s="492"/>
      <c r="BW171" s="492"/>
      <c r="BX171" s="492"/>
      <c r="CA171" s="492"/>
      <c r="CB171" s="492"/>
      <c r="CC171" s="492"/>
      <c r="CD171" s="492"/>
      <c r="CE171" s="492"/>
      <c r="CH171" s="492"/>
      <c r="CI171" s="492"/>
      <c r="CJ171" s="492"/>
      <c r="CK171" s="492"/>
      <c r="CL171" s="492"/>
      <c r="CO171" s="492"/>
      <c r="CP171" s="492"/>
      <c r="CQ171" s="492"/>
      <c r="CR171" s="492"/>
      <c r="CS171" s="492"/>
    </row>
    <row r="172" spans="3:97" ht="15.75" thickBot="1" x14ac:dyDescent="0.3">
      <c r="C172" s="489">
        <v>210</v>
      </c>
      <c r="D172" s="490">
        <v>0.82</v>
      </c>
      <c r="E172" s="490">
        <v>0.76</v>
      </c>
      <c r="F172" s="490">
        <v>0.68</v>
      </c>
      <c r="G172" s="490">
        <v>0.61</v>
      </c>
      <c r="H172" s="491">
        <v>0.54</v>
      </c>
      <c r="I172" s="490">
        <v>0.47</v>
      </c>
      <c r="J172" s="490">
        <v>0.42</v>
      </c>
      <c r="K172" s="490">
        <v>0.38</v>
      </c>
      <c r="L172" s="490">
        <v>0.35</v>
      </c>
      <c r="M172" s="490">
        <v>0.32</v>
      </c>
      <c r="P172" s="492"/>
      <c r="Q172" s="492"/>
      <c r="R172" s="492"/>
      <c r="S172" s="492"/>
      <c r="T172" s="492"/>
      <c r="W172" s="492"/>
      <c r="X172" s="492"/>
      <c r="Y172" s="492"/>
      <c r="Z172" s="492"/>
      <c r="AA172" s="492"/>
      <c r="AD172" s="492"/>
      <c r="AE172" s="492"/>
      <c r="AF172" s="492"/>
      <c r="AG172" s="492"/>
      <c r="AH172" s="492"/>
      <c r="AK172" s="492"/>
      <c r="AL172" s="492"/>
      <c r="AM172" s="492"/>
      <c r="AN172" s="492"/>
      <c r="AO172" s="492"/>
      <c r="AR172" s="492"/>
      <c r="AS172" s="492"/>
      <c r="AT172" s="492"/>
      <c r="AU172" s="492"/>
      <c r="AV172" s="492"/>
      <c r="AY172" s="492"/>
      <c r="AZ172" s="492"/>
      <c r="BA172" s="492"/>
      <c r="BB172" s="492"/>
      <c r="BC172" s="492"/>
      <c r="BF172" s="492"/>
      <c r="BG172" s="492"/>
      <c r="BH172" s="492"/>
      <c r="BI172" s="492"/>
      <c r="BJ172" s="492"/>
      <c r="BM172" s="492"/>
      <c r="BN172" s="492"/>
      <c r="BO172" s="492"/>
      <c r="BP172" s="492"/>
      <c r="BQ172" s="492"/>
      <c r="BT172" s="492"/>
      <c r="BU172" s="492"/>
      <c r="BV172" s="492"/>
      <c r="BW172" s="492"/>
      <c r="BX172" s="492"/>
      <c r="CA172" s="492"/>
      <c r="CB172" s="492"/>
      <c r="CC172" s="492"/>
      <c r="CD172" s="492"/>
      <c r="CE172" s="492"/>
      <c r="CH172" s="492"/>
      <c r="CI172" s="492"/>
      <c r="CJ172" s="492"/>
      <c r="CK172" s="492"/>
      <c r="CL172" s="492"/>
      <c r="CO172" s="492"/>
      <c r="CP172" s="492"/>
      <c r="CQ172" s="492"/>
      <c r="CR172" s="492"/>
      <c r="CS172" s="492"/>
    </row>
    <row r="173" spans="3:97" ht="15.75" thickBot="1" x14ac:dyDescent="0.3">
      <c r="C173" s="489">
        <v>220</v>
      </c>
      <c r="D173" s="490">
        <v>0.82</v>
      </c>
      <c r="E173" s="490">
        <v>0.76</v>
      </c>
      <c r="F173" s="490">
        <v>0.7</v>
      </c>
      <c r="G173" s="490">
        <v>0.63</v>
      </c>
      <c r="H173" s="491">
        <v>0.56000000000000005</v>
      </c>
      <c r="I173" s="490">
        <v>0.51</v>
      </c>
      <c r="J173" s="490">
        <v>0.46</v>
      </c>
      <c r="K173" s="490">
        <v>0.42</v>
      </c>
      <c r="L173" s="490">
        <v>0.38</v>
      </c>
      <c r="M173" s="490">
        <v>0.35</v>
      </c>
      <c r="P173" s="492"/>
      <c r="Q173" s="492"/>
      <c r="R173" s="492"/>
      <c r="S173" s="492"/>
      <c r="T173" s="492"/>
      <c r="W173" s="492"/>
      <c r="X173" s="492"/>
      <c r="Y173" s="492"/>
      <c r="Z173" s="492"/>
      <c r="AA173" s="492"/>
      <c r="AD173" s="492"/>
      <c r="AE173" s="492"/>
      <c r="AF173" s="492"/>
      <c r="AG173" s="492"/>
      <c r="AH173" s="492"/>
      <c r="AK173" s="492"/>
      <c r="AL173" s="492"/>
      <c r="AM173" s="492"/>
      <c r="AN173" s="492"/>
      <c r="AO173" s="492"/>
      <c r="AR173" s="492"/>
      <c r="AS173" s="492"/>
      <c r="AT173" s="492"/>
      <c r="AU173" s="492"/>
      <c r="AV173" s="492"/>
      <c r="AY173" s="492"/>
      <c r="AZ173" s="492"/>
      <c r="BA173" s="492"/>
      <c r="BB173" s="492"/>
      <c r="BC173" s="492"/>
      <c r="BF173" s="492"/>
      <c r="BG173" s="492"/>
      <c r="BH173" s="492"/>
      <c r="BI173" s="492"/>
      <c r="BJ173" s="492"/>
      <c r="BM173" s="492"/>
      <c r="BN173" s="492"/>
      <c r="BO173" s="492"/>
      <c r="BP173" s="492"/>
      <c r="BQ173" s="492"/>
      <c r="BT173" s="492"/>
      <c r="BU173" s="492"/>
      <c r="BV173" s="492"/>
      <c r="BW173" s="492"/>
      <c r="BX173" s="492"/>
      <c r="CA173" s="492"/>
      <c r="CB173" s="492"/>
      <c r="CC173" s="492"/>
      <c r="CD173" s="492"/>
      <c r="CE173" s="492"/>
      <c r="CH173" s="492"/>
      <c r="CI173" s="492"/>
      <c r="CJ173" s="492"/>
      <c r="CK173" s="492"/>
      <c r="CL173" s="492"/>
      <c r="CO173" s="492"/>
      <c r="CP173" s="492"/>
      <c r="CQ173" s="492"/>
      <c r="CR173" s="492"/>
      <c r="CS173" s="492"/>
    </row>
    <row r="174" spans="3:97" ht="15.75" thickBot="1" x14ac:dyDescent="0.3">
      <c r="C174" s="489">
        <v>230</v>
      </c>
      <c r="D174" s="490">
        <v>0.82</v>
      </c>
      <c r="E174" s="490">
        <v>0.77</v>
      </c>
      <c r="F174" s="490">
        <v>0.72</v>
      </c>
      <c r="G174" s="490">
        <v>0.66</v>
      </c>
      <c r="H174" s="491">
        <v>0.6</v>
      </c>
      <c r="I174" s="490">
        <v>0.55000000000000004</v>
      </c>
      <c r="J174" s="490">
        <v>0.51</v>
      </c>
      <c r="K174" s="490">
        <v>0.47</v>
      </c>
      <c r="L174" s="490">
        <v>0.42</v>
      </c>
      <c r="M174" s="490">
        <v>0.38</v>
      </c>
      <c r="P174" s="492"/>
      <c r="Q174" s="492"/>
      <c r="R174" s="492"/>
      <c r="S174" s="492"/>
      <c r="T174" s="492"/>
      <c r="W174" s="492"/>
      <c r="X174" s="492"/>
      <c r="Y174" s="492"/>
      <c r="Z174" s="492"/>
      <c r="AA174" s="492"/>
      <c r="AD174" s="492"/>
      <c r="AE174" s="492"/>
      <c r="AF174" s="492"/>
      <c r="AG174" s="492"/>
      <c r="AH174" s="492"/>
      <c r="AK174" s="492"/>
      <c r="AL174" s="492"/>
      <c r="AM174" s="492"/>
      <c r="AN174" s="492"/>
      <c r="AO174" s="492"/>
      <c r="AR174" s="492"/>
      <c r="AS174" s="492"/>
      <c r="AT174" s="492"/>
      <c r="AU174" s="492"/>
      <c r="AV174" s="492"/>
      <c r="AY174" s="492"/>
      <c r="AZ174" s="492"/>
      <c r="BA174" s="492"/>
      <c r="BB174" s="492"/>
      <c r="BC174" s="492"/>
      <c r="BF174" s="492"/>
      <c r="BG174" s="492"/>
      <c r="BH174" s="492"/>
      <c r="BI174" s="492"/>
      <c r="BJ174" s="492"/>
      <c r="BM174" s="492"/>
      <c r="BN174" s="492"/>
      <c r="BO174" s="492"/>
      <c r="BP174" s="492"/>
      <c r="BQ174" s="492"/>
      <c r="BT174" s="492"/>
      <c r="BU174" s="492"/>
      <c r="BV174" s="492"/>
      <c r="BW174" s="492"/>
      <c r="BX174" s="492"/>
      <c r="CA174" s="492"/>
      <c r="CB174" s="492"/>
      <c r="CC174" s="492"/>
      <c r="CD174" s="492"/>
      <c r="CE174" s="492"/>
      <c r="CH174" s="492"/>
      <c r="CI174" s="492"/>
      <c r="CJ174" s="492"/>
      <c r="CK174" s="492"/>
      <c r="CL174" s="492"/>
      <c r="CO174" s="492"/>
      <c r="CP174" s="492"/>
      <c r="CQ174" s="492"/>
      <c r="CR174" s="492"/>
      <c r="CS174" s="492"/>
    </row>
    <row r="175" spans="3:97" ht="15.75" thickBot="1" x14ac:dyDescent="0.3">
      <c r="C175" s="489">
        <v>240</v>
      </c>
      <c r="D175" s="490">
        <v>0.82</v>
      </c>
      <c r="E175" s="490">
        <v>0.78</v>
      </c>
      <c r="F175" s="490">
        <v>0.74</v>
      </c>
      <c r="G175" s="490">
        <v>0.69</v>
      </c>
      <c r="H175" s="491">
        <v>0.64</v>
      </c>
      <c r="I175" s="490">
        <v>0.6</v>
      </c>
      <c r="J175" s="490">
        <v>0.56000000000000005</v>
      </c>
      <c r="K175" s="490">
        <v>0.52</v>
      </c>
      <c r="L175" s="490">
        <v>0.47</v>
      </c>
      <c r="M175" s="490">
        <v>0.42</v>
      </c>
      <c r="P175" s="492"/>
      <c r="Q175" s="492"/>
      <c r="R175" s="492"/>
      <c r="S175" s="492"/>
      <c r="T175" s="492"/>
      <c r="W175" s="492"/>
      <c r="X175" s="492"/>
      <c r="Y175" s="492"/>
      <c r="Z175" s="492"/>
      <c r="AA175" s="492"/>
      <c r="AD175" s="492"/>
      <c r="AE175" s="492"/>
      <c r="AF175" s="492"/>
      <c r="AG175" s="492"/>
      <c r="AH175" s="492"/>
      <c r="AK175" s="492"/>
      <c r="AL175" s="492"/>
      <c r="AM175" s="492"/>
      <c r="AN175" s="492"/>
      <c r="AO175" s="492"/>
      <c r="AR175" s="492"/>
      <c r="AS175" s="492"/>
      <c r="AT175" s="492"/>
      <c r="AU175" s="492"/>
      <c r="AV175" s="492"/>
      <c r="AY175" s="492"/>
      <c r="AZ175" s="492"/>
      <c r="BA175" s="492"/>
      <c r="BB175" s="492"/>
      <c r="BC175" s="492"/>
      <c r="BF175" s="492"/>
      <c r="BG175" s="492"/>
      <c r="BH175" s="492"/>
      <c r="BI175" s="492"/>
      <c r="BJ175" s="492"/>
      <c r="BM175" s="492"/>
      <c r="BN175" s="492"/>
      <c r="BO175" s="492"/>
      <c r="BP175" s="492"/>
      <c r="BQ175" s="492"/>
      <c r="BT175" s="492"/>
      <c r="BU175" s="492"/>
      <c r="BV175" s="492"/>
      <c r="BW175" s="492"/>
      <c r="BX175" s="492"/>
      <c r="CA175" s="492"/>
      <c r="CB175" s="492"/>
      <c r="CC175" s="492"/>
      <c r="CD175" s="492"/>
      <c r="CE175" s="492"/>
      <c r="CH175" s="492"/>
      <c r="CI175" s="492"/>
      <c r="CJ175" s="492"/>
      <c r="CK175" s="492"/>
      <c r="CL175" s="492"/>
      <c r="CO175" s="492"/>
      <c r="CP175" s="492"/>
      <c r="CQ175" s="492"/>
      <c r="CR175" s="492"/>
      <c r="CS175" s="492"/>
    </row>
    <row r="176" spans="3:97" ht="15.75" thickBot="1" x14ac:dyDescent="0.3">
      <c r="C176" s="489">
        <v>250</v>
      </c>
      <c r="D176" s="490">
        <v>0.82</v>
      </c>
      <c r="E176" s="490">
        <v>0.79</v>
      </c>
      <c r="F176" s="490">
        <v>0.76</v>
      </c>
      <c r="G176" s="490">
        <v>0.73</v>
      </c>
      <c r="H176" s="491">
        <v>0.68</v>
      </c>
      <c r="I176" s="490">
        <v>0.65</v>
      </c>
      <c r="J176" s="490">
        <v>0.61</v>
      </c>
      <c r="K176" s="490">
        <v>0.56000000000000005</v>
      </c>
      <c r="L176" s="490">
        <v>0.52</v>
      </c>
      <c r="M176" s="490">
        <v>0.46</v>
      </c>
      <c r="P176" s="492"/>
      <c r="Q176" s="492"/>
      <c r="R176" s="492"/>
      <c r="S176" s="492"/>
      <c r="T176" s="492"/>
      <c r="W176" s="492"/>
      <c r="X176" s="492"/>
      <c r="Y176" s="492"/>
      <c r="Z176" s="492"/>
      <c r="AA176" s="492"/>
      <c r="AD176" s="492"/>
      <c r="AE176" s="492"/>
      <c r="AF176" s="492"/>
      <c r="AG176" s="492"/>
      <c r="AH176" s="492"/>
      <c r="AK176" s="492"/>
      <c r="AL176" s="492"/>
      <c r="AM176" s="492"/>
      <c r="AN176" s="492"/>
      <c r="AO176" s="492"/>
      <c r="AR176" s="492"/>
      <c r="AS176" s="492"/>
      <c r="AT176" s="492"/>
      <c r="AU176" s="492"/>
      <c r="AV176" s="492"/>
      <c r="AY176" s="492"/>
      <c r="AZ176" s="492"/>
      <c r="BA176" s="492"/>
      <c r="BB176" s="492"/>
      <c r="BC176" s="492"/>
      <c r="BF176" s="492"/>
      <c r="BG176" s="492"/>
      <c r="BH176" s="492"/>
      <c r="BI176" s="492"/>
      <c r="BJ176" s="492"/>
      <c r="BM176" s="492"/>
      <c r="BN176" s="492"/>
      <c r="BO176" s="492"/>
      <c r="BP176" s="492"/>
      <c r="BQ176" s="492"/>
      <c r="BT176" s="492"/>
      <c r="BU176" s="492"/>
      <c r="BV176" s="492"/>
      <c r="BW176" s="492"/>
      <c r="BX176" s="492"/>
      <c r="CA176" s="492"/>
      <c r="CB176" s="492"/>
      <c r="CC176" s="492"/>
      <c r="CD176" s="492"/>
      <c r="CE176" s="492"/>
      <c r="CH176" s="492"/>
      <c r="CI176" s="492"/>
      <c r="CJ176" s="492"/>
      <c r="CK176" s="492"/>
      <c r="CL176" s="492"/>
      <c r="CO176" s="492"/>
      <c r="CP176" s="492"/>
      <c r="CQ176" s="492"/>
      <c r="CR176" s="492"/>
      <c r="CS176" s="492"/>
    </row>
    <row r="177" spans="3:97" ht="15.75" thickBot="1" x14ac:dyDescent="0.3">
      <c r="C177" s="489">
        <v>260</v>
      </c>
      <c r="D177" s="490">
        <v>0.82</v>
      </c>
      <c r="E177" s="490">
        <v>0.81</v>
      </c>
      <c r="F177" s="490">
        <v>0.79</v>
      </c>
      <c r="G177" s="490">
        <v>0.76</v>
      </c>
      <c r="H177" s="491">
        <v>0.73</v>
      </c>
      <c r="I177" s="490">
        <v>0.69</v>
      </c>
      <c r="J177" s="490">
        <v>0.65</v>
      </c>
      <c r="K177" s="490">
        <v>0.61</v>
      </c>
      <c r="L177" s="490">
        <v>0.56000000000000005</v>
      </c>
      <c r="M177" s="490">
        <v>0.5</v>
      </c>
      <c r="P177" s="492"/>
      <c r="Q177" s="492"/>
      <c r="R177" s="492"/>
      <c r="S177" s="492"/>
      <c r="T177" s="492"/>
      <c r="W177" s="492"/>
      <c r="X177" s="492"/>
      <c r="Y177" s="492"/>
      <c r="Z177" s="492"/>
      <c r="AA177" s="492"/>
      <c r="AD177" s="492"/>
      <c r="AE177" s="492"/>
      <c r="AF177" s="492"/>
      <c r="AG177" s="492"/>
      <c r="AH177" s="492"/>
      <c r="AK177" s="492"/>
      <c r="AL177" s="492"/>
      <c r="AM177" s="492"/>
      <c r="AN177" s="492"/>
      <c r="AO177" s="492"/>
      <c r="AR177" s="492"/>
      <c r="AS177" s="492"/>
      <c r="AT177" s="492"/>
      <c r="AU177" s="492"/>
      <c r="AV177" s="492"/>
      <c r="AY177" s="492"/>
      <c r="AZ177" s="492"/>
      <c r="BA177" s="492"/>
      <c r="BB177" s="492"/>
      <c r="BC177" s="492"/>
      <c r="BF177" s="492"/>
      <c r="BG177" s="492"/>
      <c r="BH177" s="492"/>
      <c r="BI177" s="492"/>
      <c r="BJ177" s="492"/>
      <c r="BM177" s="492"/>
      <c r="BN177" s="492"/>
      <c r="BO177" s="492"/>
      <c r="BP177" s="492"/>
      <c r="BQ177" s="492"/>
      <c r="BT177" s="492"/>
      <c r="BU177" s="492"/>
      <c r="BV177" s="492"/>
      <c r="BW177" s="492"/>
      <c r="BX177" s="492"/>
      <c r="CA177" s="492"/>
      <c r="CB177" s="492"/>
      <c r="CC177" s="492"/>
      <c r="CD177" s="492"/>
      <c r="CE177" s="492"/>
      <c r="CH177" s="492"/>
      <c r="CI177" s="492"/>
      <c r="CJ177" s="492"/>
      <c r="CK177" s="492"/>
      <c r="CL177" s="492"/>
      <c r="CO177" s="492"/>
      <c r="CP177" s="492"/>
      <c r="CQ177" s="492"/>
      <c r="CR177" s="492"/>
      <c r="CS177" s="492"/>
    </row>
    <row r="178" spans="3:97" ht="15.75" thickBot="1" x14ac:dyDescent="0.3">
      <c r="C178" s="489">
        <v>270</v>
      </c>
      <c r="D178" s="490">
        <v>0.82</v>
      </c>
      <c r="E178" s="490">
        <v>0.82</v>
      </c>
      <c r="F178" s="490">
        <v>0.81</v>
      </c>
      <c r="G178" s="490">
        <v>0.79</v>
      </c>
      <c r="H178" s="491">
        <v>0.77</v>
      </c>
      <c r="I178" s="490">
        <v>0.74</v>
      </c>
      <c r="J178" s="490">
        <v>0.7</v>
      </c>
      <c r="K178" s="490">
        <v>0.65</v>
      </c>
      <c r="L178" s="490">
        <v>0.61</v>
      </c>
      <c r="M178" s="490">
        <v>0.55000000000000004</v>
      </c>
      <c r="P178" s="492"/>
      <c r="Q178" s="492"/>
      <c r="R178" s="492"/>
      <c r="S178" s="492"/>
      <c r="T178" s="492"/>
      <c r="W178" s="492"/>
      <c r="X178" s="492"/>
      <c r="Y178" s="492"/>
      <c r="Z178" s="492"/>
      <c r="AA178" s="492"/>
      <c r="AD178" s="492"/>
      <c r="AE178" s="492"/>
      <c r="AF178" s="492"/>
      <c r="AG178" s="492"/>
      <c r="AH178" s="492"/>
      <c r="AK178" s="492"/>
      <c r="AL178" s="492"/>
      <c r="AM178" s="492"/>
      <c r="AN178" s="492"/>
      <c r="AO178" s="492"/>
      <c r="AR178" s="492"/>
      <c r="AS178" s="492"/>
      <c r="AT178" s="492"/>
      <c r="AU178" s="492"/>
      <c r="AV178" s="492"/>
      <c r="AY178" s="492"/>
      <c r="AZ178" s="492"/>
      <c r="BA178" s="492"/>
      <c r="BB178" s="492"/>
      <c r="BC178" s="492"/>
      <c r="BF178" s="492"/>
      <c r="BG178" s="492"/>
      <c r="BH178" s="492"/>
      <c r="BI178" s="492"/>
      <c r="BJ178" s="492"/>
      <c r="BM178" s="492"/>
      <c r="BN178" s="492"/>
      <c r="BO178" s="492"/>
      <c r="BP178" s="492"/>
      <c r="BQ178" s="492"/>
      <c r="BT178" s="492"/>
      <c r="BU178" s="492"/>
      <c r="BV178" s="492"/>
      <c r="BW178" s="492"/>
      <c r="BX178" s="492"/>
      <c r="CA178" s="492"/>
      <c r="CB178" s="492"/>
      <c r="CC178" s="492"/>
      <c r="CD178" s="492"/>
      <c r="CE178" s="492"/>
      <c r="CH178" s="492"/>
      <c r="CI178" s="492"/>
      <c r="CJ178" s="492"/>
      <c r="CK178" s="492"/>
      <c r="CL178" s="492"/>
      <c r="CO178" s="492"/>
      <c r="CP178" s="492"/>
      <c r="CQ178" s="492"/>
      <c r="CR178" s="492"/>
      <c r="CS178" s="492"/>
    </row>
    <row r="179" spans="3:97" ht="15.75" thickBot="1" x14ac:dyDescent="0.3">
      <c r="C179" s="489">
        <v>280</v>
      </c>
      <c r="D179" s="490">
        <v>0.82</v>
      </c>
      <c r="E179" s="490">
        <v>0.83</v>
      </c>
      <c r="F179" s="490">
        <v>0.84</v>
      </c>
      <c r="G179" s="490">
        <v>0.83</v>
      </c>
      <c r="H179" s="491">
        <v>0.81</v>
      </c>
      <c r="I179" s="490">
        <v>0.78</v>
      </c>
      <c r="J179" s="490">
        <v>0.75</v>
      </c>
      <c r="K179" s="490">
        <v>0.7</v>
      </c>
      <c r="L179" s="490">
        <v>0.64</v>
      </c>
      <c r="M179" s="490">
        <v>0.57999999999999996</v>
      </c>
      <c r="P179" s="492"/>
      <c r="Q179" s="492"/>
      <c r="R179" s="492"/>
      <c r="S179" s="492"/>
      <c r="T179" s="492"/>
      <c r="W179" s="492"/>
      <c r="X179" s="492"/>
      <c r="Y179" s="492"/>
      <c r="Z179" s="492"/>
      <c r="AA179" s="492"/>
      <c r="AD179" s="492"/>
      <c r="AE179" s="492"/>
      <c r="AF179" s="492"/>
      <c r="AG179" s="492"/>
      <c r="AH179" s="492"/>
      <c r="AK179" s="492"/>
      <c r="AL179" s="492"/>
      <c r="AM179" s="492"/>
      <c r="AN179" s="492"/>
      <c r="AO179" s="492"/>
      <c r="AR179" s="492"/>
      <c r="AS179" s="492"/>
      <c r="AT179" s="492"/>
      <c r="AU179" s="492"/>
      <c r="AV179" s="492"/>
      <c r="AY179" s="492"/>
      <c r="AZ179" s="492"/>
      <c r="BA179" s="492"/>
      <c r="BB179" s="492"/>
      <c r="BC179" s="492"/>
      <c r="BF179" s="492"/>
      <c r="BG179" s="492"/>
      <c r="BH179" s="492"/>
      <c r="BI179" s="492"/>
      <c r="BJ179" s="492"/>
      <c r="BM179" s="492"/>
      <c r="BN179" s="492"/>
      <c r="BO179" s="492"/>
      <c r="BP179" s="492"/>
      <c r="BQ179" s="492"/>
      <c r="BT179" s="492"/>
      <c r="BU179" s="492"/>
      <c r="BV179" s="492"/>
      <c r="BW179" s="492"/>
      <c r="BX179" s="492"/>
      <c r="CA179" s="492"/>
      <c r="CB179" s="492"/>
      <c r="CC179" s="492"/>
      <c r="CD179" s="492"/>
      <c r="CE179" s="492"/>
      <c r="CH179" s="492"/>
      <c r="CI179" s="492"/>
      <c r="CJ179" s="492"/>
      <c r="CK179" s="492"/>
      <c r="CL179" s="492"/>
      <c r="CO179" s="492"/>
      <c r="CP179" s="492"/>
      <c r="CQ179" s="492"/>
      <c r="CR179" s="492"/>
      <c r="CS179" s="492"/>
    </row>
    <row r="180" spans="3:97" ht="15.75" thickBot="1" x14ac:dyDescent="0.3">
      <c r="C180" s="489">
        <v>290</v>
      </c>
      <c r="D180" s="490">
        <v>0.82</v>
      </c>
      <c r="E180" s="490">
        <v>0.85</v>
      </c>
      <c r="F180" s="490">
        <v>0.86</v>
      </c>
      <c r="G180" s="490">
        <v>0.86</v>
      </c>
      <c r="H180" s="491">
        <v>0.85</v>
      </c>
      <c r="I180" s="490">
        <v>0.82</v>
      </c>
      <c r="J180" s="490">
        <v>0.79</v>
      </c>
      <c r="K180" s="490">
        <v>0.74</v>
      </c>
      <c r="L180" s="490">
        <v>0.68</v>
      </c>
      <c r="M180" s="490">
        <v>0.61</v>
      </c>
      <c r="P180" s="492"/>
      <c r="Q180" s="492"/>
      <c r="R180" s="492"/>
      <c r="S180" s="492"/>
      <c r="T180" s="492"/>
      <c r="W180" s="492"/>
      <c r="X180" s="492"/>
      <c r="Y180" s="492"/>
      <c r="Z180" s="492"/>
      <c r="AA180" s="492"/>
      <c r="AD180" s="492"/>
      <c r="AE180" s="492"/>
      <c r="AF180" s="492"/>
      <c r="AG180" s="492"/>
      <c r="AH180" s="492"/>
      <c r="AK180" s="492"/>
      <c r="AL180" s="492"/>
      <c r="AM180" s="492"/>
      <c r="AN180" s="492"/>
      <c r="AO180" s="492"/>
      <c r="AR180" s="492"/>
      <c r="AS180" s="492"/>
      <c r="AT180" s="492"/>
      <c r="AU180" s="492"/>
      <c r="AV180" s="492"/>
      <c r="AY180" s="492"/>
      <c r="AZ180" s="492"/>
      <c r="BA180" s="492"/>
      <c r="BB180" s="492"/>
      <c r="BC180" s="492"/>
      <c r="BF180" s="492"/>
      <c r="BG180" s="492"/>
      <c r="BH180" s="492"/>
      <c r="BI180" s="492"/>
      <c r="BJ180" s="492"/>
      <c r="BM180" s="492"/>
      <c r="BN180" s="492"/>
      <c r="BO180" s="492"/>
      <c r="BP180" s="492"/>
      <c r="BQ180" s="492"/>
      <c r="BT180" s="492"/>
      <c r="BU180" s="492"/>
      <c r="BV180" s="492"/>
      <c r="BW180" s="492"/>
      <c r="BX180" s="492"/>
      <c r="CA180" s="492"/>
      <c r="CB180" s="492"/>
      <c r="CC180" s="492"/>
      <c r="CD180" s="492"/>
      <c r="CE180" s="492"/>
      <c r="CH180" s="492"/>
      <c r="CI180" s="492"/>
      <c r="CJ180" s="492"/>
      <c r="CK180" s="492"/>
      <c r="CL180" s="492"/>
      <c r="CO180" s="492"/>
      <c r="CP180" s="492"/>
      <c r="CQ180" s="492"/>
      <c r="CR180" s="492"/>
      <c r="CS180" s="492"/>
    </row>
    <row r="181" spans="3:97" ht="15.75" thickBot="1" x14ac:dyDescent="0.3">
      <c r="C181" s="489">
        <v>300</v>
      </c>
      <c r="D181" s="490">
        <v>0.82</v>
      </c>
      <c r="E181" s="490">
        <v>0.85</v>
      </c>
      <c r="F181" s="490">
        <v>0.88</v>
      </c>
      <c r="G181" s="490">
        <v>0.89</v>
      </c>
      <c r="H181" s="491">
        <v>0.88</v>
      </c>
      <c r="I181" s="490">
        <v>0.86</v>
      </c>
      <c r="J181" s="490">
        <v>0.82</v>
      </c>
      <c r="K181" s="490">
        <v>0.78</v>
      </c>
      <c r="L181" s="490">
        <v>0.72</v>
      </c>
      <c r="M181" s="490">
        <v>0.64</v>
      </c>
      <c r="P181" s="492"/>
      <c r="Q181" s="492"/>
      <c r="R181" s="492"/>
      <c r="S181" s="492"/>
      <c r="T181" s="492"/>
      <c r="W181" s="492"/>
      <c r="X181" s="492"/>
      <c r="Y181" s="492"/>
      <c r="Z181" s="492"/>
      <c r="AA181" s="492"/>
      <c r="AD181" s="492"/>
      <c r="AE181" s="492"/>
      <c r="AF181" s="492"/>
      <c r="AG181" s="492"/>
      <c r="AH181" s="492"/>
      <c r="AK181" s="492"/>
      <c r="AL181" s="492"/>
      <c r="AM181" s="492"/>
      <c r="AN181" s="492"/>
      <c r="AO181" s="492"/>
      <c r="AR181" s="492"/>
      <c r="AS181" s="492"/>
      <c r="AT181" s="492"/>
      <c r="AU181" s="492"/>
      <c r="AV181" s="492"/>
      <c r="AY181" s="492"/>
      <c r="AZ181" s="492"/>
      <c r="BA181" s="492"/>
      <c r="BB181" s="492"/>
      <c r="BC181" s="492"/>
      <c r="BF181" s="492"/>
      <c r="BG181" s="492"/>
      <c r="BH181" s="492"/>
      <c r="BI181" s="492"/>
      <c r="BJ181" s="492"/>
      <c r="BM181" s="492"/>
      <c r="BN181" s="492"/>
      <c r="BO181" s="492"/>
      <c r="BP181" s="492"/>
      <c r="BQ181" s="492"/>
      <c r="BT181" s="492"/>
      <c r="BU181" s="492"/>
      <c r="BV181" s="492"/>
      <c r="BW181" s="492"/>
      <c r="BX181" s="492"/>
      <c r="CA181" s="492"/>
      <c r="CB181" s="492"/>
      <c r="CC181" s="492"/>
      <c r="CD181" s="492"/>
      <c r="CE181" s="492"/>
      <c r="CH181" s="492"/>
      <c r="CI181" s="492"/>
      <c r="CJ181" s="492"/>
      <c r="CK181" s="492"/>
      <c r="CL181" s="492"/>
      <c r="CO181" s="492"/>
      <c r="CP181" s="492"/>
      <c r="CQ181" s="492"/>
      <c r="CR181" s="492"/>
      <c r="CS181" s="492"/>
    </row>
    <row r="182" spans="3:97" ht="15.75" thickBot="1" x14ac:dyDescent="0.3">
      <c r="C182" s="489">
        <v>310</v>
      </c>
      <c r="D182" s="490">
        <v>0.82</v>
      </c>
      <c r="E182" s="490">
        <v>0.87</v>
      </c>
      <c r="F182" s="490">
        <v>0.9</v>
      </c>
      <c r="G182" s="490">
        <v>0.92</v>
      </c>
      <c r="H182" s="491">
        <v>0.92</v>
      </c>
      <c r="I182" s="490">
        <v>0.9</v>
      </c>
      <c r="J182" s="490">
        <v>0.86</v>
      </c>
      <c r="K182" s="490">
        <v>0.81</v>
      </c>
      <c r="L182" s="490">
        <v>0.74</v>
      </c>
      <c r="M182" s="490">
        <v>0.67</v>
      </c>
      <c r="P182" s="492"/>
      <c r="Q182" s="492"/>
      <c r="R182" s="492"/>
      <c r="S182" s="492"/>
      <c r="T182" s="492"/>
      <c r="W182" s="492"/>
      <c r="X182" s="492"/>
      <c r="Y182" s="492"/>
      <c r="Z182" s="492"/>
      <c r="AA182" s="492"/>
      <c r="AD182" s="492"/>
      <c r="AE182" s="492"/>
      <c r="AF182" s="492"/>
      <c r="AG182" s="492"/>
      <c r="AH182" s="492"/>
      <c r="AK182" s="492"/>
      <c r="AL182" s="492"/>
      <c r="AM182" s="492"/>
      <c r="AN182" s="492"/>
      <c r="AO182" s="492"/>
      <c r="AR182" s="492"/>
      <c r="AS182" s="492"/>
      <c r="AT182" s="492"/>
      <c r="AU182" s="492"/>
      <c r="AV182" s="492"/>
      <c r="AY182" s="492"/>
      <c r="AZ182" s="492"/>
      <c r="BA182" s="492"/>
      <c r="BB182" s="492"/>
      <c r="BC182" s="492"/>
      <c r="BF182" s="492"/>
      <c r="BG182" s="492"/>
      <c r="BH182" s="492"/>
      <c r="BI182" s="492"/>
      <c r="BJ182" s="492"/>
      <c r="BM182" s="492"/>
      <c r="BN182" s="492"/>
      <c r="BO182" s="492"/>
      <c r="BP182" s="492"/>
      <c r="BQ182" s="492"/>
      <c r="BT182" s="492"/>
      <c r="BU182" s="492"/>
      <c r="BV182" s="492"/>
      <c r="BW182" s="492"/>
      <c r="BX182" s="492"/>
      <c r="CA182" s="492"/>
      <c r="CB182" s="492"/>
      <c r="CC182" s="492"/>
      <c r="CD182" s="492"/>
      <c r="CE182" s="492"/>
      <c r="CH182" s="492"/>
      <c r="CI182" s="492"/>
      <c r="CJ182" s="492"/>
      <c r="CK182" s="492"/>
      <c r="CL182" s="492"/>
      <c r="CO182" s="492"/>
      <c r="CP182" s="492"/>
      <c r="CQ182" s="492"/>
      <c r="CR182" s="492"/>
      <c r="CS182" s="492"/>
    </row>
    <row r="183" spans="3:97" ht="15.75" thickBot="1" x14ac:dyDescent="0.3">
      <c r="C183" s="489">
        <v>320</v>
      </c>
      <c r="D183" s="490">
        <v>0.82</v>
      </c>
      <c r="E183" s="490">
        <v>0.88</v>
      </c>
      <c r="F183" s="490">
        <v>0.92</v>
      </c>
      <c r="G183" s="490">
        <v>0.94</v>
      </c>
      <c r="H183" s="491">
        <v>0.95</v>
      </c>
      <c r="I183" s="490">
        <v>0.93</v>
      </c>
      <c r="J183" s="490">
        <v>0.89</v>
      </c>
      <c r="K183" s="490">
        <v>0.84</v>
      </c>
      <c r="L183" s="490">
        <v>0.76</v>
      </c>
      <c r="M183" s="490">
        <v>0.68</v>
      </c>
      <c r="P183" s="492"/>
      <c r="Q183" s="492"/>
      <c r="R183" s="492"/>
      <c r="S183" s="492"/>
      <c r="T183" s="492"/>
      <c r="W183" s="492"/>
      <c r="X183" s="492"/>
      <c r="Y183" s="492"/>
      <c r="Z183" s="492"/>
      <c r="AA183" s="492"/>
      <c r="AD183" s="492"/>
      <c r="AE183" s="492"/>
      <c r="AF183" s="492"/>
      <c r="AG183" s="492"/>
      <c r="AH183" s="492"/>
      <c r="AK183" s="492"/>
      <c r="AL183" s="492"/>
      <c r="AM183" s="492"/>
      <c r="AN183" s="492"/>
      <c r="AO183" s="492"/>
      <c r="AR183" s="492"/>
      <c r="AS183" s="492"/>
      <c r="AT183" s="492"/>
      <c r="AU183" s="492"/>
      <c r="AV183" s="492"/>
      <c r="AY183" s="492"/>
      <c r="AZ183" s="492"/>
      <c r="BA183" s="492"/>
      <c r="BB183" s="492"/>
      <c r="BC183" s="492"/>
      <c r="BF183" s="492"/>
      <c r="BG183" s="492"/>
      <c r="BH183" s="492"/>
      <c r="BI183" s="492"/>
      <c r="BJ183" s="492"/>
      <c r="BM183" s="492"/>
      <c r="BN183" s="492"/>
      <c r="BO183" s="492"/>
      <c r="BP183" s="492"/>
      <c r="BQ183" s="492"/>
      <c r="BT183" s="492"/>
      <c r="BU183" s="492"/>
      <c r="BV183" s="492"/>
      <c r="BW183" s="492"/>
      <c r="BX183" s="492"/>
      <c r="CA183" s="492"/>
      <c r="CB183" s="492"/>
      <c r="CC183" s="492"/>
      <c r="CD183" s="492"/>
      <c r="CE183" s="492"/>
      <c r="CH183" s="492"/>
      <c r="CI183" s="492"/>
      <c r="CJ183" s="492"/>
      <c r="CK183" s="492"/>
      <c r="CL183" s="492"/>
      <c r="CO183" s="492"/>
      <c r="CP183" s="492"/>
      <c r="CQ183" s="492"/>
      <c r="CR183" s="492"/>
      <c r="CS183" s="492"/>
    </row>
    <row r="184" spans="3:97" ht="15.75" thickBot="1" x14ac:dyDescent="0.3">
      <c r="C184" s="489">
        <v>330</v>
      </c>
      <c r="D184" s="490">
        <v>0.82</v>
      </c>
      <c r="E184" s="490">
        <v>0.88</v>
      </c>
      <c r="F184" s="490">
        <v>0.93</v>
      </c>
      <c r="G184" s="490">
        <v>0.96</v>
      </c>
      <c r="H184" s="491">
        <v>0.96</v>
      </c>
      <c r="I184" s="490">
        <v>0.95</v>
      </c>
      <c r="J184" s="490">
        <v>0.92</v>
      </c>
      <c r="K184" s="490">
        <v>0.86</v>
      </c>
      <c r="L184" s="490">
        <v>0.79</v>
      </c>
      <c r="M184" s="490">
        <v>0.7</v>
      </c>
      <c r="P184" s="492"/>
      <c r="Q184" s="492"/>
      <c r="R184" s="492"/>
      <c r="S184" s="492"/>
      <c r="T184" s="492"/>
      <c r="W184" s="492"/>
      <c r="X184" s="492"/>
      <c r="Y184" s="492"/>
      <c r="Z184" s="492"/>
      <c r="AA184" s="492"/>
      <c r="AD184" s="492"/>
      <c r="AE184" s="492"/>
      <c r="AF184" s="492"/>
      <c r="AG184" s="492"/>
      <c r="AH184" s="492"/>
      <c r="AK184" s="492"/>
      <c r="AL184" s="492"/>
      <c r="AM184" s="492"/>
      <c r="AN184" s="492"/>
      <c r="AO184" s="492"/>
      <c r="AR184" s="492"/>
      <c r="AS184" s="492"/>
      <c r="AT184" s="492"/>
      <c r="AU184" s="492"/>
      <c r="AV184" s="492"/>
      <c r="AY184" s="492"/>
      <c r="AZ184" s="492"/>
      <c r="BA184" s="492"/>
      <c r="BB184" s="492"/>
      <c r="BC184" s="492"/>
      <c r="BF184" s="492"/>
      <c r="BG184" s="492"/>
      <c r="BH184" s="492"/>
      <c r="BI184" s="492"/>
      <c r="BJ184" s="492"/>
      <c r="BM184" s="492"/>
      <c r="BN184" s="492"/>
      <c r="BO184" s="492"/>
      <c r="BP184" s="492"/>
      <c r="BQ184" s="492"/>
      <c r="BT184" s="492"/>
      <c r="BU184" s="492"/>
      <c r="BV184" s="492"/>
      <c r="BW184" s="492"/>
      <c r="BX184" s="492"/>
      <c r="CA184" s="492"/>
      <c r="CB184" s="492"/>
      <c r="CC184" s="492"/>
      <c r="CD184" s="492"/>
      <c r="CE184" s="492"/>
      <c r="CH184" s="492"/>
      <c r="CI184" s="492"/>
      <c r="CJ184" s="492"/>
      <c r="CK184" s="492"/>
      <c r="CL184" s="492"/>
      <c r="CO184" s="492"/>
      <c r="CP184" s="492"/>
      <c r="CQ184" s="492"/>
      <c r="CR184" s="492"/>
      <c r="CS184" s="492"/>
    </row>
    <row r="185" spans="3:97" ht="15.75" thickBot="1" x14ac:dyDescent="0.3">
      <c r="C185" s="489">
        <v>340</v>
      </c>
      <c r="D185" s="490">
        <v>0.82</v>
      </c>
      <c r="E185" s="490">
        <v>0.89</v>
      </c>
      <c r="F185" s="490">
        <v>0.95</v>
      </c>
      <c r="G185" s="490">
        <v>0.98</v>
      </c>
      <c r="H185" s="491">
        <v>0.98</v>
      </c>
      <c r="I185" s="490">
        <v>0.97</v>
      </c>
      <c r="J185" s="490">
        <v>0.93</v>
      </c>
      <c r="K185" s="490">
        <v>0.87</v>
      </c>
      <c r="L185" s="490">
        <v>0.8</v>
      </c>
      <c r="M185" s="490">
        <v>0.71</v>
      </c>
      <c r="P185" s="492"/>
      <c r="Q185" s="492"/>
      <c r="R185" s="492"/>
      <c r="S185" s="492"/>
      <c r="T185" s="492"/>
      <c r="W185" s="492"/>
      <c r="X185" s="492"/>
      <c r="Y185" s="492"/>
      <c r="Z185" s="492"/>
      <c r="AA185" s="492"/>
      <c r="AD185" s="492"/>
      <c r="AE185" s="492"/>
      <c r="AF185" s="492"/>
      <c r="AG185" s="492"/>
      <c r="AH185" s="492"/>
      <c r="AK185" s="492"/>
      <c r="AL185" s="492"/>
      <c r="AM185" s="492"/>
      <c r="AN185" s="492"/>
      <c r="AO185" s="492"/>
      <c r="AR185" s="492"/>
      <c r="AS185" s="492"/>
      <c r="AT185" s="492"/>
      <c r="AU185" s="492"/>
      <c r="AV185" s="492"/>
      <c r="AY185" s="492"/>
      <c r="AZ185" s="492"/>
      <c r="BA185" s="492"/>
      <c r="BB185" s="492"/>
      <c r="BC185" s="492"/>
      <c r="BF185" s="492"/>
      <c r="BG185" s="492"/>
      <c r="BH185" s="492"/>
      <c r="BI185" s="492"/>
      <c r="BJ185" s="492"/>
      <c r="BM185" s="492"/>
      <c r="BN185" s="492"/>
      <c r="BO185" s="492"/>
      <c r="BP185" s="492"/>
      <c r="BQ185" s="492"/>
      <c r="BT185" s="492"/>
      <c r="BU185" s="492"/>
      <c r="BV185" s="492"/>
      <c r="BW185" s="492"/>
      <c r="BX185" s="492"/>
      <c r="CA185" s="492"/>
      <c r="CB185" s="492"/>
      <c r="CC185" s="492"/>
      <c r="CD185" s="492"/>
      <c r="CE185" s="492"/>
      <c r="CH185" s="492"/>
      <c r="CI185" s="492"/>
      <c r="CJ185" s="492"/>
      <c r="CK185" s="492"/>
      <c r="CL185" s="492"/>
      <c r="CO185" s="492"/>
      <c r="CP185" s="492"/>
      <c r="CQ185" s="492"/>
      <c r="CR185" s="492"/>
      <c r="CS185" s="492"/>
    </row>
    <row r="186" spans="3:97" ht="15.75" thickBot="1" x14ac:dyDescent="0.3">
      <c r="C186" s="489">
        <v>350</v>
      </c>
      <c r="D186" s="490">
        <v>0.82</v>
      </c>
      <c r="E186" s="490">
        <v>0.89</v>
      </c>
      <c r="F186" s="490">
        <v>0.95</v>
      </c>
      <c r="G186" s="490">
        <v>0.98</v>
      </c>
      <c r="H186" s="491">
        <v>0.99</v>
      </c>
      <c r="I186" s="490">
        <v>0.98</v>
      </c>
      <c r="J186" s="490">
        <v>0.95</v>
      </c>
      <c r="K186" s="490">
        <v>0.88</v>
      </c>
      <c r="L186" s="490">
        <v>0.81</v>
      </c>
      <c r="M186" s="490">
        <v>0.72</v>
      </c>
      <c r="P186" s="492"/>
      <c r="Q186" s="492"/>
      <c r="R186" s="492"/>
      <c r="S186" s="492"/>
      <c r="T186" s="492"/>
      <c r="W186" s="492"/>
      <c r="X186" s="492"/>
      <c r="Y186" s="492"/>
      <c r="Z186" s="492"/>
      <c r="AA186" s="492"/>
      <c r="AD186" s="492"/>
      <c r="AE186" s="492"/>
      <c r="AF186" s="492"/>
      <c r="AG186" s="492"/>
      <c r="AH186" s="492"/>
      <c r="AK186" s="492"/>
      <c r="AL186" s="492"/>
      <c r="AM186" s="492"/>
      <c r="AN186" s="492"/>
      <c r="AO186" s="492"/>
      <c r="AR186" s="492"/>
      <c r="AS186" s="492"/>
      <c r="AT186" s="492"/>
      <c r="AU186" s="492"/>
      <c r="AV186" s="492"/>
      <c r="AY186" s="492"/>
      <c r="AZ186" s="492"/>
      <c r="BA186" s="492"/>
      <c r="BB186" s="492"/>
      <c r="BC186" s="492"/>
      <c r="BF186" s="492"/>
      <c r="BG186" s="492"/>
      <c r="BH186" s="492"/>
      <c r="BI186" s="492"/>
      <c r="BJ186" s="492"/>
      <c r="BM186" s="492"/>
      <c r="BN186" s="492"/>
      <c r="BO186" s="492"/>
      <c r="BP186" s="492"/>
      <c r="BQ186" s="492"/>
      <c r="BT186" s="492"/>
      <c r="BU186" s="492"/>
      <c r="BV186" s="492"/>
      <c r="BW186" s="492"/>
      <c r="BX186" s="492"/>
      <c r="CA186" s="492"/>
      <c r="CB186" s="492"/>
      <c r="CC186" s="492"/>
      <c r="CD186" s="492"/>
      <c r="CE186" s="492"/>
      <c r="CH186" s="492"/>
      <c r="CI186" s="492"/>
      <c r="CJ186" s="492"/>
      <c r="CK186" s="492"/>
      <c r="CL186" s="492"/>
      <c r="CO186" s="492"/>
      <c r="CP186" s="492"/>
      <c r="CQ186" s="492"/>
      <c r="CR186" s="492"/>
      <c r="CS186" s="492"/>
    </row>
    <row r="187" spans="3:97" x14ac:dyDescent="0.25">
      <c r="P187" s="492"/>
      <c r="Q187" s="492"/>
      <c r="R187" s="492"/>
      <c r="S187" s="492"/>
      <c r="T187" s="492"/>
      <c r="W187" s="492"/>
      <c r="X187" s="492"/>
      <c r="Y187" s="492"/>
      <c r="Z187" s="492"/>
      <c r="AA187" s="492"/>
      <c r="AD187" s="492"/>
      <c r="AE187" s="492"/>
      <c r="AF187" s="492"/>
      <c r="AG187" s="492"/>
      <c r="AH187" s="492"/>
      <c r="AK187" s="492"/>
      <c r="AL187" s="492"/>
      <c r="AM187" s="492"/>
      <c r="AN187" s="492"/>
      <c r="AO187" s="492"/>
      <c r="AR187" s="492"/>
      <c r="AS187" s="492"/>
      <c r="AT187" s="492"/>
      <c r="AU187" s="492"/>
      <c r="AV187" s="492"/>
      <c r="AY187" s="492"/>
      <c r="AZ187" s="492"/>
      <c r="BA187" s="492"/>
      <c r="BB187" s="492"/>
      <c r="BC187" s="492"/>
      <c r="BF187" s="492"/>
      <c r="BG187" s="492"/>
      <c r="BH187" s="492"/>
      <c r="BI187" s="492"/>
      <c r="BJ187" s="492"/>
      <c r="BM187" s="492"/>
      <c r="BN187" s="492"/>
      <c r="BO187" s="492"/>
      <c r="BP187" s="492"/>
      <c r="BQ187" s="492"/>
      <c r="BT187" s="492"/>
      <c r="BU187" s="492"/>
      <c r="BV187" s="492"/>
      <c r="BW187" s="492"/>
      <c r="BX187" s="492"/>
      <c r="CA187" s="492"/>
      <c r="CB187" s="492"/>
      <c r="CC187" s="492"/>
      <c r="CD187" s="492"/>
      <c r="CE187" s="492"/>
      <c r="CH187" s="492"/>
      <c r="CI187" s="492"/>
      <c r="CJ187" s="492"/>
      <c r="CK187" s="492"/>
      <c r="CL187" s="492"/>
      <c r="CO187" s="492"/>
      <c r="CP187" s="492"/>
      <c r="CQ187" s="492"/>
      <c r="CR187" s="492"/>
      <c r="CS187" s="492"/>
    </row>
    <row r="188" spans="3:97" ht="15.75" thickBot="1" x14ac:dyDescent="0.3">
      <c r="P188" s="492"/>
      <c r="Q188" s="492"/>
      <c r="R188" s="492"/>
      <c r="S188" s="492"/>
      <c r="T188" s="492"/>
      <c r="W188" s="492"/>
      <c r="X188" s="492"/>
      <c r="Y188" s="492"/>
      <c r="Z188" s="492"/>
      <c r="AA188" s="492"/>
      <c r="AD188" s="492"/>
      <c r="AE188" s="492"/>
      <c r="AF188" s="492"/>
      <c r="AG188" s="492"/>
      <c r="AH188" s="492"/>
      <c r="AK188" s="492"/>
      <c r="AL188" s="492"/>
      <c r="AM188" s="492"/>
      <c r="AN188" s="492"/>
      <c r="AO188" s="492"/>
      <c r="AR188" s="492"/>
      <c r="AS188" s="492"/>
      <c r="AT188" s="492"/>
      <c r="AU188" s="492"/>
      <c r="AV188" s="492"/>
      <c r="AY188" s="492"/>
      <c r="AZ188" s="492"/>
      <c r="BA188" s="492"/>
      <c r="BB188" s="492"/>
      <c r="BC188" s="492"/>
      <c r="BF188" s="492"/>
      <c r="BG188" s="492"/>
      <c r="BH188" s="492"/>
      <c r="BI188" s="492"/>
      <c r="BJ188" s="492"/>
      <c r="BM188" s="492"/>
      <c r="BN188" s="492"/>
      <c r="BO188" s="492"/>
      <c r="BP188" s="492"/>
      <c r="BQ188" s="492"/>
      <c r="BT188" s="492"/>
      <c r="BU188" s="492"/>
      <c r="BV188" s="492"/>
      <c r="BW188" s="492"/>
      <c r="BX188" s="492"/>
      <c r="CA188" s="492"/>
      <c r="CB188" s="492"/>
      <c r="CC188" s="492"/>
      <c r="CD188" s="492"/>
      <c r="CE188" s="492"/>
      <c r="CH188" s="492"/>
      <c r="CI188" s="492"/>
      <c r="CJ188" s="492"/>
      <c r="CK188" s="492"/>
      <c r="CL188" s="492"/>
      <c r="CO188" s="492"/>
      <c r="CP188" s="492"/>
      <c r="CQ188" s="492"/>
      <c r="CR188" s="492"/>
      <c r="CS188" s="492"/>
    </row>
    <row r="189" spans="3:97" ht="15.75" thickBot="1" x14ac:dyDescent="0.3">
      <c r="C189" s="784" t="s">
        <v>3727</v>
      </c>
      <c r="D189" s="785"/>
      <c r="E189" s="785"/>
      <c r="F189" s="785"/>
      <c r="G189" s="785"/>
      <c r="H189" s="785"/>
      <c r="I189" s="785"/>
      <c r="J189" s="785"/>
      <c r="K189" s="785"/>
      <c r="L189" s="785"/>
      <c r="M189" s="786"/>
      <c r="O189" s="486" t="s">
        <v>3551</v>
      </c>
    </row>
    <row r="190" spans="3:97" ht="15.75" customHeight="1" thickBot="1" x14ac:dyDescent="0.3">
      <c r="C190" s="780" t="s">
        <v>3720</v>
      </c>
      <c r="D190" s="781" t="s">
        <v>3721</v>
      </c>
      <c r="E190" s="782"/>
      <c r="F190" s="782"/>
      <c r="G190" s="782"/>
      <c r="H190" s="782"/>
      <c r="I190" s="782"/>
      <c r="J190" s="782"/>
      <c r="K190" s="782"/>
      <c r="L190" s="782"/>
      <c r="M190" s="783"/>
      <c r="O190" s="777" t="str">
        <f>O189&amp;" - Janurary"</f>
        <v>Sydney - Janurary</v>
      </c>
      <c r="P190" s="778"/>
      <c r="Q190" s="778"/>
      <c r="R190" s="778"/>
      <c r="S190" s="778"/>
      <c r="T190" s="779"/>
      <c r="V190" s="777" t="str">
        <f>O189&amp;" - February"</f>
        <v>Sydney - February</v>
      </c>
      <c r="W190" s="778"/>
      <c r="X190" s="778"/>
      <c r="Y190" s="778"/>
      <c r="Z190" s="778"/>
      <c r="AA190" s="779"/>
      <c r="AC190" s="777" t="str">
        <f>O189&amp;" - March"</f>
        <v>Sydney - March</v>
      </c>
      <c r="AD190" s="778"/>
      <c r="AE190" s="778"/>
      <c r="AF190" s="778"/>
      <c r="AG190" s="778"/>
      <c r="AH190" s="779"/>
      <c r="AJ190" s="777" t="str">
        <f>O189&amp;" - April"</f>
        <v>Sydney - April</v>
      </c>
      <c r="AK190" s="778"/>
      <c r="AL190" s="778"/>
      <c r="AM190" s="778"/>
      <c r="AN190" s="778"/>
      <c r="AO190" s="779"/>
      <c r="AQ190" s="777" t="str">
        <f>O189&amp;" - May"</f>
        <v>Sydney - May</v>
      </c>
      <c r="AR190" s="778"/>
      <c r="AS190" s="778"/>
      <c r="AT190" s="778"/>
      <c r="AU190" s="778"/>
      <c r="AV190" s="779"/>
      <c r="AX190" s="777" t="str">
        <f>O189&amp;" - June"</f>
        <v>Sydney - June</v>
      </c>
      <c r="AY190" s="778"/>
      <c r="AZ190" s="778"/>
      <c r="BA190" s="778"/>
      <c r="BB190" s="778"/>
      <c r="BC190" s="779"/>
      <c r="BE190" s="777" t="str">
        <f>O189&amp;" - July"</f>
        <v>Sydney - July</v>
      </c>
      <c r="BF190" s="778"/>
      <c r="BG190" s="778"/>
      <c r="BH190" s="778"/>
      <c r="BI190" s="778"/>
      <c r="BJ190" s="779"/>
      <c r="BL190" s="777" t="str">
        <f>O189&amp;" - August"</f>
        <v>Sydney - August</v>
      </c>
      <c r="BM190" s="778"/>
      <c r="BN190" s="778"/>
      <c r="BO190" s="778"/>
      <c r="BP190" s="778"/>
      <c r="BQ190" s="779"/>
      <c r="BS190" s="777" t="str">
        <f>O189&amp;" - September"</f>
        <v>Sydney - September</v>
      </c>
      <c r="BT190" s="778"/>
      <c r="BU190" s="778"/>
      <c r="BV190" s="778"/>
      <c r="BW190" s="778"/>
      <c r="BX190" s="779"/>
      <c r="BZ190" s="777" t="str">
        <f>O189&amp;" - October"</f>
        <v>Sydney - October</v>
      </c>
      <c r="CA190" s="778"/>
      <c r="CB190" s="778"/>
      <c r="CC190" s="778"/>
      <c r="CD190" s="778"/>
      <c r="CE190" s="779"/>
      <c r="CG190" s="777" t="str">
        <f>O189&amp;" - November"</f>
        <v>Sydney - November</v>
      </c>
      <c r="CH190" s="778"/>
      <c r="CI190" s="778"/>
      <c r="CJ190" s="778"/>
      <c r="CK190" s="778"/>
      <c r="CL190" s="779"/>
      <c r="CN190" s="777" t="str">
        <f>O189&amp;" - December"</f>
        <v>Sydney - December</v>
      </c>
      <c r="CO190" s="778"/>
      <c r="CP190" s="778"/>
      <c r="CQ190" s="778"/>
      <c r="CR190" s="778"/>
      <c r="CS190" s="779"/>
    </row>
    <row r="191" spans="3:97" ht="15.75" thickBot="1" x14ac:dyDescent="0.3">
      <c r="C191" s="773"/>
      <c r="D191" s="488">
        <v>0</v>
      </c>
      <c r="E191" s="488">
        <v>10</v>
      </c>
      <c r="F191" s="488">
        <v>20</v>
      </c>
      <c r="G191" s="488">
        <v>30</v>
      </c>
      <c r="H191" s="488">
        <v>40</v>
      </c>
      <c r="I191" s="488">
        <v>50</v>
      </c>
      <c r="J191" s="488">
        <v>60</v>
      </c>
      <c r="K191" s="488">
        <v>70</v>
      </c>
      <c r="L191" s="488">
        <v>80</v>
      </c>
      <c r="M191" s="488">
        <v>90</v>
      </c>
      <c r="O191" s="772" t="s">
        <v>3720</v>
      </c>
      <c r="P191" s="774" t="s">
        <v>3721</v>
      </c>
      <c r="Q191" s="775"/>
      <c r="R191" s="775"/>
      <c r="S191" s="775"/>
      <c r="T191" s="776"/>
      <c r="V191" s="772" t="s">
        <v>3720</v>
      </c>
      <c r="W191" s="774" t="s">
        <v>3721</v>
      </c>
      <c r="X191" s="775"/>
      <c r="Y191" s="775"/>
      <c r="Z191" s="775"/>
      <c r="AA191" s="776"/>
      <c r="AC191" s="772" t="s">
        <v>3720</v>
      </c>
      <c r="AD191" s="774" t="s">
        <v>3721</v>
      </c>
      <c r="AE191" s="775"/>
      <c r="AF191" s="775"/>
      <c r="AG191" s="775"/>
      <c r="AH191" s="776"/>
      <c r="AJ191" s="772" t="s">
        <v>3720</v>
      </c>
      <c r="AK191" s="774" t="s">
        <v>3721</v>
      </c>
      <c r="AL191" s="775"/>
      <c r="AM191" s="775"/>
      <c r="AN191" s="775"/>
      <c r="AO191" s="776"/>
      <c r="AQ191" s="772" t="s">
        <v>3720</v>
      </c>
      <c r="AR191" s="774" t="s">
        <v>3721</v>
      </c>
      <c r="AS191" s="775"/>
      <c r="AT191" s="775"/>
      <c r="AU191" s="775"/>
      <c r="AV191" s="776"/>
      <c r="AX191" s="772" t="s">
        <v>3720</v>
      </c>
      <c r="AY191" s="774" t="s">
        <v>3721</v>
      </c>
      <c r="AZ191" s="775"/>
      <c r="BA191" s="775"/>
      <c r="BB191" s="775"/>
      <c r="BC191" s="776"/>
      <c r="BE191" s="772" t="s">
        <v>3720</v>
      </c>
      <c r="BF191" s="774" t="s">
        <v>3721</v>
      </c>
      <c r="BG191" s="775"/>
      <c r="BH191" s="775"/>
      <c r="BI191" s="775"/>
      <c r="BJ191" s="776"/>
      <c r="BL191" s="772" t="s">
        <v>3720</v>
      </c>
      <c r="BM191" s="774" t="s">
        <v>3721</v>
      </c>
      <c r="BN191" s="775"/>
      <c r="BO191" s="775"/>
      <c r="BP191" s="775"/>
      <c r="BQ191" s="776"/>
      <c r="BS191" s="772" t="s">
        <v>3720</v>
      </c>
      <c r="BT191" s="774" t="s">
        <v>3721</v>
      </c>
      <c r="BU191" s="775"/>
      <c r="BV191" s="775"/>
      <c r="BW191" s="775"/>
      <c r="BX191" s="776"/>
      <c r="BZ191" s="772" t="s">
        <v>3720</v>
      </c>
      <c r="CA191" s="774" t="s">
        <v>3721</v>
      </c>
      <c r="CB191" s="775"/>
      <c r="CC191" s="775"/>
      <c r="CD191" s="775"/>
      <c r="CE191" s="776"/>
      <c r="CG191" s="772" t="s">
        <v>3720</v>
      </c>
      <c r="CH191" s="774" t="s">
        <v>3721</v>
      </c>
      <c r="CI191" s="775"/>
      <c r="CJ191" s="775"/>
      <c r="CK191" s="775"/>
      <c r="CL191" s="776"/>
      <c r="CN191" s="772" t="s">
        <v>3720</v>
      </c>
      <c r="CO191" s="774" t="s">
        <v>3721</v>
      </c>
      <c r="CP191" s="775"/>
      <c r="CQ191" s="775"/>
      <c r="CR191" s="775"/>
      <c r="CS191" s="776"/>
    </row>
    <row r="192" spans="3:97" ht="15.75" thickBot="1" x14ac:dyDescent="0.3">
      <c r="C192" s="489">
        <v>0</v>
      </c>
      <c r="D192" s="490">
        <v>0.87</v>
      </c>
      <c r="E192" s="490">
        <v>0.94</v>
      </c>
      <c r="F192" s="490">
        <v>0.98</v>
      </c>
      <c r="G192" s="490">
        <v>1</v>
      </c>
      <c r="H192" s="490">
        <v>0.99</v>
      </c>
      <c r="I192" s="490">
        <v>0.97</v>
      </c>
      <c r="J192" s="490">
        <v>0.91</v>
      </c>
      <c r="K192" s="490">
        <v>0.84</v>
      </c>
      <c r="L192" s="490">
        <v>0.75</v>
      </c>
      <c r="M192" s="490">
        <v>0.64</v>
      </c>
      <c r="O192" s="773"/>
      <c r="P192" s="488">
        <v>0</v>
      </c>
      <c r="Q192" s="488">
        <v>10</v>
      </c>
      <c r="R192" s="488">
        <v>20</v>
      </c>
      <c r="S192" s="488">
        <v>30</v>
      </c>
      <c r="T192" s="488">
        <v>40</v>
      </c>
      <c r="V192" s="773"/>
      <c r="W192" s="488">
        <v>0</v>
      </c>
      <c r="X192" s="488">
        <v>10</v>
      </c>
      <c r="Y192" s="488">
        <v>20</v>
      </c>
      <c r="Z192" s="488">
        <v>30</v>
      </c>
      <c r="AA192" s="488">
        <v>40</v>
      </c>
      <c r="AC192" s="773"/>
      <c r="AD192" s="488">
        <v>0</v>
      </c>
      <c r="AE192" s="488">
        <v>10</v>
      </c>
      <c r="AF192" s="488">
        <v>20</v>
      </c>
      <c r="AG192" s="488">
        <v>30</v>
      </c>
      <c r="AH192" s="488">
        <v>40</v>
      </c>
      <c r="AJ192" s="773"/>
      <c r="AK192" s="488">
        <v>0</v>
      </c>
      <c r="AL192" s="488">
        <v>10</v>
      </c>
      <c r="AM192" s="488">
        <v>20</v>
      </c>
      <c r="AN192" s="488">
        <v>30</v>
      </c>
      <c r="AO192" s="488">
        <v>40</v>
      </c>
      <c r="AQ192" s="773"/>
      <c r="AR192" s="488">
        <v>0</v>
      </c>
      <c r="AS192" s="488">
        <v>10</v>
      </c>
      <c r="AT192" s="488">
        <v>20</v>
      </c>
      <c r="AU192" s="488">
        <v>30</v>
      </c>
      <c r="AV192" s="488">
        <v>40</v>
      </c>
      <c r="AX192" s="773"/>
      <c r="AY192" s="488">
        <v>0</v>
      </c>
      <c r="AZ192" s="488">
        <v>10</v>
      </c>
      <c r="BA192" s="488">
        <v>20</v>
      </c>
      <c r="BB192" s="488">
        <v>30</v>
      </c>
      <c r="BC192" s="488">
        <v>40</v>
      </c>
      <c r="BE192" s="773"/>
      <c r="BF192" s="488">
        <v>0</v>
      </c>
      <c r="BG192" s="488">
        <v>10</v>
      </c>
      <c r="BH192" s="488">
        <v>20</v>
      </c>
      <c r="BI192" s="488">
        <v>30</v>
      </c>
      <c r="BJ192" s="488">
        <v>40</v>
      </c>
      <c r="BL192" s="773"/>
      <c r="BM192" s="488">
        <v>0</v>
      </c>
      <c r="BN192" s="488">
        <v>10</v>
      </c>
      <c r="BO192" s="488">
        <v>20</v>
      </c>
      <c r="BP192" s="488">
        <v>30</v>
      </c>
      <c r="BQ192" s="488">
        <v>40</v>
      </c>
      <c r="BS192" s="773"/>
      <c r="BT192" s="488">
        <v>0</v>
      </c>
      <c r="BU192" s="488">
        <v>10</v>
      </c>
      <c r="BV192" s="488">
        <v>20</v>
      </c>
      <c r="BW192" s="488">
        <v>30</v>
      </c>
      <c r="BX192" s="488">
        <v>40</v>
      </c>
      <c r="BZ192" s="773"/>
      <c r="CA192" s="488">
        <v>0</v>
      </c>
      <c r="CB192" s="488">
        <v>10</v>
      </c>
      <c r="CC192" s="488">
        <v>20</v>
      </c>
      <c r="CD192" s="488">
        <v>30</v>
      </c>
      <c r="CE192" s="488">
        <v>40</v>
      </c>
      <c r="CG192" s="773"/>
      <c r="CH192" s="488">
        <v>0</v>
      </c>
      <c r="CI192" s="488">
        <v>10</v>
      </c>
      <c r="CJ192" s="488">
        <v>20</v>
      </c>
      <c r="CK192" s="488">
        <v>30</v>
      </c>
      <c r="CL192" s="488">
        <v>40</v>
      </c>
      <c r="CN192" s="773"/>
      <c r="CO192" s="488">
        <v>0</v>
      </c>
      <c r="CP192" s="488">
        <v>10</v>
      </c>
      <c r="CQ192" s="488">
        <v>20</v>
      </c>
      <c r="CR192" s="488">
        <v>30</v>
      </c>
      <c r="CS192" s="488">
        <v>40</v>
      </c>
    </row>
    <row r="193" spans="3:97" ht="15.75" thickBot="1" x14ac:dyDescent="0.3">
      <c r="C193" s="489">
        <v>10</v>
      </c>
      <c r="D193" s="490">
        <v>0.87</v>
      </c>
      <c r="E193" s="490">
        <v>0.94</v>
      </c>
      <c r="F193" s="490">
        <v>0.98</v>
      </c>
      <c r="G193" s="490">
        <v>1</v>
      </c>
      <c r="H193" s="490">
        <v>0.99</v>
      </c>
      <c r="I193" s="490">
        <v>0.96</v>
      </c>
      <c r="J193" s="490">
        <v>0.91</v>
      </c>
      <c r="K193" s="490">
        <v>0.84</v>
      </c>
      <c r="L193" s="490">
        <v>0.75</v>
      </c>
      <c r="M193" s="490">
        <v>0.64</v>
      </c>
      <c r="O193" s="489">
        <v>270</v>
      </c>
      <c r="P193" s="490">
        <v>1</v>
      </c>
      <c r="Q193" s="490">
        <v>1</v>
      </c>
      <c r="R193" s="490">
        <v>0.99</v>
      </c>
      <c r="S193" s="490">
        <v>0.96</v>
      </c>
      <c r="T193" s="490">
        <v>0.92</v>
      </c>
      <c r="V193" s="489">
        <v>270</v>
      </c>
      <c r="W193" s="490">
        <v>1</v>
      </c>
      <c r="X193" s="490">
        <v>1.01</v>
      </c>
      <c r="Y193" s="490">
        <v>1</v>
      </c>
      <c r="Z193" s="490">
        <v>0.97</v>
      </c>
      <c r="AA193" s="490">
        <v>0.94</v>
      </c>
      <c r="AC193" s="489">
        <v>270</v>
      </c>
      <c r="AD193" s="490">
        <v>1</v>
      </c>
      <c r="AE193" s="490">
        <v>1.01</v>
      </c>
      <c r="AF193" s="490">
        <v>1.01</v>
      </c>
      <c r="AG193" s="490">
        <v>0.99</v>
      </c>
      <c r="AH193" s="490">
        <v>0.96</v>
      </c>
      <c r="AJ193" s="489">
        <v>270</v>
      </c>
      <c r="AK193" s="490">
        <v>1</v>
      </c>
      <c r="AL193" s="490">
        <v>1.01</v>
      </c>
      <c r="AM193" s="490">
        <v>1.01</v>
      </c>
      <c r="AN193" s="490">
        <v>0.99</v>
      </c>
      <c r="AO193" s="490">
        <v>0.97</v>
      </c>
      <c r="AQ193" s="489">
        <v>270</v>
      </c>
      <c r="AR193" s="490">
        <v>1</v>
      </c>
      <c r="AS193" s="490">
        <v>1.02</v>
      </c>
      <c r="AT193" s="490">
        <v>1.02</v>
      </c>
      <c r="AU193" s="490">
        <v>1.01</v>
      </c>
      <c r="AV193" s="490">
        <v>0.99</v>
      </c>
      <c r="AX193" s="489">
        <v>270</v>
      </c>
      <c r="AY193" s="490">
        <v>1</v>
      </c>
      <c r="AZ193" s="490">
        <v>1.01</v>
      </c>
      <c r="BA193" s="490">
        <v>1.01</v>
      </c>
      <c r="BB193" s="490">
        <v>1.01</v>
      </c>
      <c r="BC193" s="490">
        <v>1</v>
      </c>
      <c r="BE193" s="489">
        <v>270</v>
      </c>
      <c r="BF193" s="490">
        <v>1</v>
      </c>
      <c r="BG193" s="490">
        <v>1.01</v>
      </c>
      <c r="BH193" s="490">
        <v>1.02</v>
      </c>
      <c r="BI193" s="490">
        <v>1.01</v>
      </c>
      <c r="BJ193" s="490">
        <v>1</v>
      </c>
      <c r="BL193" s="489">
        <v>270</v>
      </c>
      <c r="BM193" s="490">
        <v>1</v>
      </c>
      <c r="BN193" s="490">
        <v>1.01</v>
      </c>
      <c r="BO193" s="490">
        <v>1.01</v>
      </c>
      <c r="BP193" s="490">
        <v>0.99</v>
      </c>
      <c r="BQ193" s="490">
        <v>0.97</v>
      </c>
      <c r="BS193" s="489">
        <v>270</v>
      </c>
      <c r="BT193" s="490">
        <v>1</v>
      </c>
      <c r="BU193" s="490">
        <v>1.01</v>
      </c>
      <c r="BV193" s="490">
        <v>1.01</v>
      </c>
      <c r="BW193" s="490">
        <v>0.99</v>
      </c>
      <c r="BX193" s="490">
        <v>0.96</v>
      </c>
      <c r="BZ193" s="489">
        <v>270</v>
      </c>
      <c r="CA193" s="490">
        <v>1</v>
      </c>
      <c r="CB193" s="490">
        <v>1</v>
      </c>
      <c r="CC193" s="490">
        <v>1</v>
      </c>
      <c r="CD193" s="490">
        <v>0.98</v>
      </c>
      <c r="CE193" s="490">
        <v>0.95</v>
      </c>
      <c r="CG193" s="489">
        <v>270</v>
      </c>
      <c r="CH193" s="490">
        <v>1</v>
      </c>
      <c r="CI193" s="490">
        <v>1.01</v>
      </c>
      <c r="CJ193" s="490">
        <v>1</v>
      </c>
      <c r="CK193" s="490">
        <v>0.97</v>
      </c>
      <c r="CL193" s="490">
        <v>0.94</v>
      </c>
      <c r="CN193" s="489">
        <v>270</v>
      </c>
      <c r="CO193" s="490">
        <v>1</v>
      </c>
      <c r="CP193" s="490">
        <v>1.01</v>
      </c>
      <c r="CQ193" s="490">
        <v>1</v>
      </c>
      <c r="CR193" s="490">
        <v>0.97</v>
      </c>
      <c r="CS193" s="490">
        <v>0.93</v>
      </c>
    </row>
    <row r="194" spans="3:97" ht="15.75" thickBot="1" x14ac:dyDescent="0.3">
      <c r="C194" s="489">
        <v>20</v>
      </c>
      <c r="D194" s="490">
        <v>0.87</v>
      </c>
      <c r="E194" s="490">
        <v>0.93</v>
      </c>
      <c r="F194" s="490">
        <v>0.97</v>
      </c>
      <c r="G194" s="491">
        <v>0.99</v>
      </c>
      <c r="H194" s="490">
        <v>0.98</v>
      </c>
      <c r="I194" s="490">
        <v>0.95</v>
      </c>
      <c r="J194" s="490">
        <v>0.9</v>
      </c>
      <c r="K194" s="490">
        <v>0.83</v>
      </c>
      <c r="L194" s="490">
        <v>0.74</v>
      </c>
      <c r="M194" s="490">
        <v>0.64</v>
      </c>
      <c r="O194" s="489">
        <v>280</v>
      </c>
      <c r="P194" s="490">
        <v>1</v>
      </c>
      <c r="Q194" s="490">
        <v>1</v>
      </c>
      <c r="R194" s="490">
        <v>0.99</v>
      </c>
      <c r="S194" s="490">
        <v>0.97</v>
      </c>
      <c r="T194" s="490">
        <v>0.93</v>
      </c>
      <c r="V194" s="489">
        <v>280</v>
      </c>
      <c r="W194" s="490">
        <v>1</v>
      </c>
      <c r="X194" s="490">
        <v>1.01</v>
      </c>
      <c r="Y194" s="490">
        <v>1.01</v>
      </c>
      <c r="Z194" s="490">
        <v>0.99</v>
      </c>
      <c r="AA194" s="490">
        <v>0.96</v>
      </c>
      <c r="AC194" s="489">
        <v>280</v>
      </c>
      <c r="AD194" s="490">
        <v>1</v>
      </c>
      <c r="AE194" s="490">
        <v>1.03</v>
      </c>
      <c r="AF194" s="490">
        <v>1.03</v>
      </c>
      <c r="AG194" s="490">
        <v>1.03</v>
      </c>
      <c r="AH194" s="490">
        <v>1.01</v>
      </c>
      <c r="AJ194" s="489">
        <v>280</v>
      </c>
      <c r="AK194" s="490">
        <v>1</v>
      </c>
      <c r="AL194" s="490">
        <v>1.03</v>
      </c>
      <c r="AM194" s="490">
        <v>1.05</v>
      </c>
      <c r="AN194" s="490">
        <v>1.05</v>
      </c>
      <c r="AO194" s="490">
        <v>1.04</v>
      </c>
      <c r="AQ194" s="489">
        <v>280</v>
      </c>
      <c r="AR194" s="490">
        <v>1</v>
      </c>
      <c r="AS194" s="490">
        <v>1.05</v>
      </c>
      <c r="AT194" s="490">
        <v>1.08</v>
      </c>
      <c r="AU194" s="490">
        <v>1.1000000000000001</v>
      </c>
      <c r="AV194" s="490">
        <v>1.0900000000000001</v>
      </c>
      <c r="AX194" s="489">
        <v>280</v>
      </c>
      <c r="AY194" s="490">
        <v>1</v>
      </c>
      <c r="AZ194" s="490">
        <v>1.05</v>
      </c>
      <c r="BA194" s="490">
        <v>1.0900000000000001</v>
      </c>
      <c r="BB194" s="490">
        <v>1.1100000000000001</v>
      </c>
      <c r="BC194" s="490">
        <v>1.1100000000000001</v>
      </c>
      <c r="BE194" s="489">
        <v>280</v>
      </c>
      <c r="BF194" s="490">
        <v>1</v>
      </c>
      <c r="BG194" s="490">
        <v>1.05</v>
      </c>
      <c r="BH194" s="490">
        <v>1.0900000000000001</v>
      </c>
      <c r="BI194" s="490">
        <v>1.1100000000000001</v>
      </c>
      <c r="BJ194" s="490">
        <v>1.1100000000000001</v>
      </c>
      <c r="BL194" s="489">
        <v>280</v>
      </c>
      <c r="BM194" s="490">
        <v>1</v>
      </c>
      <c r="BN194" s="490">
        <v>1.03</v>
      </c>
      <c r="BO194" s="490">
        <v>1.06</v>
      </c>
      <c r="BP194" s="490">
        <v>1.07</v>
      </c>
      <c r="BQ194" s="490">
        <v>1.06</v>
      </c>
      <c r="BS194" s="489">
        <v>280</v>
      </c>
      <c r="BT194" s="490">
        <v>1</v>
      </c>
      <c r="BU194" s="490">
        <v>1.03</v>
      </c>
      <c r="BV194" s="490">
        <v>1.04</v>
      </c>
      <c r="BW194" s="490">
        <v>1.03</v>
      </c>
      <c r="BX194" s="490">
        <v>1.02</v>
      </c>
      <c r="BZ194" s="489">
        <v>280</v>
      </c>
      <c r="CA194" s="490">
        <v>1</v>
      </c>
      <c r="CB194" s="490">
        <v>1.01</v>
      </c>
      <c r="CC194" s="490">
        <v>1.02</v>
      </c>
      <c r="CD194" s="490">
        <v>1</v>
      </c>
      <c r="CE194" s="490">
        <v>0.98</v>
      </c>
      <c r="CG194" s="489">
        <v>280</v>
      </c>
      <c r="CH194" s="490">
        <v>1</v>
      </c>
      <c r="CI194" s="490">
        <v>1.01</v>
      </c>
      <c r="CJ194" s="490">
        <v>1</v>
      </c>
      <c r="CK194" s="490">
        <v>0.98</v>
      </c>
      <c r="CL194" s="490">
        <v>0.95</v>
      </c>
      <c r="CN194" s="489">
        <v>280</v>
      </c>
      <c r="CO194" s="490">
        <v>1</v>
      </c>
      <c r="CP194" s="490">
        <v>1.01</v>
      </c>
      <c r="CQ194" s="490">
        <v>1</v>
      </c>
      <c r="CR194" s="490">
        <v>0.98</v>
      </c>
      <c r="CS194" s="490">
        <v>0.94</v>
      </c>
    </row>
    <row r="195" spans="3:97" ht="15.75" thickBot="1" x14ac:dyDescent="0.3">
      <c r="C195" s="489">
        <v>30</v>
      </c>
      <c r="D195" s="490">
        <v>0.87</v>
      </c>
      <c r="E195" s="490">
        <v>0.93</v>
      </c>
      <c r="F195" s="490">
        <v>0.96</v>
      </c>
      <c r="G195" s="491">
        <v>0.98</v>
      </c>
      <c r="H195" s="490">
        <v>0.97</v>
      </c>
      <c r="I195" s="490">
        <v>0.94</v>
      </c>
      <c r="J195" s="490">
        <v>0.88</v>
      </c>
      <c r="K195" s="490">
        <v>0.81</v>
      </c>
      <c r="L195" s="490">
        <v>0.73</v>
      </c>
      <c r="M195" s="490">
        <v>0.63</v>
      </c>
      <c r="O195" s="489">
        <v>290</v>
      </c>
      <c r="P195" s="490">
        <v>1</v>
      </c>
      <c r="Q195" s="490">
        <v>1</v>
      </c>
      <c r="R195" s="490">
        <v>1</v>
      </c>
      <c r="S195" s="490">
        <v>0.97</v>
      </c>
      <c r="T195" s="490">
        <v>0.93</v>
      </c>
      <c r="V195" s="489">
        <v>290</v>
      </c>
      <c r="W195" s="490">
        <v>1</v>
      </c>
      <c r="X195" s="490">
        <v>1.02</v>
      </c>
      <c r="Y195" s="490">
        <v>1.02</v>
      </c>
      <c r="Z195" s="490">
        <v>1</v>
      </c>
      <c r="AA195" s="490">
        <v>0.98</v>
      </c>
      <c r="AC195" s="489">
        <v>290</v>
      </c>
      <c r="AD195" s="490">
        <v>1</v>
      </c>
      <c r="AE195" s="490">
        <v>1.04</v>
      </c>
      <c r="AF195" s="490">
        <v>1.06</v>
      </c>
      <c r="AG195" s="490">
        <v>1.06</v>
      </c>
      <c r="AH195" s="490">
        <v>1.05</v>
      </c>
      <c r="AJ195" s="489">
        <v>290</v>
      </c>
      <c r="AK195" s="490">
        <v>1</v>
      </c>
      <c r="AL195" s="490">
        <v>1.05</v>
      </c>
      <c r="AM195" s="490">
        <v>1.0900000000000001</v>
      </c>
      <c r="AN195" s="490">
        <v>1.1100000000000001</v>
      </c>
      <c r="AO195" s="490">
        <v>1.1100000000000001</v>
      </c>
      <c r="AQ195" s="489">
        <v>290</v>
      </c>
      <c r="AR195" s="490">
        <v>1</v>
      </c>
      <c r="AS195" s="490">
        <v>1.08</v>
      </c>
      <c r="AT195" s="490">
        <v>1.1399999999999999</v>
      </c>
      <c r="AU195" s="490">
        <v>1.18</v>
      </c>
      <c r="AV195" s="490">
        <v>1.2</v>
      </c>
      <c r="AX195" s="489">
        <v>290</v>
      </c>
      <c r="AY195" s="490">
        <v>1</v>
      </c>
      <c r="AZ195" s="490">
        <v>1.0900000000000001</v>
      </c>
      <c r="BA195" s="490">
        <v>1.1499999999999999</v>
      </c>
      <c r="BB195" s="490">
        <v>1.2</v>
      </c>
      <c r="BC195" s="490">
        <v>1.23</v>
      </c>
      <c r="BE195" s="489">
        <v>290</v>
      </c>
      <c r="BF195" s="490">
        <v>1</v>
      </c>
      <c r="BG195" s="490">
        <v>1.0900000000000001</v>
      </c>
      <c r="BH195" s="490">
        <v>1.1499999999999999</v>
      </c>
      <c r="BI195" s="490">
        <v>1.21</v>
      </c>
      <c r="BJ195" s="490">
        <v>1.23</v>
      </c>
      <c r="BL195" s="489">
        <v>290</v>
      </c>
      <c r="BM195" s="490">
        <v>1</v>
      </c>
      <c r="BN195" s="490">
        <v>1.06</v>
      </c>
      <c r="BO195" s="490">
        <v>1.1100000000000001</v>
      </c>
      <c r="BP195" s="490">
        <v>1.1399999999999999</v>
      </c>
      <c r="BQ195" s="490">
        <v>1.1499999999999999</v>
      </c>
      <c r="BS195" s="489">
        <v>290</v>
      </c>
      <c r="BT195" s="490">
        <v>1</v>
      </c>
      <c r="BU195" s="490">
        <v>1.04</v>
      </c>
      <c r="BV195" s="490">
        <v>1.07</v>
      </c>
      <c r="BW195" s="490">
        <v>1.08</v>
      </c>
      <c r="BX195" s="490">
        <v>1.08</v>
      </c>
      <c r="BZ195" s="489">
        <v>290</v>
      </c>
      <c r="CA195" s="490">
        <v>1</v>
      </c>
      <c r="CB195" s="490">
        <v>1.02</v>
      </c>
      <c r="CC195" s="490">
        <v>1.03</v>
      </c>
      <c r="CD195" s="490">
        <v>1.03</v>
      </c>
      <c r="CE195" s="490">
        <v>1</v>
      </c>
      <c r="CG195" s="489">
        <v>290</v>
      </c>
      <c r="CH195" s="490">
        <v>1</v>
      </c>
      <c r="CI195" s="490">
        <v>1.01</v>
      </c>
      <c r="CJ195" s="490">
        <v>1.01</v>
      </c>
      <c r="CK195" s="490">
        <v>0.99</v>
      </c>
      <c r="CL195" s="490">
        <v>0.96</v>
      </c>
      <c r="CN195" s="489">
        <v>290</v>
      </c>
      <c r="CO195" s="490">
        <v>1</v>
      </c>
      <c r="CP195" s="490">
        <v>1.01</v>
      </c>
      <c r="CQ195" s="490">
        <v>1</v>
      </c>
      <c r="CR195" s="490">
        <v>0.98</v>
      </c>
      <c r="CS195" s="490">
        <v>0.93</v>
      </c>
    </row>
    <row r="196" spans="3:97" ht="15.75" thickBot="1" x14ac:dyDescent="0.3">
      <c r="C196" s="489">
        <v>40</v>
      </c>
      <c r="D196" s="490">
        <v>0.87</v>
      </c>
      <c r="E196" s="490">
        <v>0.92</v>
      </c>
      <c r="F196" s="490">
        <v>0.95</v>
      </c>
      <c r="G196" s="491">
        <v>0.96</v>
      </c>
      <c r="H196" s="490">
        <v>0.95</v>
      </c>
      <c r="I196" s="490">
        <v>0.91</v>
      </c>
      <c r="J196" s="490">
        <v>0.86</v>
      </c>
      <c r="K196" s="490">
        <v>0.79</v>
      </c>
      <c r="L196" s="490">
        <v>0.71</v>
      </c>
      <c r="M196" s="490">
        <v>0.63</v>
      </c>
      <c r="O196" s="489">
        <v>300</v>
      </c>
      <c r="P196" s="490">
        <v>1</v>
      </c>
      <c r="Q196" s="490">
        <v>1.01</v>
      </c>
      <c r="R196" s="491">
        <v>1</v>
      </c>
      <c r="S196" s="490">
        <v>0.97</v>
      </c>
      <c r="T196" s="490">
        <v>0.93</v>
      </c>
      <c r="V196" s="489">
        <v>300</v>
      </c>
      <c r="W196" s="490">
        <v>1</v>
      </c>
      <c r="X196" s="490">
        <v>1.03</v>
      </c>
      <c r="Y196" s="491">
        <v>1.03</v>
      </c>
      <c r="Z196" s="490">
        <v>1.02</v>
      </c>
      <c r="AA196" s="490">
        <v>0.99</v>
      </c>
      <c r="AC196" s="489">
        <v>300</v>
      </c>
      <c r="AD196" s="490">
        <v>1</v>
      </c>
      <c r="AE196" s="490">
        <v>1.05</v>
      </c>
      <c r="AF196" s="491">
        <v>1.08</v>
      </c>
      <c r="AG196" s="490">
        <v>1.0900000000000001</v>
      </c>
      <c r="AH196" s="490">
        <v>1.08</v>
      </c>
      <c r="AJ196" s="489">
        <v>300</v>
      </c>
      <c r="AK196" s="490">
        <v>1</v>
      </c>
      <c r="AL196" s="490">
        <v>1.07</v>
      </c>
      <c r="AM196" s="491">
        <v>1.1299999999999999</v>
      </c>
      <c r="AN196" s="490">
        <v>1.17</v>
      </c>
      <c r="AO196" s="490">
        <v>1.18</v>
      </c>
      <c r="AQ196" s="489">
        <v>300</v>
      </c>
      <c r="AR196" s="490">
        <v>1</v>
      </c>
      <c r="AS196" s="490">
        <v>1.1100000000000001</v>
      </c>
      <c r="AT196" s="491">
        <v>1.2</v>
      </c>
      <c r="AU196" s="490">
        <v>1.26</v>
      </c>
      <c r="AV196" s="490">
        <v>1.3</v>
      </c>
      <c r="AX196" s="489">
        <v>300</v>
      </c>
      <c r="AY196" s="490">
        <v>1</v>
      </c>
      <c r="AZ196" s="490">
        <v>1.1200000000000001</v>
      </c>
      <c r="BA196" s="491">
        <v>1.22</v>
      </c>
      <c r="BB196" s="490">
        <v>1.3</v>
      </c>
      <c r="BC196" s="490">
        <v>1.34</v>
      </c>
      <c r="BE196" s="489">
        <v>300</v>
      </c>
      <c r="BF196" s="490">
        <v>1</v>
      </c>
      <c r="BG196" s="490">
        <v>1.1299999999999999</v>
      </c>
      <c r="BH196" s="491">
        <v>1.22</v>
      </c>
      <c r="BI196" s="490">
        <v>1.29</v>
      </c>
      <c r="BJ196" s="490">
        <v>1.34</v>
      </c>
      <c r="BL196" s="489">
        <v>300</v>
      </c>
      <c r="BM196" s="490">
        <v>1</v>
      </c>
      <c r="BN196" s="490">
        <v>1.0900000000000001</v>
      </c>
      <c r="BO196" s="491">
        <v>1.1599999999999999</v>
      </c>
      <c r="BP196" s="490">
        <v>1.2</v>
      </c>
      <c r="BQ196" s="490">
        <v>1.23</v>
      </c>
      <c r="BS196" s="489">
        <v>300</v>
      </c>
      <c r="BT196" s="490">
        <v>1</v>
      </c>
      <c r="BU196" s="490">
        <v>1.06</v>
      </c>
      <c r="BV196" s="491">
        <v>1.1000000000000001</v>
      </c>
      <c r="BW196" s="490">
        <v>1.1200000000000001</v>
      </c>
      <c r="BX196" s="490">
        <v>1.1200000000000001</v>
      </c>
      <c r="BZ196" s="489">
        <v>300</v>
      </c>
      <c r="CA196" s="490">
        <v>1</v>
      </c>
      <c r="CB196" s="490">
        <v>1.03</v>
      </c>
      <c r="CC196" s="491">
        <v>1.05</v>
      </c>
      <c r="CD196" s="490">
        <v>1.04</v>
      </c>
      <c r="CE196" s="490">
        <v>1.02</v>
      </c>
      <c r="CG196" s="489">
        <v>300</v>
      </c>
      <c r="CH196" s="490">
        <v>1</v>
      </c>
      <c r="CI196" s="490">
        <v>1.02</v>
      </c>
      <c r="CJ196" s="491">
        <v>1.01</v>
      </c>
      <c r="CK196" s="490">
        <v>0.99</v>
      </c>
      <c r="CL196" s="490">
        <v>0.96</v>
      </c>
      <c r="CN196" s="489">
        <v>300</v>
      </c>
      <c r="CO196" s="490">
        <v>1</v>
      </c>
      <c r="CP196" s="490">
        <v>1.01</v>
      </c>
      <c r="CQ196" s="491">
        <v>1</v>
      </c>
      <c r="CR196" s="490">
        <v>0.97</v>
      </c>
      <c r="CS196" s="490">
        <v>0.93</v>
      </c>
    </row>
    <row r="197" spans="3:97" ht="15.75" thickBot="1" x14ac:dyDescent="0.3">
      <c r="C197" s="489">
        <v>50</v>
      </c>
      <c r="D197" s="490">
        <v>0.87</v>
      </c>
      <c r="E197" s="490">
        <v>0.91</v>
      </c>
      <c r="F197" s="490">
        <v>0.94</v>
      </c>
      <c r="G197" s="491">
        <v>0.94</v>
      </c>
      <c r="H197" s="490">
        <v>0.92</v>
      </c>
      <c r="I197" s="490">
        <v>0.89</v>
      </c>
      <c r="J197" s="490">
        <v>0.84</v>
      </c>
      <c r="K197" s="490">
        <v>0.77</v>
      </c>
      <c r="L197" s="490">
        <v>0.69</v>
      </c>
      <c r="M197" s="490">
        <v>0.61</v>
      </c>
      <c r="O197" s="489">
        <v>310</v>
      </c>
      <c r="P197" s="490">
        <v>1</v>
      </c>
      <c r="Q197" s="490">
        <v>1.01</v>
      </c>
      <c r="R197" s="491">
        <v>1</v>
      </c>
      <c r="S197" s="490">
        <v>0.97</v>
      </c>
      <c r="T197" s="490">
        <v>0.93</v>
      </c>
      <c r="V197" s="489">
        <v>310</v>
      </c>
      <c r="W197" s="490">
        <v>1</v>
      </c>
      <c r="X197" s="490">
        <v>1.03</v>
      </c>
      <c r="Y197" s="491">
        <v>1.04</v>
      </c>
      <c r="Z197" s="490">
        <v>1.03</v>
      </c>
      <c r="AA197" s="490">
        <v>1</v>
      </c>
      <c r="AC197" s="489">
        <v>310</v>
      </c>
      <c r="AD197" s="490">
        <v>1</v>
      </c>
      <c r="AE197" s="490">
        <v>1.06</v>
      </c>
      <c r="AF197" s="491">
        <v>1.1000000000000001</v>
      </c>
      <c r="AG197" s="490">
        <v>1.1200000000000001</v>
      </c>
      <c r="AH197" s="490">
        <v>1.1000000000000001</v>
      </c>
      <c r="AJ197" s="489">
        <v>310</v>
      </c>
      <c r="AK197" s="490">
        <v>1</v>
      </c>
      <c r="AL197" s="490">
        <v>1.0900000000000001</v>
      </c>
      <c r="AM197" s="491">
        <v>1.17</v>
      </c>
      <c r="AN197" s="490">
        <v>1.21</v>
      </c>
      <c r="AO197" s="490">
        <v>1.23</v>
      </c>
      <c r="AQ197" s="489">
        <v>310</v>
      </c>
      <c r="AR197" s="490">
        <v>1</v>
      </c>
      <c r="AS197" s="490">
        <v>1.1399999999999999</v>
      </c>
      <c r="AT197" s="491">
        <v>1.26</v>
      </c>
      <c r="AU197" s="490">
        <v>1.34</v>
      </c>
      <c r="AV197" s="490">
        <v>1.39</v>
      </c>
      <c r="AX197" s="489">
        <v>310</v>
      </c>
      <c r="AY197" s="490">
        <v>1</v>
      </c>
      <c r="AZ197" s="490">
        <v>1.1499999999999999</v>
      </c>
      <c r="BA197" s="491">
        <v>1.28</v>
      </c>
      <c r="BB197" s="490">
        <v>1.38</v>
      </c>
      <c r="BC197" s="490">
        <v>1.45</v>
      </c>
      <c r="BE197" s="489">
        <v>310</v>
      </c>
      <c r="BF197" s="490">
        <v>1</v>
      </c>
      <c r="BG197" s="490">
        <v>1.1499999999999999</v>
      </c>
      <c r="BH197" s="491">
        <v>1.28</v>
      </c>
      <c r="BI197" s="490">
        <v>1.37</v>
      </c>
      <c r="BJ197" s="490">
        <v>1.44</v>
      </c>
      <c r="BL197" s="489">
        <v>310</v>
      </c>
      <c r="BM197" s="490">
        <v>1</v>
      </c>
      <c r="BN197" s="490">
        <v>1.1100000000000001</v>
      </c>
      <c r="BO197" s="491">
        <v>1.2</v>
      </c>
      <c r="BP197" s="490">
        <v>1.27</v>
      </c>
      <c r="BQ197" s="490">
        <v>1.3</v>
      </c>
      <c r="BS197" s="489">
        <v>310</v>
      </c>
      <c r="BT197" s="490">
        <v>1</v>
      </c>
      <c r="BU197" s="490">
        <v>1.08</v>
      </c>
      <c r="BV197" s="491">
        <v>1.1299999999999999</v>
      </c>
      <c r="BW197" s="490">
        <v>1.1599999999999999</v>
      </c>
      <c r="BX197" s="490">
        <v>1.1599999999999999</v>
      </c>
      <c r="BZ197" s="489">
        <v>310</v>
      </c>
      <c r="CA197" s="490">
        <v>1</v>
      </c>
      <c r="CB197" s="490">
        <v>1.04</v>
      </c>
      <c r="CC197" s="491">
        <v>1.06</v>
      </c>
      <c r="CD197" s="490">
        <v>1.06</v>
      </c>
      <c r="CE197" s="490">
        <v>1.04</v>
      </c>
      <c r="CG197" s="489">
        <v>310</v>
      </c>
      <c r="CH197" s="490">
        <v>1</v>
      </c>
      <c r="CI197" s="490">
        <v>1.02</v>
      </c>
      <c r="CJ197" s="491">
        <v>1.01</v>
      </c>
      <c r="CK197" s="490">
        <v>0.99</v>
      </c>
      <c r="CL197" s="490">
        <v>0.96</v>
      </c>
      <c r="CN197" s="489">
        <v>310</v>
      </c>
      <c r="CO197" s="490">
        <v>1</v>
      </c>
      <c r="CP197" s="490">
        <v>1.01</v>
      </c>
      <c r="CQ197" s="491">
        <v>1</v>
      </c>
      <c r="CR197" s="490">
        <v>0.97</v>
      </c>
      <c r="CS197" s="490">
        <v>0.92</v>
      </c>
    </row>
    <row r="198" spans="3:97" ht="15.75" thickBot="1" x14ac:dyDescent="0.3">
      <c r="C198" s="489">
        <v>60</v>
      </c>
      <c r="D198" s="490">
        <v>0.87</v>
      </c>
      <c r="E198" s="490">
        <v>0.9</v>
      </c>
      <c r="F198" s="490">
        <v>0.92</v>
      </c>
      <c r="G198" s="491">
        <v>0.91</v>
      </c>
      <c r="H198" s="490">
        <v>0.89</v>
      </c>
      <c r="I198" s="490">
        <v>0.86</v>
      </c>
      <c r="J198" s="490">
        <v>0.8</v>
      </c>
      <c r="K198" s="490">
        <v>0.74</v>
      </c>
      <c r="L198" s="490">
        <v>0.67</v>
      </c>
      <c r="M198" s="490">
        <v>0.6</v>
      </c>
      <c r="O198" s="489">
        <v>320</v>
      </c>
      <c r="P198" s="490">
        <v>1</v>
      </c>
      <c r="Q198" s="490">
        <v>1.01</v>
      </c>
      <c r="R198" s="491">
        <v>1</v>
      </c>
      <c r="S198" s="490">
        <v>0.97</v>
      </c>
      <c r="T198" s="490">
        <v>0.92</v>
      </c>
      <c r="V198" s="489">
        <v>320</v>
      </c>
      <c r="W198" s="490">
        <v>1</v>
      </c>
      <c r="X198" s="490">
        <v>1.03</v>
      </c>
      <c r="Y198" s="491">
        <v>1.05</v>
      </c>
      <c r="Z198" s="490">
        <v>1.04</v>
      </c>
      <c r="AA198" s="490">
        <v>1</v>
      </c>
      <c r="AC198" s="489">
        <v>320</v>
      </c>
      <c r="AD198" s="490">
        <v>1</v>
      </c>
      <c r="AE198" s="490">
        <v>1.07</v>
      </c>
      <c r="AF198" s="491">
        <v>1.1200000000000001</v>
      </c>
      <c r="AG198" s="490">
        <v>1.1399999999999999</v>
      </c>
      <c r="AH198" s="490">
        <v>1.1299999999999999</v>
      </c>
      <c r="AJ198" s="489">
        <v>320</v>
      </c>
      <c r="AK198" s="490">
        <v>1</v>
      </c>
      <c r="AL198" s="490">
        <v>1.1100000000000001</v>
      </c>
      <c r="AM198" s="491">
        <v>1.19</v>
      </c>
      <c r="AN198" s="490">
        <v>1.25</v>
      </c>
      <c r="AO198" s="490">
        <v>1.29</v>
      </c>
      <c r="AQ198" s="489">
        <v>320</v>
      </c>
      <c r="AR198" s="490">
        <v>1</v>
      </c>
      <c r="AS198" s="490">
        <v>1.17</v>
      </c>
      <c r="AT198" s="491">
        <v>1.3</v>
      </c>
      <c r="AU198" s="490">
        <v>1.41</v>
      </c>
      <c r="AV198" s="490">
        <v>1.48</v>
      </c>
      <c r="AX198" s="489">
        <v>320</v>
      </c>
      <c r="AY198" s="490">
        <v>1</v>
      </c>
      <c r="AZ198" s="490">
        <v>1.18</v>
      </c>
      <c r="BA198" s="491">
        <v>1.34</v>
      </c>
      <c r="BB198" s="490">
        <v>1.46</v>
      </c>
      <c r="BC198" s="490">
        <v>1.56</v>
      </c>
      <c r="BE198" s="489">
        <v>320</v>
      </c>
      <c r="BF198" s="490">
        <v>1</v>
      </c>
      <c r="BG198" s="490">
        <v>1.18</v>
      </c>
      <c r="BH198" s="491">
        <v>1.34</v>
      </c>
      <c r="BI198" s="490">
        <v>1.45</v>
      </c>
      <c r="BJ198" s="490">
        <v>1.54</v>
      </c>
      <c r="BL198" s="489">
        <v>320</v>
      </c>
      <c r="BM198" s="490">
        <v>1</v>
      </c>
      <c r="BN198" s="490">
        <v>1.1299999999999999</v>
      </c>
      <c r="BO198" s="491">
        <v>1.24</v>
      </c>
      <c r="BP198" s="490">
        <v>1.32</v>
      </c>
      <c r="BQ198" s="490">
        <v>1.37</v>
      </c>
      <c r="BS198" s="489">
        <v>320</v>
      </c>
      <c r="BT198" s="490">
        <v>1</v>
      </c>
      <c r="BU198" s="490">
        <v>1.0900000000000001</v>
      </c>
      <c r="BV198" s="491">
        <v>1.1499999999999999</v>
      </c>
      <c r="BW198" s="490">
        <v>1.18</v>
      </c>
      <c r="BX198" s="490">
        <v>1.2</v>
      </c>
      <c r="BZ198" s="489">
        <v>320</v>
      </c>
      <c r="CA198" s="490">
        <v>1</v>
      </c>
      <c r="CB198" s="490">
        <v>1.04</v>
      </c>
      <c r="CC198" s="491">
        <v>1.07</v>
      </c>
      <c r="CD198" s="490">
        <v>1.07</v>
      </c>
      <c r="CE198" s="490">
        <v>1.05</v>
      </c>
      <c r="CG198" s="489">
        <v>320</v>
      </c>
      <c r="CH198" s="490">
        <v>1</v>
      </c>
      <c r="CI198" s="490">
        <v>1.02</v>
      </c>
      <c r="CJ198" s="491">
        <v>1.02</v>
      </c>
      <c r="CK198" s="490">
        <v>1</v>
      </c>
      <c r="CL198" s="490">
        <v>0.96</v>
      </c>
      <c r="CN198" s="489">
        <v>320</v>
      </c>
      <c r="CO198" s="490">
        <v>1</v>
      </c>
      <c r="CP198" s="490">
        <v>1.01</v>
      </c>
      <c r="CQ198" s="491">
        <v>1</v>
      </c>
      <c r="CR198" s="490">
        <v>0.96</v>
      </c>
      <c r="CS198" s="490">
        <v>0.91</v>
      </c>
    </row>
    <row r="199" spans="3:97" ht="15.75" thickBot="1" x14ac:dyDescent="0.3">
      <c r="C199" s="489">
        <v>70</v>
      </c>
      <c r="D199" s="490">
        <v>0.87</v>
      </c>
      <c r="E199" s="490">
        <v>0.89</v>
      </c>
      <c r="F199" s="490">
        <v>0.9</v>
      </c>
      <c r="G199" s="491">
        <v>0.89</v>
      </c>
      <c r="H199" s="490">
        <v>0.86</v>
      </c>
      <c r="I199" s="490">
        <v>0.82</v>
      </c>
      <c r="J199" s="490">
        <v>0.77</v>
      </c>
      <c r="K199" s="490">
        <v>0.71</v>
      </c>
      <c r="L199" s="490">
        <v>0.64</v>
      </c>
      <c r="M199" s="490">
        <v>0.56999999999999995</v>
      </c>
      <c r="O199" s="489">
        <v>330</v>
      </c>
      <c r="P199" s="490">
        <v>1</v>
      </c>
      <c r="Q199" s="490">
        <v>1.01</v>
      </c>
      <c r="R199" s="491">
        <v>1</v>
      </c>
      <c r="S199" s="490">
        <v>0.97</v>
      </c>
      <c r="T199" s="490">
        <v>0.92</v>
      </c>
      <c r="V199" s="489">
        <v>330</v>
      </c>
      <c r="W199" s="490">
        <v>1</v>
      </c>
      <c r="X199" s="490">
        <v>1.04</v>
      </c>
      <c r="Y199" s="491">
        <v>1.05</v>
      </c>
      <c r="Z199" s="490">
        <v>1.04</v>
      </c>
      <c r="AA199" s="490">
        <v>1.01</v>
      </c>
      <c r="AC199" s="489">
        <v>330</v>
      </c>
      <c r="AD199" s="490">
        <v>1</v>
      </c>
      <c r="AE199" s="490">
        <v>1.08</v>
      </c>
      <c r="AF199" s="491">
        <v>1.1299999999999999</v>
      </c>
      <c r="AG199" s="490">
        <v>1.1499999999999999</v>
      </c>
      <c r="AH199" s="490">
        <v>1.1499999999999999</v>
      </c>
      <c r="AJ199" s="489">
        <v>330</v>
      </c>
      <c r="AK199" s="490">
        <v>1</v>
      </c>
      <c r="AL199" s="490">
        <v>1.1200000000000001</v>
      </c>
      <c r="AM199" s="491">
        <v>1.22</v>
      </c>
      <c r="AN199" s="490">
        <v>1.29</v>
      </c>
      <c r="AO199" s="490">
        <v>1.33</v>
      </c>
      <c r="AQ199" s="489">
        <v>330</v>
      </c>
      <c r="AR199" s="490">
        <v>1</v>
      </c>
      <c r="AS199" s="490">
        <v>1.18</v>
      </c>
      <c r="AT199" s="491">
        <v>1.34</v>
      </c>
      <c r="AU199" s="490">
        <v>1.46</v>
      </c>
      <c r="AV199" s="490">
        <v>1.55</v>
      </c>
      <c r="AX199" s="489">
        <v>330</v>
      </c>
      <c r="AY199" s="490">
        <v>1</v>
      </c>
      <c r="AZ199" s="490">
        <v>1.21</v>
      </c>
      <c r="BA199" s="491">
        <v>1.38</v>
      </c>
      <c r="BB199" s="490">
        <v>1.54</v>
      </c>
      <c r="BC199" s="490">
        <v>1.64</v>
      </c>
      <c r="BE199" s="489">
        <v>330</v>
      </c>
      <c r="BF199" s="490">
        <v>1</v>
      </c>
      <c r="BG199" s="490">
        <v>1.2</v>
      </c>
      <c r="BH199" s="491">
        <v>1.38</v>
      </c>
      <c r="BI199" s="490">
        <v>1.52</v>
      </c>
      <c r="BJ199" s="490">
        <v>1.62</v>
      </c>
      <c r="BL199" s="489">
        <v>330</v>
      </c>
      <c r="BM199" s="490">
        <v>1</v>
      </c>
      <c r="BN199" s="490">
        <v>1.1499999999999999</v>
      </c>
      <c r="BO199" s="491">
        <v>1.27</v>
      </c>
      <c r="BP199" s="490">
        <v>1.36</v>
      </c>
      <c r="BQ199" s="490">
        <v>1.43</v>
      </c>
      <c r="BS199" s="489">
        <v>330</v>
      </c>
      <c r="BT199" s="490">
        <v>1</v>
      </c>
      <c r="BU199" s="490">
        <v>1.1000000000000001</v>
      </c>
      <c r="BV199" s="491">
        <v>1.17</v>
      </c>
      <c r="BW199" s="490">
        <v>1.21</v>
      </c>
      <c r="BX199" s="490">
        <v>1.22</v>
      </c>
      <c r="BZ199" s="489">
        <v>330</v>
      </c>
      <c r="CA199" s="490">
        <v>1</v>
      </c>
      <c r="CB199" s="490">
        <v>1.05</v>
      </c>
      <c r="CC199" s="491">
        <v>1.07</v>
      </c>
      <c r="CD199" s="490">
        <v>1.08</v>
      </c>
      <c r="CE199" s="490">
        <v>1.05</v>
      </c>
      <c r="CG199" s="489">
        <v>330</v>
      </c>
      <c r="CH199" s="490">
        <v>1</v>
      </c>
      <c r="CI199" s="490">
        <v>1.02</v>
      </c>
      <c r="CJ199" s="491">
        <v>1.01</v>
      </c>
      <c r="CK199" s="490">
        <v>0.99</v>
      </c>
      <c r="CL199" s="490">
        <v>0.95</v>
      </c>
      <c r="CN199" s="489">
        <v>330</v>
      </c>
      <c r="CO199" s="490">
        <v>1</v>
      </c>
      <c r="CP199" s="490">
        <v>1.01</v>
      </c>
      <c r="CQ199" s="491">
        <v>0.99</v>
      </c>
      <c r="CR199" s="490">
        <v>0.96</v>
      </c>
      <c r="CS199" s="490">
        <v>0.9</v>
      </c>
    </row>
    <row r="200" spans="3:97" ht="15.75" thickBot="1" x14ac:dyDescent="0.3">
      <c r="C200" s="489">
        <v>80</v>
      </c>
      <c r="D200" s="490">
        <v>0.87</v>
      </c>
      <c r="E200" s="490">
        <v>0.88</v>
      </c>
      <c r="F200" s="490">
        <v>0.88</v>
      </c>
      <c r="G200" s="491">
        <v>0.86</v>
      </c>
      <c r="H200" s="490">
        <v>0.82</v>
      </c>
      <c r="I200" s="490">
        <v>0.78</v>
      </c>
      <c r="J200" s="490">
        <v>0.73</v>
      </c>
      <c r="K200" s="490">
        <v>0.68</v>
      </c>
      <c r="L200" s="490">
        <v>0.61</v>
      </c>
      <c r="M200" s="490">
        <v>0.55000000000000004</v>
      </c>
      <c r="O200" s="489">
        <v>340</v>
      </c>
      <c r="P200" s="490">
        <v>1</v>
      </c>
      <c r="Q200" s="490">
        <v>1.01</v>
      </c>
      <c r="R200" s="491">
        <v>1</v>
      </c>
      <c r="S200" s="490">
        <v>0.97</v>
      </c>
      <c r="T200" s="490">
        <v>0.91</v>
      </c>
      <c r="V200" s="489">
        <v>340</v>
      </c>
      <c r="W200" s="490">
        <v>1</v>
      </c>
      <c r="X200" s="490">
        <v>1.04</v>
      </c>
      <c r="Y200" s="491">
        <v>1.05</v>
      </c>
      <c r="Z200" s="490">
        <v>1.04</v>
      </c>
      <c r="AA200" s="490">
        <v>1.01</v>
      </c>
      <c r="AC200" s="489">
        <v>340</v>
      </c>
      <c r="AD200" s="490">
        <v>1</v>
      </c>
      <c r="AE200" s="490">
        <v>1.08</v>
      </c>
      <c r="AF200" s="491">
        <v>1.1399999999999999</v>
      </c>
      <c r="AG200" s="490">
        <v>1.1599999999999999</v>
      </c>
      <c r="AH200" s="490">
        <v>1.1599999999999999</v>
      </c>
      <c r="AJ200" s="489">
        <v>340</v>
      </c>
      <c r="AK200" s="490">
        <v>1</v>
      </c>
      <c r="AL200" s="490">
        <v>1.1299999999999999</v>
      </c>
      <c r="AM200" s="491">
        <v>1.24</v>
      </c>
      <c r="AN200" s="490">
        <v>1.32</v>
      </c>
      <c r="AO200" s="490">
        <v>1.36</v>
      </c>
      <c r="AQ200" s="489">
        <v>340</v>
      </c>
      <c r="AR200" s="490">
        <v>1</v>
      </c>
      <c r="AS200" s="490">
        <v>1.2</v>
      </c>
      <c r="AT200" s="491">
        <v>1.37</v>
      </c>
      <c r="AU200" s="490">
        <v>1.51</v>
      </c>
      <c r="AV200" s="490">
        <v>1.61</v>
      </c>
      <c r="AX200" s="489">
        <v>340</v>
      </c>
      <c r="AY200" s="490">
        <v>1</v>
      </c>
      <c r="AZ200" s="490">
        <v>1.22</v>
      </c>
      <c r="BA200" s="491">
        <v>1.42</v>
      </c>
      <c r="BB200" s="490">
        <v>1.59</v>
      </c>
      <c r="BC200" s="490">
        <v>1.7</v>
      </c>
      <c r="BE200" s="489">
        <v>340</v>
      </c>
      <c r="BF200" s="490">
        <v>1</v>
      </c>
      <c r="BG200" s="490">
        <v>1.22</v>
      </c>
      <c r="BH200" s="491">
        <v>1.41</v>
      </c>
      <c r="BI200" s="490">
        <v>1.56</v>
      </c>
      <c r="BJ200" s="490">
        <v>1.67</v>
      </c>
      <c r="BL200" s="489">
        <v>340</v>
      </c>
      <c r="BM200" s="490">
        <v>1</v>
      </c>
      <c r="BN200" s="490">
        <v>1.1599999999999999</v>
      </c>
      <c r="BO200" s="491">
        <v>1.3</v>
      </c>
      <c r="BP200" s="490">
        <v>1.41</v>
      </c>
      <c r="BQ200" s="490">
        <v>1.47</v>
      </c>
      <c r="BS200" s="489">
        <v>340</v>
      </c>
      <c r="BT200" s="490">
        <v>1</v>
      </c>
      <c r="BU200" s="490">
        <v>1.1000000000000001</v>
      </c>
      <c r="BV200" s="491">
        <v>1.18</v>
      </c>
      <c r="BW200" s="490">
        <v>1.23</v>
      </c>
      <c r="BX200" s="490">
        <v>1.24</v>
      </c>
      <c r="BZ200" s="489">
        <v>340</v>
      </c>
      <c r="CA200" s="490">
        <v>1</v>
      </c>
      <c r="CB200" s="490">
        <v>1.05</v>
      </c>
      <c r="CC200" s="491">
        <v>1.08</v>
      </c>
      <c r="CD200" s="490">
        <v>1.08</v>
      </c>
      <c r="CE200" s="490">
        <v>1.06</v>
      </c>
      <c r="CG200" s="489">
        <v>340</v>
      </c>
      <c r="CH200" s="490">
        <v>1</v>
      </c>
      <c r="CI200" s="490">
        <v>1.02</v>
      </c>
      <c r="CJ200" s="491">
        <v>1.01</v>
      </c>
      <c r="CK200" s="490">
        <v>0.99</v>
      </c>
      <c r="CL200" s="490">
        <v>0.94</v>
      </c>
      <c r="CN200" s="489">
        <v>340</v>
      </c>
      <c r="CO200" s="490">
        <v>1</v>
      </c>
      <c r="CP200" s="490">
        <v>1</v>
      </c>
      <c r="CQ200" s="491">
        <v>0.99</v>
      </c>
      <c r="CR200" s="490">
        <v>0.95</v>
      </c>
      <c r="CS200" s="490">
        <v>0.89</v>
      </c>
    </row>
    <row r="201" spans="3:97" ht="15.75" thickBot="1" x14ac:dyDescent="0.3">
      <c r="C201" s="489">
        <v>90</v>
      </c>
      <c r="D201" s="490">
        <v>0.87</v>
      </c>
      <c r="E201" s="490">
        <v>0.87</v>
      </c>
      <c r="F201" s="490">
        <v>0.86</v>
      </c>
      <c r="G201" s="491">
        <v>0.82</v>
      </c>
      <c r="H201" s="490">
        <v>0.79</v>
      </c>
      <c r="I201" s="490">
        <v>0.74</v>
      </c>
      <c r="J201" s="490">
        <v>0.69</v>
      </c>
      <c r="K201" s="490">
        <v>0.64</v>
      </c>
      <c r="L201" s="490">
        <v>0.57999999999999996</v>
      </c>
      <c r="M201" s="490">
        <v>0.52</v>
      </c>
      <c r="O201" s="489">
        <v>350</v>
      </c>
      <c r="P201" s="490">
        <v>1</v>
      </c>
      <c r="Q201" s="490">
        <v>1.01</v>
      </c>
      <c r="R201" s="491">
        <v>1</v>
      </c>
      <c r="S201" s="490">
        <v>0.96</v>
      </c>
      <c r="T201" s="490">
        <v>0.91</v>
      </c>
      <c r="V201" s="489">
        <v>350</v>
      </c>
      <c r="W201" s="490">
        <v>1</v>
      </c>
      <c r="X201" s="490">
        <v>1.04</v>
      </c>
      <c r="Y201" s="491">
        <v>1.05</v>
      </c>
      <c r="Z201" s="490">
        <v>1.04</v>
      </c>
      <c r="AA201" s="490">
        <v>1.01</v>
      </c>
      <c r="AC201" s="489">
        <v>350</v>
      </c>
      <c r="AD201" s="490">
        <v>1</v>
      </c>
      <c r="AE201" s="490">
        <v>1.08</v>
      </c>
      <c r="AF201" s="491">
        <v>1.1399999999999999</v>
      </c>
      <c r="AG201" s="490">
        <v>1.17</v>
      </c>
      <c r="AH201" s="490">
        <v>1.17</v>
      </c>
      <c r="AJ201" s="489">
        <v>350</v>
      </c>
      <c r="AK201" s="490">
        <v>1</v>
      </c>
      <c r="AL201" s="490">
        <v>1.1399999999999999</v>
      </c>
      <c r="AM201" s="491">
        <v>1.25</v>
      </c>
      <c r="AN201" s="490">
        <v>1.33</v>
      </c>
      <c r="AO201" s="490">
        <v>1.38</v>
      </c>
      <c r="AQ201" s="489">
        <v>350</v>
      </c>
      <c r="AR201" s="490">
        <v>1</v>
      </c>
      <c r="AS201" s="490">
        <v>1.21</v>
      </c>
      <c r="AT201" s="491">
        <v>1.39</v>
      </c>
      <c r="AU201" s="490">
        <v>1.54</v>
      </c>
      <c r="AV201" s="490">
        <v>1.64</v>
      </c>
      <c r="AX201" s="489">
        <v>350</v>
      </c>
      <c r="AY201" s="490">
        <v>1</v>
      </c>
      <c r="AZ201" s="490">
        <v>1.23</v>
      </c>
      <c r="BA201" s="491">
        <v>1.44</v>
      </c>
      <c r="BB201" s="490">
        <v>1.62</v>
      </c>
      <c r="BC201" s="490">
        <v>1.74</v>
      </c>
      <c r="BE201" s="489">
        <v>350</v>
      </c>
      <c r="BF201" s="490">
        <v>1</v>
      </c>
      <c r="BG201" s="490">
        <v>1.23</v>
      </c>
      <c r="BH201" s="491">
        <v>1.43</v>
      </c>
      <c r="BI201" s="490">
        <v>1.59</v>
      </c>
      <c r="BJ201" s="490">
        <v>1.71</v>
      </c>
      <c r="BL201" s="489">
        <v>350</v>
      </c>
      <c r="BM201" s="490">
        <v>1</v>
      </c>
      <c r="BN201" s="490">
        <v>1.17</v>
      </c>
      <c r="BO201" s="491">
        <v>1.31</v>
      </c>
      <c r="BP201" s="490">
        <v>1.43</v>
      </c>
      <c r="BQ201" s="490">
        <v>1.5</v>
      </c>
      <c r="BS201" s="489">
        <v>350</v>
      </c>
      <c r="BT201" s="490">
        <v>1</v>
      </c>
      <c r="BU201" s="490">
        <v>1.1100000000000001</v>
      </c>
      <c r="BV201" s="491">
        <v>1.19</v>
      </c>
      <c r="BW201" s="490">
        <v>1.24</v>
      </c>
      <c r="BX201" s="490">
        <v>1.26</v>
      </c>
      <c r="BZ201" s="489">
        <v>350</v>
      </c>
      <c r="CA201" s="490">
        <v>1</v>
      </c>
      <c r="CB201" s="490">
        <v>1.05</v>
      </c>
      <c r="CC201" s="491">
        <v>1.08</v>
      </c>
      <c r="CD201" s="490">
        <v>1.08</v>
      </c>
      <c r="CE201" s="490">
        <v>1.06</v>
      </c>
      <c r="CG201" s="489">
        <v>350</v>
      </c>
      <c r="CH201" s="490">
        <v>1</v>
      </c>
      <c r="CI201" s="490">
        <v>1.02</v>
      </c>
      <c r="CJ201" s="491">
        <v>1.01</v>
      </c>
      <c r="CK201" s="490">
        <v>0.99</v>
      </c>
      <c r="CL201" s="490">
        <v>0.94</v>
      </c>
      <c r="CN201" s="489">
        <v>350</v>
      </c>
      <c r="CO201" s="490">
        <v>1</v>
      </c>
      <c r="CP201" s="490">
        <v>1</v>
      </c>
      <c r="CQ201" s="491">
        <v>0.98</v>
      </c>
      <c r="CR201" s="490">
        <v>0.94</v>
      </c>
      <c r="CS201" s="490">
        <v>0.88</v>
      </c>
    </row>
    <row r="202" spans="3:97" ht="15.75" thickBot="1" x14ac:dyDescent="0.3">
      <c r="C202" s="489">
        <v>100</v>
      </c>
      <c r="D202" s="490">
        <v>0.87</v>
      </c>
      <c r="E202" s="490">
        <v>0.86</v>
      </c>
      <c r="F202" s="490">
        <v>0.84</v>
      </c>
      <c r="G202" s="491">
        <v>0.8</v>
      </c>
      <c r="H202" s="490">
        <v>0.75</v>
      </c>
      <c r="I202" s="490">
        <v>0.7</v>
      </c>
      <c r="J202" s="490">
        <v>0.65</v>
      </c>
      <c r="K202" s="490">
        <v>0.6</v>
      </c>
      <c r="L202" s="490">
        <v>0.54</v>
      </c>
      <c r="M202" s="490">
        <v>0.48</v>
      </c>
      <c r="O202" s="489">
        <v>0</v>
      </c>
      <c r="P202" s="490">
        <v>1</v>
      </c>
      <c r="Q202" s="490">
        <v>1.01</v>
      </c>
      <c r="R202" s="491">
        <v>1</v>
      </c>
      <c r="S202" s="490">
        <v>0.96</v>
      </c>
      <c r="T202" s="490">
        <v>0.9</v>
      </c>
      <c r="V202" s="489">
        <v>0</v>
      </c>
      <c r="W202" s="490">
        <v>1</v>
      </c>
      <c r="X202" s="490">
        <v>1.04</v>
      </c>
      <c r="Y202" s="491">
        <v>1.05</v>
      </c>
      <c r="Z202" s="490">
        <v>1.04</v>
      </c>
      <c r="AA202" s="490">
        <v>1</v>
      </c>
      <c r="AC202" s="489">
        <v>0</v>
      </c>
      <c r="AD202" s="490">
        <v>1</v>
      </c>
      <c r="AE202" s="490">
        <v>1.08</v>
      </c>
      <c r="AF202" s="491">
        <v>1.1399999999999999</v>
      </c>
      <c r="AG202" s="490">
        <v>1.17</v>
      </c>
      <c r="AH202" s="490">
        <v>1.17</v>
      </c>
      <c r="AJ202" s="489">
        <v>0</v>
      </c>
      <c r="AK202" s="490">
        <v>1</v>
      </c>
      <c r="AL202" s="490">
        <v>1.1399999999999999</v>
      </c>
      <c r="AM202" s="491">
        <v>1.25</v>
      </c>
      <c r="AN202" s="490">
        <v>1.34</v>
      </c>
      <c r="AO202" s="490">
        <v>1.39</v>
      </c>
      <c r="AQ202" s="489">
        <v>0</v>
      </c>
      <c r="AR202" s="490">
        <v>1</v>
      </c>
      <c r="AS202" s="490">
        <v>1.21</v>
      </c>
      <c r="AT202" s="491">
        <v>1.39</v>
      </c>
      <c r="AU202" s="490">
        <v>1.55</v>
      </c>
      <c r="AV202" s="490">
        <v>1.65</v>
      </c>
      <c r="AX202" s="489">
        <v>0</v>
      </c>
      <c r="AY202" s="490">
        <v>1</v>
      </c>
      <c r="AZ202" s="490">
        <v>1.24</v>
      </c>
      <c r="BA202" s="491">
        <v>1.44</v>
      </c>
      <c r="BB202" s="490">
        <v>1.63</v>
      </c>
      <c r="BC202" s="490">
        <v>1.76</v>
      </c>
      <c r="BE202" s="489">
        <v>0</v>
      </c>
      <c r="BF202" s="490">
        <v>1</v>
      </c>
      <c r="BG202" s="490">
        <v>1.24</v>
      </c>
      <c r="BH202" s="491">
        <v>1.44</v>
      </c>
      <c r="BI202" s="490">
        <v>1.6</v>
      </c>
      <c r="BJ202" s="490">
        <v>1.73</v>
      </c>
      <c r="BL202" s="489">
        <v>0</v>
      </c>
      <c r="BM202" s="490">
        <v>1</v>
      </c>
      <c r="BN202" s="490">
        <v>1.17</v>
      </c>
      <c r="BO202" s="491">
        <v>1.32</v>
      </c>
      <c r="BP202" s="490">
        <v>1.43</v>
      </c>
      <c r="BQ202" s="490">
        <v>1.5</v>
      </c>
      <c r="BS202" s="489">
        <v>0</v>
      </c>
      <c r="BT202" s="490">
        <v>1</v>
      </c>
      <c r="BU202" s="490">
        <v>1.1100000000000001</v>
      </c>
      <c r="BV202" s="491">
        <v>1.19</v>
      </c>
      <c r="BW202" s="490">
        <v>1.24</v>
      </c>
      <c r="BX202" s="490">
        <v>1.26</v>
      </c>
      <c r="BZ202" s="489">
        <v>0</v>
      </c>
      <c r="CA202" s="490">
        <v>1</v>
      </c>
      <c r="CB202" s="490">
        <v>1.05</v>
      </c>
      <c r="CC202" s="491">
        <v>1.08</v>
      </c>
      <c r="CD202" s="490">
        <v>1.08</v>
      </c>
      <c r="CE202" s="490">
        <v>1.06</v>
      </c>
      <c r="CG202" s="489">
        <v>0</v>
      </c>
      <c r="CH202" s="490">
        <v>1</v>
      </c>
      <c r="CI202" s="490">
        <v>1.02</v>
      </c>
      <c r="CJ202" s="491">
        <v>1.01</v>
      </c>
      <c r="CK202" s="490">
        <v>0.99</v>
      </c>
      <c r="CL202" s="490">
        <v>0.93</v>
      </c>
      <c r="CN202" s="489">
        <v>0</v>
      </c>
      <c r="CO202" s="490">
        <v>1</v>
      </c>
      <c r="CP202" s="490">
        <v>1</v>
      </c>
      <c r="CQ202" s="491">
        <v>0.98</v>
      </c>
      <c r="CR202" s="490">
        <v>0.94</v>
      </c>
      <c r="CS202" s="490">
        <v>0.88</v>
      </c>
    </row>
    <row r="203" spans="3:97" ht="15.75" thickBot="1" x14ac:dyDescent="0.3">
      <c r="C203" s="489">
        <v>110</v>
      </c>
      <c r="D203" s="490">
        <v>0.87</v>
      </c>
      <c r="E203" s="490">
        <v>0.85</v>
      </c>
      <c r="F203" s="490">
        <v>0.81</v>
      </c>
      <c r="G203" s="491">
        <v>0.77</v>
      </c>
      <c r="H203" s="490">
        <v>0.71</v>
      </c>
      <c r="I203" s="490">
        <v>0.66</v>
      </c>
      <c r="J203" s="490">
        <v>0.61</v>
      </c>
      <c r="K203" s="490">
        <v>0.55000000000000004</v>
      </c>
      <c r="L203" s="490">
        <v>0.5</v>
      </c>
      <c r="M203" s="490">
        <v>0.44</v>
      </c>
      <c r="O203" s="489">
        <v>10</v>
      </c>
      <c r="P203" s="490">
        <v>1</v>
      </c>
      <c r="Q203" s="490">
        <v>1.01</v>
      </c>
      <c r="R203" s="491">
        <v>1</v>
      </c>
      <c r="S203" s="490">
        <v>0.96</v>
      </c>
      <c r="T203" s="490">
        <v>0.91</v>
      </c>
      <c r="V203" s="489">
        <v>10</v>
      </c>
      <c r="W203" s="490">
        <v>1</v>
      </c>
      <c r="X203" s="490">
        <v>1.04</v>
      </c>
      <c r="Y203" s="491">
        <v>1.05</v>
      </c>
      <c r="Z203" s="490">
        <v>1.04</v>
      </c>
      <c r="AA203" s="490">
        <v>1</v>
      </c>
      <c r="AC203" s="489">
        <v>10</v>
      </c>
      <c r="AD203" s="490">
        <v>1</v>
      </c>
      <c r="AE203" s="490">
        <v>1.08</v>
      </c>
      <c r="AF203" s="491">
        <v>1.1399999999999999</v>
      </c>
      <c r="AG203" s="490">
        <v>1.1599999999999999</v>
      </c>
      <c r="AH203" s="490">
        <v>1.1599999999999999</v>
      </c>
      <c r="AJ203" s="489">
        <v>10</v>
      </c>
      <c r="AK203" s="490">
        <v>1</v>
      </c>
      <c r="AL203" s="490">
        <v>1.1399999999999999</v>
      </c>
      <c r="AM203" s="491">
        <v>1.25</v>
      </c>
      <c r="AN203" s="490">
        <v>1.33</v>
      </c>
      <c r="AO203" s="490">
        <v>1.38</v>
      </c>
      <c r="AQ203" s="489">
        <v>10</v>
      </c>
      <c r="AR203" s="490">
        <v>1</v>
      </c>
      <c r="AS203" s="490">
        <v>1.21</v>
      </c>
      <c r="AT203" s="491">
        <v>1.39</v>
      </c>
      <c r="AU203" s="490">
        <v>1.54</v>
      </c>
      <c r="AV203" s="490">
        <v>1.64</v>
      </c>
      <c r="AX203" s="489">
        <v>10</v>
      </c>
      <c r="AY203" s="490">
        <v>1</v>
      </c>
      <c r="AZ203" s="490">
        <v>1.23</v>
      </c>
      <c r="BA203" s="491">
        <v>1.44</v>
      </c>
      <c r="BB203" s="490">
        <v>1.62</v>
      </c>
      <c r="BC203" s="490">
        <v>1.75</v>
      </c>
      <c r="BE203" s="489">
        <v>10</v>
      </c>
      <c r="BF203" s="490">
        <v>1</v>
      </c>
      <c r="BG203" s="490">
        <v>1.23</v>
      </c>
      <c r="BH203" s="491">
        <v>1.43</v>
      </c>
      <c r="BI203" s="490">
        <v>1.59</v>
      </c>
      <c r="BJ203" s="490">
        <v>1.71</v>
      </c>
      <c r="BL203" s="489">
        <v>10</v>
      </c>
      <c r="BM203" s="490">
        <v>1</v>
      </c>
      <c r="BN203" s="490">
        <v>1.17</v>
      </c>
      <c r="BO203" s="491">
        <v>1.31</v>
      </c>
      <c r="BP203" s="490">
        <v>1.43</v>
      </c>
      <c r="BQ203" s="490">
        <v>1.5</v>
      </c>
      <c r="BS203" s="489">
        <v>10</v>
      </c>
      <c r="BT203" s="490">
        <v>1</v>
      </c>
      <c r="BU203" s="490">
        <v>1.1000000000000001</v>
      </c>
      <c r="BV203" s="491">
        <v>1.18</v>
      </c>
      <c r="BW203" s="490">
        <v>1.23</v>
      </c>
      <c r="BX203" s="490">
        <v>1.26</v>
      </c>
      <c r="BZ203" s="489">
        <v>10</v>
      </c>
      <c r="CA203" s="490">
        <v>1</v>
      </c>
      <c r="CB203" s="490">
        <v>1.05</v>
      </c>
      <c r="CC203" s="491">
        <v>1.08</v>
      </c>
      <c r="CD203" s="490">
        <v>1.08</v>
      </c>
      <c r="CE203" s="490">
        <v>1.05</v>
      </c>
      <c r="CG203" s="489">
        <v>10</v>
      </c>
      <c r="CH203" s="490">
        <v>1</v>
      </c>
      <c r="CI203" s="490">
        <v>1.02</v>
      </c>
      <c r="CJ203" s="491">
        <v>1.01</v>
      </c>
      <c r="CK203" s="490">
        <v>0.98</v>
      </c>
      <c r="CL203" s="490">
        <v>0.93</v>
      </c>
      <c r="CN203" s="489">
        <v>10</v>
      </c>
      <c r="CO203" s="490">
        <v>1</v>
      </c>
      <c r="CP203" s="490">
        <v>1</v>
      </c>
      <c r="CQ203" s="491">
        <v>0.98</v>
      </c>
      <c r="CR203" s="490">
        <v>0.94</v>
      </c>
      <c r="CS203" s="490">
        <v>0.88</v>
      </c>
    </row>
    <row r="204" spans="3:97" ht="15.75" thickBot="1" x14ac:dyDescent="0.3">
      <c r="C204" s="489">
        <v>120</v>
      </c>
      <c r="D204" s="490">
        <v>0.87</v>
      </c>
      <c r="E204" s="490">
        <v>0.84</v>
      </c>
      <c r="F204" s="490">
        <v>0.79</v>
      </c>
      <c r="G204" s="491">
        <v>0.73</v>
      </c>
      <c r="H204" s="490">
        <v>0.68</v>
      </c>
      <c r="I204" s="490">
        <v>0.62</v>
      </c>
      <c r="J204" s="490">
        <v>0.56000000000000005</v>
      </c>
      <c r="K204" s="490">
        <v>0.51</v>
      </c>
      <c r="L204" s="490">
        <v>0.45</v>
      </c>
      <c r="M204" s="490">
        <v>0.4</v>
      </c>
      <c r="O204" s="489">
        <v>20</v>
      </c>
      <c r="P204" s="490">
        <v>1</v>
      </c>
      <c r="Q204" s="490">
        <v>1.01</v>
      </c>
      <c r="R204" s="491">
        <v>1</v>
      </c>
      <c r="S204" s="490">
        <v>0.96</v>
      </c>
      <c r="T204" s="490">
        <v>0.91</v>
      </c>
      <c r="V204" s="489">
        <v>20</v>
      </c>
      <c r="W204" s="490">
        <v>1</v>
      </c>
      <c r="X204" s="490">
        <v>1.04</v>
      </c>
      <c r="Y204" s="491">
        <v>1.05</v>
      </c>
      <c r="Z204" s="490">
        <v>1.04</v>
      </c>
      <c r="AA204" s="490">
        <v>1</v>
      </c>
      <c r="AC204" s="489">
        <v>20</v>
      </c>
      <c r="AD204" s="490">
        <v>1</v>
      </c>
      <c r="AE204" s="490">
        <v>1.08</v>
      </c>
      <c r="AF204" s="491">
        <v>1.1299999999999999</v>
      </c>
      <c r="AG204" s="490">
        <v>1.1499999999999999</v>
      </c>
      <c r="AH204" s="490">
        <v>1.1499999999999999</v>
      </c>
      <c r="AJ204" s="489">
        <v>20</v>
      </c>
      <c r="AK204" s="490">
        <v>1</v>
      </c>
      <c r="AL204" s="490">
        <v>1.1299999999999999</v>
      </c>
      <c r="AM204" s="491">
        <v>1.24</v>
      </c>
      <c r="AN204" s="490">
        <v>1.31</v>
      </c>
      <c r="AO204" s="490">
        <v>1.36</v>
      </c>
      <c r="AQ204" s="489">
        <v>20</v>
      </c>
      <c r="AR204" s="490">
        <v>1</v>
      </c>
      <c r="AS204" s="490">
        <v>1.2</v>
      </c>
      <c r="AT204" s="491">
        <v>1.37</v>
      </c>
      <c r="AU204" s="490">
        <v>1.5</v>
      </c>
      <c r="AV204" s="490">
        <v>1.61</v>
      </c>
      <c r="AX204" s="489">
        <v>20</v>
      </c>
      <c r="AY204" s="490">
        <v>1</v>
      </c>
      <c r="AZ204" s="490">
        <v>1.22</v>
      </c>
      <c r="BA204" s="491">
        <v>1.42</v>
      </c>
      <c r="BB204" s="490">
        <v>1.59</v>
      </c>
      <c r="BC204" s="490">
        <v>1.71</v>
      </c>
      <c r="BE204" s="489">
        <v>20</v>
      </c>
      <c r="BF204" s="490">
        <v>1</v>
      </c>
      <c r="BG204" s="490">
        <v>1.22</v>
      </c>
      <c r="BH204" s="491">
        <v>1.41</v>
      </c>
      <c r="BI204" s="490">
        <v>1.56</v>
      </c>
      <c r="BJ204" s="490">
        <v>1.67</v>
      </c>
      <c r="BL204" s="489">
        <v>20</v>
      </c>
      <c r="BM204" s="490">
        <v>1</v>
      </c>
      <c r="BN204" s="490">
        <v>1.1599999999999999</v>
      </c>
      <c r="BO204" s="491">
        <v>1.3</v>
      </c>
      <c r="BP204" s="490">
        <v>1.4</v>
      </c>
      <c r="BQ204" s="490">
        <v>1.47</v>
      </c>
      <c r="BS204" s="489">
        <v>20</v>
      </c>
      <c r="BT204" s="490">
        <v>1</v>
      </c>
      <c r="BU204" s="490">
        <v>1.1000000000000001</v>
      </c>
      <c r="BV204" s="491">
        <v>1.17</v>
      </c>
      <c r="BW204" s="490">
        <v>1.22</v>
      </c>
      <c r="BX204" s="490">
        <v>1.23</v>
      </c>
      <c r="BZ204" s="489">
        <v>20</v>
      </c>
      <c r="CA204" s="490">
        <v>1</v>
      </c>
      <c r="CB204" s="490">
        <v>1.05</v>
      </c>
      <c r="CC204" s="491">
        <v>1.07</v>
      </c>
      <c r="CD204" s="490">
        <v>1.07</v>
      </c>
      <c r="CE204" s="490">
        <v>1.05</v>
      </c>
      <c r="CG204" s="489">
        <v>20</v>
      </c>
      <c r="CH204" s="490">
        <v>1</v>
      </c>
      <c r="CI204" s="490">
        <v>1.02</v>
      </c>
      <c r="CJ204" s="491">
        <v>1.01</v>
      </c>
      <c r="CK204" s="490">
        <v>0.98</v>
      </c>
      <c r="CL204" s="490">
        <v>0.93</v>
      </c>
      <c r="CN204" s="489">
        <v>20</v>
      </c>
      <c r="CO204" s="490">
        <v>1</v>
      </c>
      <c r="CP204" s="490">
        <v>1</v>
      </c>
      <c r="CQ204" s="491">
        <v>0.98</v>
      </c>
      <c r="CR204" s="490">
        <v>0.94</v>
      </c>
      <c r="CS204" s="490">
        <v>0.88</v>
      </c>
    </row>
    <row r="205" spans="3:97" ht="15.75" thickBot="1" x14ac:dyDescent="0.3">
      <c r="C205" s="489">
        <v>130</v>
      </c>
      <c r="D205" s="490">
        <v>0.87</v>
      </c>
      <c r="E205" s="490">
        <v>0.83</v>
      </c>
      <c r="F205" s="490">
        <v>0.77</v>
      </c>
      <c r="G205" s="491">
        <v>0.71</v>
      </c>
      <c r="H205" s="490">
        <v>0.64</v>
      </c>
      <c r="I205" s="490">
        <v>0.56999999999999995</v>
      </c>
      <c r="J205" s="490">
        <v>0.52</v>
      </c>
      <c r="K205" s="490">
        <v>0.46</v>
      </c>
      <c r="L205" s="490">
        <v>0.41</v>
      </c>
      <c r="M205" s="490">
        <v>0.37</v>
      </c>
      <c r="O205" s="489">
        <v>30</v>
      </c>
      <c r="P205" s="490">
        <v>1</v>
      </c>
      <c r="Q205" s="490">
        <v>1.01</v>
      </c>
      <c r="R205" s="491">
        <v>1</v>
      </c>
      <c r="S205" s="490">
        <v>0.97</v>
      </c>
      <c r="T205" s="490">
        <v>0.92</v>
      </c>
      <c r="V205" s="489">
        <v>30</v>
      </c>
      <c r="W205" s="490">
        <v>1</v>
      </c>
      <c r="X205" s="490">
        <v>1.03</v>
      </c>
      <c r="Y205" s="491">
        <v>1.05</v>
      </c>
      <c r="Z205" s="490">
        <v>1.03</v>
      </c>
      <c r="AA205" s="490">
        <v>1</v>
      </c>
      <c r="AC205" s="489">
        <v>30</v>
      </c>
      <c r="AD205" s="490">
        <v>1</v>
      </c>
      <c r="AE205" s="490">
        <v>1.07</v>
      </c>
      <c r="AF205" s="491">
        <v>1.1200000000000001</v>
      </c>
      <c r="AG205" s="490">
        <v>1.1399999999999999</v>
      </c>
      <c r="AH205" s="490">
        <v>1.1399999999999999</v>
      </c>
      <c r="AJ205" s="489">
        <v>30</v>
      </c>
      <c r="AK205" s="490">
        <v>1</v>
      </c>
      <c r="AL205" s="490">
        <v>1.1200000000000001</v>
      </c>
      <c r="AM205" s="491">
        <v>1.22</v>
      </c>
      <c r="AN205" s="490">
        <v>1.29</v>
      </c>
      <c r="AO205" s="490">
        <v>1.33</v>
      </c>
      <c r="AQ205" s="489">
        <v>30</v>
      </c>
      <c r="AR205" s="490">
        <v>1</v>
      </c>
      <c r="AS205" s="490">
        <v>1.18</v>
      </c>
      <c r="AT205" s="491">
        <v>1.34</v>
      </c>
      <c r="AU205" s="490">
        <v>1.46</v>
      </c>
      <c r="AV205" s="490">
        <v>1.55</v>
      </c>
      <c r="AX205" s="489">
        <v>30</v>
      </c>
      <c r="AY205" s="490">
        <v>1</v>
      </c>
      <c r="AZ205" s="490">
        <v>1.21</v>
      </c>
      <c r="BA205" s="491">
        <v>1.39</v>
      </c>
      <c r="BB205" s="490">
        <v>1.54</v>
      </c>
      <c r="BC205" s="490">
        <v>1.65</v>
      </c>
      <c r="BE205" s="489">
        <v>30</v>
      </c>
      <c r="BF205" s="490">
        <v>1</v>
      </c>
      <c r="BG205" s="490">
        <v>1.2</v>
      </c>
      <c r="BH205" s="491">
        <v>1.37</v>
      </c>
      <c r="BI205" s="490">
        <v>1.52</v>
      </c>
      <c r="BJ205" s="490">
        <v>1.62</v>
      </c>
      <c r="BL205" s="489">
        <v>30</v>
      </c>
      <c r="BM205" s="490">
        <v>1</v>
      </c>
      <c r="BN205" s="490">
        <v>1.1499999999999999</v>
      </c>
      <c r="BO205" s="491">
        <v>1.27</v>
      </c>
      <c r="BP205" s="490">
        <v>1.36</v>
      </c>
      <c r="BQ205" s="490">
        <v>1.43</v>
      </c>
      <c r="BS205" s="489">
        <v>30</v>
      </c>
      <c r="BT205" s="490">
        <v>1</v>
      </c>
      <c r="BU205" s="490">
        <v>1.0900000000000001</v>
      </c>
      <c r="BV205" s="491">
        <v>1.1599999999999999</v>
      </c>
      <c r="BW205" s="490">
        <v>1.2</v>
      </c>
      <c r="BX205" s="490">
        <v>1.21</v>
      </c>
      <c r="BZ205" s="489">
        <v>30</v>
      </c>
      <c r="CA205" s="490">
        <v>1</v>
      </c>
      <c r="CB205" s="490">
        <v>1.04</v>
      </c>
      <c r="CC205" s="491">
        <v>1.06</v>
      </c>
      <c r="CD205" s="490">
        <v>1.07</v>
      </c>
      <c r="CE205" s="490">
        <v>1.04</v>
      </c>
      <c r="CG205" s="489">
        <v>30</v>
      </c>
      <c r="CH205" s="490">
        <v>1</v>
      </c>
      <c r="CI205" s="490">
        <v>1.01</v>
      </c>
      <c r="CJ205" s="491">
        <v>1.01</v>
      </c>
      <c r="CK205" s="490">
        <v>0.98</v>
      </c>
      <c r="CL205" s="490">
        <v>0.94</v>
      </c>
      <c r="CN205" s="489">
        <v>30</v>
      </c>
      <c r="CO205" s="490">
        <v>1</v>
      </c>
      <c r="CP205" s="490">
        <v>1</v>
      </c>
      <c r="CQ205" s="491">
        <v>0.98</v>
      </c>
      <c r="CR205" s="490">
        <v>0.94</v>
      </c>
      <c r="CS205" s="490">
        <v>0.89</v>
      </c>
    </row>
    <row r="206" spans="3:97" ht="15.75" thickBot="1" x14ac:dyDescent="0.3">
      <c r="C206" s="489">
        <v>140</v>
      </c>
      <c r="D206" s="490">
        <v>0.87</v>
      </c>
      <c r="E206" s="490">
        <v>0.82</v>
      </c>
      <c r="F206" s="490">
        <v>0.76</v>
      </c>
      <c r="G206" s="491">
        <v>0.68</v>
      </c>
      <c r="H206" s="490">
        <v>0.61</v>
      </c>
      <c r="I206" s="490">
        <v>0.54</v>
      </c>
      <c r="J206" s="490">
        <v>0.47</v>
      </c>
      <c r="K206" s="490">
        <v>0.42</v>
      </c>
      <c r="L206" s="490">
        <v>0.37</v>
      </c>
      <c r="M206" s="490">
        <v>0.34</v>
      </c>
      <c r="O206" s="489">
        <v>40</v>
      </c>
      <c r="P206" s="490">
        <v>1</v>
      </c>
      <c r="Q206" s="490">
        <v>1.01</v>
      </c>
      <c r="R206" s="491">
        <v>1</v>
      </c>
      <c r="S206" s="490">
        <v>0.97</v>
      </c>
      <c r="T206" s="490">
        <v>0.92</v>
      </c>
      <c r="V206" s="489">
        <v>40</v>
      </c>
      <c r="W206" s="490">
        <v>1</v>
      </c>
      <c r="X206" s="490">
        <v>1.03</v>
      </c>
      <c r="Y206" s="491">
        <v>1.04</v>
      </c>
      <c r="Z206" s="490">
        <v>1.02</v>
      </c>
      <c r="AA206" s="490">
        <v>1</v>
      </c>
      <c r="AC206" s="489">
        <v>40</v>
      </c>
      <c r="AD206" s="490">
        <v>1</v>
      </c>
      <c r="AE206" s="490">
        <v>1.07</v>
      </c>
      <c r="AF206" s="491">
        <v>1.1000000000000001</v>
      </c>
      <c r="AG206" s="490">
        <v>1.1200000000000001</v>
      </c>
      <c r="AH206" s="490">
        <v>1.1200000000000001</v>
      </c>
      <c r="AJ206" s="489">
        <v>40</v>
      </c>
      <c r="AK206" s="490">
        <v>1</v>
      </c>
      <c r="AL206" s="490">
        <v>1.1100000000000001</v>
      </c>
      <c r="AM206" s="491">
        <v>1.19</v>
      </c>
      <c r="AN206" s="490">
        <v>1.25</v>
      </c>
      <c r="AO206" s="490">
        <v>1.28</v>
      </c>
      <c r="AQ206" s="489">
        <v>40</v>
      </c>
      <c r="AR206" s="490">
        <v>1</v>
      </c>
      <c r="AS206" s="490">
        <v>1.17</v>
      </c>
      <c r="AT206" s="491">
        <v>1.3</v>
      </c>
      <c r="AU206" s="490">
        <v>1.4</v>
      </c>
      <c r="AV206" s="490">
        <v>1.48</v>
      </c>
      <c r="AX206" s="489">
        <v>40</v>
      </c>
      <c r="AY206" s="490">
        <v>1</v>
      </c>
      <c r="AZ206" s="490">
        <v>1.18</v>
      </c>
      <c r="BA206" s="491">
        <v>1.34</v>
      </c>
      <c r="BB206" s="490">
        <v>1.47</v>
      </c>
      <c r="BC206" s="490">
        <v>1.56</v>
      </c>
      <c r="BE206" s="489">
        <v>40</v>
      </c>
      <c r="BF206" s="490">
        <v>1</v>
      </c>
      <c r="BG206" s="490">
        <v>1.18</v>
      </c>
      <c r="BH206" s="491">
        <v>1.34</v>
      </c>
      <c r="BI206" s="490">
        <v>1.45</v>
      </c>
      <c r="BJ206" s="490">
        <v>1.54</v>
      </c>
      <c r="BL206" s="489">
        <v>40</v>
      </c>
      <c r="BM206" s="490">
        <v>1</v>
      </c>
      <c r="BN206" s="490">
        <v>1.1299999999999999</v>
      </c>
      <c r="BO206" s="491">
        <v>1.24</v>
      </c>
      <c r="BP206" s="490">
        <v>1.32</v>
      </c>
      <c r="BQ206" s="490">
        <v>1.37</v>
      </c>
      <c r="BS206" s="489">
        <v>40</v>
      </c>
      <c r="BT206" s="490">
        <v>1</v>
      </c>
      <c r="BU206" s="490">
        <v>1.08</v>
      </c>
      <c r="BV206" s="491">
        <v>1.1399999999999999</v>
      </c>
      <c r="BW206" s="490">
        <v>1.17</v>
      </c>
      <c r="BX206" s="490">
        <v>1.18</v>
      </c>
      <c r="BZ206" s="489">
        <v>40</v>
      </c>
      <c r="CA206" s="490">
        <v>1</v>
      </c>
      <c r="CB206" s="490">
        <v>1.04</v>
      </c>
      <c r="CC206" s="491">
        <v>1.05</v>
      </c>
      <c r="CD206" s="490">
        <v>1.06</v>
      </c>
      <c r="CE206" s="490">
        <v>1.03</v>
      </c>
      <c r="CG206" s="489">
        <v>40</v>
      </c>
      <c r="CH206" s="490">
        <v>1</v>
      </c>
      <c r="CI206" s="490">
        <v>1.01</v>
      </c>
      <c r="CJ206" s="491">
        <v>1.01</v>
      </c>
      <c r="CK206" s="490">
        <v>0.98</v>
      </c>
      <c r="CL206" s="490">
        <v>0.94</v>
      </c>
      <c r="CN206" s="489">
        <v>40</v>
      </c>
      <c r="CO206" s="490">
        <v>1</v>
      </c>
      <c r="CP206" s="490">
        <v>1</v>
      </c>
      <c r="CQ206" s="491">
        <v>0.98</v>
      </c>
      <c r="CR206" s="490">
        <v>0.94</v>
      </c>
      <c r="CS206" s="490">
        <v>0.89</v>
      </c>
    </row>
    <row r="207" spans="3:97" ht="15.75" thickBot="1" x14ac:dyDescent="0.3">
      <c r="C207" s="489">
        <v>150</v>
      </c>
      <c r="D207" s="490">
        <v>0.87</v>
      </c>
      <c r="E207" s="490">
        <v>0.81</v>
      </c>
      <c r="F207" s="490">
        <v>0.74</v>
      </c>
      <c r="G207" s="491">
        <v>0.66</v>
      </c>
      <c r="H207" s="490">
        <v>0.57999999999999996</v>
      </c>
      <c r="I207" s="490">
        <v>0.5</v>
      </c>
      <c r="J207" s="490">
        <v>0.44</v>
      </c>
      <c r="K207" s="490">
        <v>0.38</v>
      </c>
      <c r="L207" s="490">
        <v>0.34</v>
      </c>
      <c r="M207" s="490">
        <v>0.3</v>
      </c>
      <c r="O207" s="489">
        <v>50</v>
      </c>
      <c r="P207" s="490">
        <v>1</v>
      </c>
      <c r="Q207" s="490">
        <v>1.01</v>
      </c>
      <c r="R207" s="491">
        <v>1</v>
      </c>
      <c r="S207" s="490">
        <v>0.97</v>
      </c>
      <c r="T207" s="490">
        <v>0.92</v>
      </c>
      <c r="V207" s="489">
        <v>50</v>
      </c>
      <c r="W207" s="490">
        <v>1</v>
      </c>
      <c r="X207" s="490">
        <v>1.02</v>
      </c>
      <c r="Y207" s="491">
        <v>1.03</v>
      </c>
      <c r="Z207" s="490">
        <v>1.02</v>
      </c>
      <c r="AA207" s="490">
        <v>0.99</v>
      </c>
      <c r="AC207" s="489">
        <v>50</v>
      </c>
      <c r="AD207" s="490">
        <v>1</v>
      </c>
      <c r="AE207" s="490">
        <v>1.05</v>
      </c>
      <c r="AF207" s="491">
        <v>1.08</v>
      </c>
      <c r="AG207" s="490">
        <v>1.1000000000000001</v>
      </c>
      <c r="AH207" s="490">
        <v>1.0900000000000001</v>
      </c>
      <c r="AJ207" s="489">
        <v>50</v>
      </c>
      <c r="AK207" s="490">
        <v>1</v>
      </c>
      <c r="AL207" s="490">
        <v>1.0900000000000001</v>
      </c>
      <c r="AM207" s="491">
        <v>1.1599999999999999</v>
      </c>
      <c r="AN207" s="490">
        <v>1.21</v>
      </c>
      <c r="AO207" s="490">
        <v>1.23</v>
      </c>
      <c r="AQ207" s="489">
        <v>50</v>
      </c>
      <c r="AR207" s="490">
        <v>1</v>
      </c>
      <c r="AS207" s="490">
        <v>1.1399999999999999</v>
      </c>
      <c r="AT207" s="491">
        <v>1.25</v>
      </c>
      <c r="AU207" s="490">
        <v>1.34</v>
      </c>
      <c r="AV207" s="490">
        <v>1.39</v>
      </c>
      <c r="AX207" s="489">
        <v>50</v>
      </c>
      <c r="AY207" s="490">
        <v>1</v>
      </c>
      <c r="AZ207" s="490">
        <v>1.1599999999999999</v>
      </c>
      <c r="BA207" s="491">
        <v>1.29</v>
      </c>
      <c r="BB207" s="490">
        <v>1.39</v>
      </c>
      <c r="BC207" s="490">
        <v>1.46</v>
      </c>
      <c r="BE207" s="489">
        <v>50</v>
      </c>
      <c r="BF207" s="490">
        <v>1</v>
      </c>
      <c r="BG207" s="490">
        <v>1.1499999999999999</v>
      </c>
      <c r="BH207" s="491">
        <v>1.28</v>
      </c>
      <c r="BI207" s="490">
        <v>1.37</v>
      </c>
      <c r="BJ207" s="490">
        <v>1.44</v>
      </c>
      <c r="BL207" s="489">
        <v>50</v>
      </c>
      <c r="BM207" s="490">
        <v>1</v>
      </c>
      <c r="BN207" s="490">
        <v>1.1100000000000001</v>
      </c>
      <c r="BO207" s="491">
        <v>1.2</v>
      </c>
      <c r="BP207" s="490">
        <v>1.27</v>
      </c>
      <c r="BQ207" s="490">
        <v>1.3</v>
      </c>
      <c r="BS207" s="489">
        <v>50</v>
      </c>
      <c r="BT207" s="490">
        <v>1</v>
      </c>
      <c r="BU207" s="490">
        <v>1.07</v>
      </c>
      <c r="BV207" s="491">
        <v>1.1100000000000001</v>
      </c>
      <c r="BW207" s="490">
        <v>1.1399999999999999</v>
      </c>
      <c r="BX207" s="490">
        <v>1.1399999999999999</v>
      </c>
      <c r="BZ207" s="489">
        <v>50</v>
      </c>
      <c r="CA207" s="490">
        <v>1</v>
      </c>
      <c r="CB207" s="490">
        <v>1.03</v>
      </c>
      <c r="CC207" s="491">
        <v>1.04</v>
      </c>
      <c r="CD207" s="490">
        <v>1.04</v>
      </c>
      <c r="CE207" s="490">
        <v>1.02</v>
      </c>
      <c r="CG207" s="489">
        <v>50</v>
      </c>
      <c r="CH207" s="490">
        <v>1</v>
      </c>
      <c r="CI207" s="490">
        <v>1.01</v>
      </c>
      <c r="CJ207" s="491">
        <v>1</v>
      </c>
      <c r="CK207" s="490">
        <v>0.98</v>
      </c>
      <c r="CL207" s="490">
        <v>0.94</v>
      </c>
      <c r="CN207" s="489">
        <v>50</v>
      </c>
      <c r="CO207" s="490">
        <v>1</v>
      </c>
      <c r="CP207" s="490">
        <v>1</v>
      </c>
      <c r="CQ207" s="491">
        <v>0.98</v>
      </c>
      <c r="CR207" s="490">
        <v>0.95</v>
      </c>
      <c r="CS207" s="490">
        <v>0.9</v>
      </c>
    </row>
    <row r="208" spans="3:97" ht="15.75" thickBot="1" x14ac:dyDescent="0.3">
      <c r="C208" s="489">
        <v>160</v>
      </c>
      <c r="D208" s="490">
        <v>0.87</v>
      </c>
      <c r="E208" s="490">
        <v>0.81</v>
      </c>
      <c r="F208" s="490">
        <v>0.73</v>
      </c>
      <c r="G208" s="491">
        <v>0.65</v>
      </c>
      <c r="H208" s="490">
        <v>0.56000000000000005</v>
      </c>
      <c r="I208" s="490">
        <v>0.48</v>
      </c>
      <c r="J208" s="490">
        <v>0.41</v>
      </c>
      <c r="K208" s="490">
        <v>0.35</v>
      </c>
      <c r="L208" s="490">
        <v>0.31</v>
      </c>
      <c r="M208" s="490">
        <v>0.28000000000000003</v>
      </c>
      <c r="O208" s="489">
        <v>60</v>
      </c>
      <c r="P208" s="490">
        <v>1</v>
      </c>
      <c r="Q208" s="490">
        <v>1</v>
      </c>
      <c r="R208" s="491">
        <v>1</v>
      </c>
      <c r="S208" s="490">
        <v>0.97</v>
      </c>
      <c r="T208" s="490">
        <v>0.92</v>
      </c>
      <c r="V208" s="489">
        <v>60</v>
      </c>
      <c r="W208" s="490">
        <v>1</v>
      </c>
      <c r="X208" s="490">
        <v>1.02</v>
      </c>
      <c r="Y208" s="491">
        <v>1.02</v>
      </c>
      <c r="Z208" s="490">
        <v>1</v>
      </c>
      <c r="AA208" s="490">
        <v>0.97</v>
      </c>
      <c r="AC208" s="489">
        <v>60</v>
      </c>
      <c r="AD208" s="490">
        <v>1</v>
      </c>
      <c r="AE208" s="490">
        <v>1.04</v>
      </c>
      <c r="AF208" s="491">
        <v>1.07</v>
      </c>
      <c r="AG208" s="490">
        <v>1.07</v>
      </c>
      <c r="AH208" s="490">
        <v>1.05</v>
      </c>
      <c r="AJ208" s="489">
        <v>60</v>
      </c>
      <c r="AK208" s="490">
        <v>1</v>
      </c>
      <c r="AL208" s="490">
        <v>1.07</v>
      </c>
      <c r="AM208" s="491">
        <v>1.1299999999999999</v>
      </c>
      <c r="AN208" s="490">
        <v>1.1599999999999999</v>
      </c>
      <c r="AO208" s="490">
        <v>1.17</v>
      </c>
      <c r="AQ208" s="489">
        <v>60</v>
      </c>
      <c r="AR208" s="490">
        <v>1</v>
      </c>
      <c r="AS208" s="490">
        <v>1.1100000000000001</v>
      </c>
      <c r="AT208" s="491">
        <v>1.2</v>
      </c>
      <c r="AU208" s="490">
        <v>1.26</v>
      </c>
      <c r="AV208" s="490">
        <v>1.3</v>
      </c>
      <c r="AX208" s="489">
        <v>60</v>
      </c>
      <c r="AY208" s="490">
        <v>1</v>
      </c>
      <c r="AZ208" s="490">
        <v>1.1200000000000001</v>
      </c>
      <c r="BA208" s="491">
        <v>1.23</v>
      </c>
      <c r="BB208" s="490">
        <v>1.31</v>
      </c>
      <c r="BC208" s="490">
        <v>1.35</v>
      </c>
      <c r="BE208" s="489">
        <v>60</v>
      </c>
      <c r="BF208" s="490">
        <v>1</v>
      </c>
      <c r="BG208" s="490">
        <v>1.1299999999999999</v>
      </c>
      <c r="BH208" s="491">
        <v>1.22</v>
      </c>
      <c r="BI208" s="490">
        <v>1.29</v>
      </c>
      <c r="BJ208" s="490">
        <v>1.34</v>
      </c>
      <c r="BL208" s="489">
        <v>60</v>
      </c>
      <c r="BM208" s="490">
        <v>1</v>
      </c>
      <c r="BN208" s="490">
        <v>1.0900000000000001</v>
      </c>
      <c r="BO208" s="491">
        <v>1.1599999999999999</v>
      </c>
      <c r="BP208" s="490">
        <v>1.2</v>
      </c>
      <c r="BQ208" s="490">
        <v>1.23</v>
      </c>
      <c r="BS208" s="489">
        <v>60</v>
      </c>
      <c r="BT208" s="490">
        <v>1</v>
      </c>
      <c r="BU208" s="490">
        <v>1.05</v>
      </c>
      <c r="BV208" s="491">
        <v>1.0900000000000001</v>
      </c>
      <c r="BW208" s="490">
        <v>1.1000000000000001</v>
      </c>
      <c r="BX208" s="490">
        <v>1.1000000000000001</v>
      </c>
      <c r="BZ208" s="489">
        <v>60</v>
      </c>
      <c r="CA208" s="490">
        <v>1</v>
      </c>
      <c r="CB208" s="490">
        <v>1.02</v>
      </c>
      <c r="CC208" s="491">
        <v>1.03</v>
      </c>
      <c r="CD208" s="490">
        <v>1.02</v>
      </c>
      <c r="CE208" s="490">
        <v>1</v>
      </c>
      <c r="CG208" s="489">
        <v>60</v>
      </c>
      <c r="CH208" s="490">
        <v>1</v>
      </c>
      <c r="CI208" s="490">
        <v>1.01</v>
      </c>
      <c r="CJ208" s="491">
        <v>1</v>
      </c>
      <c r="CK208" s="490">
        <v>0.98</v>
      </c>
      <c r="CL208" s="490">
        <v>0.94</v>
      </c>
      <c r="CN208" s="489">
        <v>60</v>
      </c>
      <c r="CO208" s="490">
        <v>1</v>
      </c>
      <c r="CP208" s="490">
        <v>1</v>
      </c>
      <c r="CQ208" s="491">
        <v>0.98</v>
      </c>
      <c r="CR208" s="490">
        <v>0.95</v>
      </c>
      <c r="CS208" s="490">
        <v>0.9</v>
      </c>
    </row>
    <row r="209" spans="3:97" ht="15.75" thickBot="1" x14ac:dyDescent="0.3">
      <c r="C209" s="489">
        <v>170</v>
      </c>
      <c r="D209" s="490">
        <v>0.87</v>
      </c>
      <c r="E209" s="490">
        <v>0.81</v>
      </c>
      <c r="F209" s="490">
        <v>0.73</v>
      </c>
      <c r="G209" s="491">
        <v>0.64</v>
      </c>
      <c r="H209" s="490">
        <v>0.55000000000000004</v>
      </c>
      <c r="I209" s="490">
        <v>0.47</v>
      </c>
      <c r="J209" s="490">
        <v>0.39</v>
      </c>
      <c r="K209" s="490">
        <v>0.34</v>
      </c>
      <c r="L209" s="490">
        <v>0.28999999999999998</v>
      </c>
      <c r="M209" s="490">
        <v>0.27</v>
      </c>
      <c r="O209" s="489">
        <v>70</v>
      </c>
      <c r="P209" s="490">
        <v>1</v>
      </c>
      <c r="Q209" s="490">
        <v>1</v>
      </c>
      <c r="R209" s="491">
        <v>0.99</v>
      </c>
      <c r="S209" s="490">
        <v>0.96</v>
      </c>
      <c r="T209" s="490">
        <v>0.92</v>
      </c>
      <c r="V209" s="489">
        <v>70</v>
      </c>
      <c r="W209" s="490">
        <v>1</v>
      </c>
      <c r="X209" s="490">
        <v>1.01</v>
      </c>
      <c r="Y209" s="491">
        <v>1.01</v>
      </c>
      <c r="Z209" s="490">
        <v>1</v>
      </c>
      <c r="AA209" s="490">
        <v>0.96</v>
      </c>
      <c r="AC209" s="489">
        <v>70</v>
      </c>
      <c r="AD209" s="490">
        <v>1</v>
      </c>
      <c r="AE209" s="490">
        <v>1.03</v>
      </c>
      <c r="AF209" s="491">
        <v>1.04</v>
      </c>
      <c r="AG209" s="490">
        <v>1.04</v>
      </c>
      <c r="AH209" s="490">
        <v>1.03</v>
      </c>
      <c r="AJ209" s="489">
        <v>70</v>
      </c>
      <c r="AK209" s="490">
        <v>1</v>
      </c>
      <c r="AL209" s="490">
        <v>1.05</v>
      </c>
      <c r="AM209" s="491">
        <v>1.0900000000000001</v>
      </c>
      <c r="AN209" s="490">
        <v>1.1100000000000001</v>
      </c>
      <c r="AO209" s="490">
        <v>1.1100000000000001</v>
      </c>
      <c r="AQ209" s="489">
        <v>70</v>
      </c>
      <c r="AR209" s="490">
        <v>1</v>
      </c>
      <c r="AS209" s="490">
        <v>1.08</v>
      </c>
      <c r="AT209" s="491">
        <v>1.1399999999999999</v>
      </c>
      <c r="AU209" s="490">
        <v>1.18</v>
      </c>
      <c r="AV209" s="490">
        <v>1.19</v>
      </c>
      <c r="AX209" s="489">
        <v>70</v>
      </c>
      <c r="AY209" s="490">
        <v>1</v>
      </c>
      <c r="AZ209" s="490">
        <v>1.0900000000000001</v>
      </c>
      <c r="BA209" s="491">
        <v>1.1599999999999999</v>
      </c>
      <c r="BB209" s="490">
        <v>1.21</v>
      </c>
      <c r="BC209" s="490">
        <v>1.24</v>
      </c>
      <c r="BE209" s="489">
        <v>70</v>
      </c>
      <c r="BF209" s="490">
        <v>1</v>
      </c>
      <c r="BG209" s="490">
        <v>1.0900000000000001</v>
      </c>
      <c r="BH209" s="491">
        <v>1.1499999999999999</v>
      </c>
      <c r="BI209" s="490">
        <v>1.21</v>
      </c>
      <c r="BJ209" s="490">
        <v>1.23</v>
      </c>
      <c r="BL209" s="489">
        <v>70</v>
      </c>
      <c r="BM209" s="490">
        <v>1</v>
      </c>
      <c r="BN209" s="490">
        <v>1.06</v>
      </c>
      <c r="BO209" s="491">
        <v>1.1100000000000001</v>
      </c>
      <c r="BP209" s="490">
        <v>1.1399999999999999</v>
      </c>
      <c r="BQ209" s="490">
        <v>1.1499999999999999</v>
      </c>
      <c r="BS209" s="489">
        <v>70</v>
      </c>
      <c r="BT209" s="490">
        <v>1</v>
      </c>
      <c r="BU209" s="490">
        <v>1.03</v>
      </c>
      <c r="BV209" s="491">
        <v>1.06</v>
      </c>
      <c r="BW209" s="490">
        <v>1.07</v>
      </c>
      <c r="BX209" s="490">
        <v>1.05</v>
      </c>
      <c r="BZ209" s="489">
        <v>70</v>
      </c>
      <c r="CA209" s="490">
        <v>1</v>
      </c>
      <c r="CB209" s="490">
        <v>1.01</v>
      </c>
      <c r="CC209" s="491">
        <v>1.02</v>
      </c>
      <c r="CD209" s="490">
        <v>1</v>
      </c>
      <c r="CE209" s="490">
        <v>0.98</v>
      </c>
      <c r="CG209" s="489">
        <v>70</v>
      </c>
      <c r="CH209" s="490">
        <v>1</v>
      </c>
      <c r="CI209" s="490">
        <v>1.01</v>
      </c>
      <c r="CJ209" s="491">
        <v>1</v>
      </c>
      <c r="CK209" s="490">
        <v>0.97</v>
      </c>
      <c r="CL209" s="490">
        <v>0.93</v>
      </c>
      <c r="CN209" s="489">
        <v>70</v>
      </c>
      <c r="CO209" s="490">
        <v>1</v>
      </c>
      <c r="CP209" s="490">
        <v>1</v>
      </c>
      <c r="CQ209" s="491">
        <v>0.98</v>
      </c>
      <c r="CR209" s="490">
        <v>0.95</v>
      </c>
      <c r="CS209" s="490">
        <v>0.9</v>
      </c>
    </row>
    <row r="210" spans="3:97" ht="15.75" thickBot="1" x14ac:dyDescent="0.3">
      <c r="C210" s="489">
        <v>180</v>
      </c>
      <c r="D210" s="490">
        <v>0.87</v>
      </c>
      <c r="E210" s="490">
        <v>0.81</v>
      </c>
      <c r="F210" s="490">
        <v>0.73</v>
      </c>
      <c r="G210" s="491">
        <v>0.63</v>
      </c>
      <c r="H210" s="490">
        <v>0.54</v>
      </c>
      <c r="I210" s="490">
        <v>0.46</v>
      </c>
      <c r="J210" s="490">
        <v>0.39</v>
      </c>
      <c r="K210" s="490">
        <v>0.33</v>
      </c>
      <c r="L210" s="490">
        <v>0.28000000000000003</v>
      </c>
      <c r="M210" s="490">
        <v>0.26</v>
      </c>
      <c r="O210" s="489">
        <v>80</v>
      </c>
      <c r="P210" s="490">
        <v>1</v>
      </c>
      <c r="Q210" s="490">
        <v>1</v>
      </c>
      <c r="R210" s="491">
        <v>0.99</v>
      </c>
      <c r="S210" s="490">
        <v>0.96</v>
      </c>
      <c r="T210" s="490">
        <v>0.92</v>
      </c>
      <c r="V210" s="489">
        <v>80</v>
      </c>
      <c r="W210" s="490">
        <v>1</v>
      </c>
      <c r="X210" s="490">
        <v>1.01</v>
      </c>
      <c r="Y210" s="491">
        <v>1</v>
      </c>
      <c r="Z210" s="490">
        <v>0.98</v>
      </c>
      <c r="AA210" s="490">
        <v>0.95</v>
      </c>
      <c r="AC210" s="489">
        <v>80</v>
      </c>
      <c r="AD210" s="490">
        <v>1</v>
      </c>
      <c r="AE210" s="490">
        <v>1.02</v>
      </c>
      <c r="AF210" s="491">
        <v>1.02</v>
      </c>
      <c r="AG210" s="490">
        <v>1.01</v>
      </c>
      <c r="AH210" s="490">
        <v>0.98</v>
      </c>
      <c r="AJ210" s="489">
        <v>80</v>
      </c>
      <c r="AK210" s="490">
        <v>1</v>
      </c>
      <c r="AL210" s="490">
        <v>1.03</v>
      </c>
      <c r="AM210" s="491">
        <v>1.05</v>
      </c>
      <c r="AN210" s="490">
        <v>1.05</v>
      </c>
      <c r="AO210" s="490">
        <v>1.04</v>
      </c>
      <c r="AQ210" s="489">
        <v>80</v>
      </c>
      <c r="AR210" s="490">
        <v>1</v>
      </c>
      <c r="AS210" s="490">
        <v>1.05</v>
      </c>
      <c r="AT210" s="491">
        <v>1.08</v>
      </c>
      <c r="AU210" s="490">
        <v>1.0900000000000001</v>
      </c>
      <c r="AV210" s="490">
        <v>1.1000000000000001</v>
      </c>
      <c r="AX210" s="489">
        <v>80</v>
      </c>
      <c r="AY210" s="490">
        <v>1</v>
      </c>
      <c r="AZ210" s="490">
        <v>1.05</v>
      </c>
      <c r="BA210" s="491">
        <v>1.0900000000000001</v>
      </c>
      <c r="BB210" s="490">
        <v>1.1100000000000001</v>
      </c>
      <c r="BC210" s="490">
        <v>1.1200000000000001</v>
      </c>
      <c r="BE210" s="489">
        <v>80</v>
      </c>
      <c r="BF210" s="490">
        <v>1</v>
      </c>
      <c r="BG210" s="490">
        <v>1.05</v>
      </c>
      <c r="BH210" s="491">
        <v>1.0900000000000001</v>
      </c>
      <c r="BI210" s="490">
        <v>1.1100000000000001</v>
      </c>
      <c r="BJ210" s="490">
        <v>1.1200000000000001</v>
      </c>
      <c r="BL210" s="489">
        <v>80</v>
      </c>
      <c r="BM210" s="490">
        <v>1</v>
      </c>
      <c r="BN210" s="490">
        <v>1.03</v>
      </c>
      <c r="BO210" s="491">
        <v>1.06</v>
      </c>
      <c r="BP210" s="490">
        <v>1.07</v>
      </c>
      <c r="BQ210" s="490">
        <v>1.06</v>
      </c>
      <c r="BS210" s="489">
        <v>80</v>
      </c>
      <c r="BT210" s="490">
        <v>1</v>
      </c>
      <c r="BU210" s="490">
        <v>1.02</v>
      </c>
      <c r="BV210" s="491">
        <v>1.03</v>
      </c>
      <c r="BW210" s="490">
        <v>1.02</v>
      </c>
      <c r="BX210" s="490">
        <v>1</v>
      </c>
      <c r="BZ210" s="489">
        <v>80</v>
      </c>
      <c r="CA210" s="490">
        <v>1</v>
      </c>
      <c r="CB210" s="490">
        <v>1.01</v>
      </c>
      <c r="CC210" s="491">
        <v>1</v>
      </c>
      <c r="CD210" s="490">
        <v>0.99</v>
      </c>
      <c r="CE210" s="490">
        <v>0.96</v>
      </c>
      <c r="CG210" s="489">
        <v>80</v>
      </c>
      <c r="CH210" s="490">
        <v>1</v>
      </c>
      <c r="CI210" s="490">
        <v>1</v>
      </c>
      <c r="CJ210" s="491">
        <v>0.99</v>
      </c>
      <c r="CK210" s="490">
        <v>0.96</v>
      </c>
      <c r="CL210" s="490">
        <v>0.93</v>
      </c>
      <c r="CN210" s="489">
        <v>80</v>
      </c>
      <c r="CO210" s="490">
        <v>1</v>
      </c>
      <c r="CP210" s="490">
        <v>1</v>
      </c>
      <c r="CQ210" s="491">
        <v>0.98</v>
      </c>
      <c r="CR210" s="490">
        <v>0.95</v>
      </c>
      <c r="CS210" s="490">
        <v>0.9</v>
      </c>
    </row>
    <row r="211" spans="3:97" ht="15.75" thickBot="1" x14ac:dyDescent="0.3">
      <c r="C211" s="489">
        <v>190</v>
      </c>
      <c r="D211" s="490">
        <v>0.87</v>
      </c>
      <c r="E211" s="490">
        <v>0.81</v>
      </c>
      <c r="F211" s="490">
        <v>0.73</v>
      </c>
      <c r="G211" s="491">
        <v>0.64</v>
      </c>
      <c r="H211" s="490">
        <v>0.55000000000000004</v>
      </c>
      <c r="I211" s="490">
        <v>0.47</v>
      </c>
      <c r="J211" s="490">
        <v>0.4</v>
      </c>
      <c r="K211" s="490">
        <v>0.34</v>
      </c>
      <c r="L211" s="490">
        <v>0.28999999999999998</v>
      </c>
      <c r="M211" s="490">
        <v>0.27</v>
      </c>
      <c r="O211" s="489">
        <v>90</v>
      </c>
      <c r="P211" s="490">
        <v>1</v>
      </c>
      <c r="Q211" s="490">
        <v>1</v>
      </c>
      <c r="R211" s="491">
        <v>0.98</v>
      </c>
      <c r="S211" s="490">
        <v>0.96</v>
      </c>
      <c r="T211" s="490">
        <v>0.91</v>
      </c>
      <c r="V211" s="489">
        <v>90</v>
      </c>
      <c r="W211" s="490">
        <v>1</v>
      </c>
      <c r="X211" s="490">
        <v>1</v>
      </c>
      <c r="Y211" s="491">
        <v>0.99</v>
      </c>
      <c r="Z211" s="490">
        <v>0.96</v>
      </c>
      <c r="AA211" s="490">
        <v>0.92</v>
      </c>
      <c r="AC211" s="489">
        <v>90</v>
      </c>
      <c r="AD211" s="490">
        <v>1</v>
      </c>
      <c r="AE211" s="490">
        <v>1.01</v>
      </c>
      <c r="AF211" s="491">
        <v>0.99</v>
      </c>
      <c r="AG211" s="490">
        <v>0.97</v>
      </c>
      <c r="AH211" s="490">
        <v>0.94</v>
      </c>
      <c r="AJ211" s="489">
        <v>90</v>
      </c>
      <c r="AK211" s="490">
        <v>1</v>
      </c>
      <c r="AL211" s="490">
        <v>1.01</v>
      </c>
      <c r="AM211" s="491">
        <v>1</v>
      </c>
      <c r="AN211" s="490">
        <v>0.99</v>
      </c>
      <c r="AO211" s="490">
        <v>0.97</v>
      </c>
      <c r="AQ211" s="489">
        <v>90</v>
      </c>
      <c r="AR211" s="490">
        <v>1</v>
      </c>
      <c r="AS211" s="490">
        <v>1.01</v>
      </c>
      <c r="AT211" s="491">
        <v>1.02</v>
      </c>
      <c r="AU211" s="490">
        <v>1.01</v>
      </c>
      <c r="AV211" s="490">
        <v>0.99</v>
      </c>
      <c r="AX211" s="489">
        <v>90</v>
      </c>
      <c r="AY211" s="490">
        <v>1</v>
      </c>
      <c r="AZ211" s="490">
        <v>1.01</v>
      </c>
      <c r="BA211" s="491">
        <v>1.02</v>
      </c>
      <c r="BB211" s="490">
        <v>1.02</v>
      </c>
      <c r="BC211" s="490">
        <v>1</v>
      </c>
      <c r="BE211" s="489">
        <v>90</v>
      </c>
      <c r="BF211" s="490">
        <v>1</v>
      </c>
      <c r="BG211" s="490">
        <v>1.01</v>
      </c>
      <c r="BH211" s="491">
        <v>1.02</v>
      </c>
      <c r="BI211" s="490">
        <v>1.01</v>
      </c>
      <c r="BJ211" s="490">
        <v>1</v>
      </c>
      <c r="BL211" s="489">
        <v>90</v>
      </c>
      <c r="BM211" s="490">
        <v>1</v>
      </c>
      <c r="BN211" s="490">
        <v>1.01</v>
      </c>
      <c r="BO211" s="491">
        <v>1.01</v>
      </c>
      <c r="BP211" s="490">
        <v>0.99</v>
      </c>
      <c r="BQ211" s="490">
        <v>0.98</v>
      </c>
      <c r="BS211" s="489">
        <v>90</v>
      </c>
      <c r="BT211" s="490">
        <v>1</v>
      </c>
      <c r="BU211" s="490">
        <v>1</v>
      </c>
      <c r="BV211" s="491">
        <v>0.99</v>
      </c>
      <c r="BW211" s="490">
        <v>0.97</v>
      </c>
      <c r="BX211" s="490">
        <v>0.95</v>
      </c>
      <c r="BZ211" s="489">
        <v>90</v>
      </c>
      <c r="CA211" s="490">
        <v>1</v>
      </c>
      <c r="CB211" s="490">
        <v>1</v>
      </c>
      <c r="CC211" s="491">
        <v>0.99</v>
      </c>
      <c r="CD211" s="490">
        <v>0.96</v>
      </c>
      <c r="CE211" s="490">
        <v>0.93</v>
      </c>
      <c r="CG211" s="489">
        <v>90</v>
      </c>
      <c r="CH211" s="490">
        <v>1</v>
      </c>
      <c r="CI211" s="490">
        <v>1</v>
      </c>
      <c r="CJ211" s="491">
        <v>0.98</v>
      </c>
      <c r="CK211" s="490">
        <v>0.95</v>
      </c>
      <c r="CL211" s="490">
        <v>0.91</v>
      </c>
      <c r="CN211" s="489">
        <v>90</v>
      </c>
      <c r="CO211" s="490">
        <v>1</v>
      </c>
      <c r="CP211" s="490">
        <v>1</v>
      </c>
      <c r="CQ211" s="491">
        <v>0.98</v>
      </c>
      <c r="CR211" s="490">
        <v>0.94</v>
      </c>
      <c r="CS211" s="490">
        <v>0.9</v>
      </c>
    </row>
    <row r="212" spans="3:97" ht="15.75" thickBot="1" x14ac:dyDescent="0.3">
      <c r="C212" s="489">
        <v>200</v>
      </c>
      <c r="D212" s="490">
        <v>0.87</v>
      </c>
      <c r="E212" s="490">
        <v>0.81</v>
      </c>
      <c r="F212" s="490">
        <v>0.74</v>
      </c>
      <c r="G212" s="491">
        <v>0.65</v>
      </c>
      <c r="H212" s="490">
        <v>0.56000000000000005</v>
      </c>
      <c r="I212" s="490">
        <v>0.48</v>
      </c>
      <c r="J212" s="490">
        <v>0.41</v>
      </c>
      <c r="K212" s="490">
        <v>0.35</v>
      </c>
      <c r="L212" s="490">
        <v>0.31</v>
      </c>
      <c r="M212" s="490">
        <v>0.28000000000000003</v>
      </c>
      <c r="P212" s="492"/>
      <c r="Q212" s="492"/>
      <c r="R212" s="492"/>
      <c r="S212" s="492"/>
      <c r="T212" s="492"/>
      <c r="W212" s="492"/>
      <c r="X212" s="492"/>
      <c r="Y212" s="492"/>
      <c r="Z212" s="492"/>
      <c r="AA212" s="492"/>
      <c r="AD212" s="492"/>
      <c r="AE212" s="492"/>
      <c r="AF212" s="492"/>
      <c r="AG212" s="492"/>
      <c r="AH212" s="492"/>
      <c r="AK212" s="492"/>
      <c r="AL212" s="492"/>
      <c r="AM212" s="492"/>
      <c r="AN212" s="492"/>
      <c r="AO212" s="492"/>
      <c r="AR212" s="492"/>
      <c r="AS212" s="492"/>
      <c r="AT212" s="492"/>
      <c r="AU212" s="492"/>
      <c r="AV212" s="492"/>
      <c r="AY212" s="492"/>
      <c r="AZ212" s="492"/>
      <c r="BA212" s="492"/>
      <c r="BB212" s="492"/>
      <c r="BC212" s="492"/>
      <c r="BF212" s="492"/>
      <c r="BG212" s="492"/>
      <c r="BH212" s="492"/>
      <c r="BI212" s="492"/>
      <c r="BJ212" s="492"/>
      <c r="BM212" s="492"/>
      <c r="BN212" s="492"/>
      <c r="BO212" s="492"/>
      <c r="BP212" s="492"/>
      <c r="BQ212" s="492"/>
      <c r="BT212" s="492"/>
      <c r="BU212" s="492"/>
      <c r="BV212" s="492"/>
      <c r="BW212" s="492"/>
      <c r="BX212" s="492"/>
      <c r="CA212" s="492"/>
      <c r="CB212" s="492"/>
      <c r="CC212" s="492"/>
      <c r="CD212" s="492"/>
      <c r="CE212" s="492"/>
      <c r="CH212" s="492"/>
      <c r="CI212" s="492"/>
      <c r="CJ212" s="492"/>
      <c r="CK212" s="492"/>
      <c r="CL212" s="492"/>
      <c r="CO212" s="492"/>
      <c r="CP212" s="492"/>
      <c r="CQ212" s="492"/>
      <c r="CR212" s="492"/>
      <c r="CS212" s="492"/>
    </row>
    <row r="213" spans="3:97" ht="15.75" thickBot="1" x14ac:dyDescent="0.3">
      <c r="C213" s="489">
        <v>210</v>
      </c>
      <c r="D213" s="490">
        <v>0.87</v>
      </c>
      <c r="E213" s="490">
        <v>0.82</v>
      </c>
      <c r="F213" s="490">
        <v>0.74</v>
      </c>
      <c r="G213" s="491">
        <v>0.66</v>
      </c>
      <c r="H213" s="490">
        <v>0.59</v>
      </c>
      <c r="I213" s="490">
        <v>0.51</v>
      </c>
      <c r="J213" s="490">
        <v>0.44</v>
      </c>
      <c r="K213" s="490">
        <v>0.38</v>
      </c>
      <c r="L213" s="490">
        <v>0.34</v>
      </c>
      <c r="M213" s="490">
        <v>0.3</v>
      </c>
      <c r="P213" s="492"/>
      <c r="Q213" s="492"/>
      <c r="R213" s="492"/>
      <c r="S213" s="492"/>
      <c r="T213" s="492"/>
      <c r="W213" s="492"/>
      <c r="X213" s="492"/>
      <c r="Y213" s="492"/>
      <c r="Z213" s="492"/>
      <c r="AA213" s="492"/>
      <c r="AD213" s="492"/>
      <c r="AE213" s="492"/>
      <c r="AF213" s="492"/>
      <c r="AG213" s="492"/>
      <c r="AH213" s="492"/>
      <c r="AK213" s="492"/>
      <c r="AL213" s="492"/>
      <c r="AM213" s="492"/>
      <c r="AN213" s="492"/>
      <c r="AO213" s="492"/>
      <c r="AR213" s="492"/>
      <c r="AS213" s="492"/>
      <c r="AT213" s="492"/>
      <c r="AU213" s="492"/>
      <c r="AV213" s="492"/>
      <c r="AY213" s="492"/>
      <c r="AZ213" s="492"/>
      <c r="BA213" s="492"/>
      <c r="BB213" s="492"/>
      <c r="BC213" s="492"/>
      <c r="BF213" s="492"/>
      <c r="BG213" s="492"/>
      <c r="BH213" s="492"/>
      <c r="BI213" s="492"/>
      <c r="BJ213" s="492"/>
      <c r="BM213" s="492"/>
      <c r="BN213" s="492"/>
      <c r="BO213" s="492"/>
      <c r="BP213" s="492"/>
      <c r="BQ213" s="492"/>
      <c r="BT213" s="492"/>
      <c r="BU213" s="492"/>
      <c r="BV213" s="492"/>
      <c r="BW213" s="492"/>
      <c r="BX213" s="492"/>
      <c r="CA213" s="492"/>
      <c r="CB213" s="492"/>
      <c r="CC213" s="492"/>
      <c r="CD213" s="492"/>
      <c r="CE213" s="492"/>
      <c r="CH213" s="492"/>
      <c r="CI213" s="492"/>
      <c r="CJ213" s="492"/>
      <c r="CK213" s="492"/>
      <c r="CL213" s="492"/>
      <c r="CO213" s="492"/>
      <c r="CP213" s="492"/>
      <c r="CQ213" s="492"/>
      <c r="CR213" s="492"/>
      <c r="CS213" s="492"/>
    </row>
    <row r="214" spans="3:97" ht="15.75" thickBot="1" x14ac:dyDescent="0.3">
      <c r="C214" s="489">
        <v>220</v>
      </c>
      <c r="D214" s="490">
        <v>0.87</v>
      </c>
      <c r="E214" s="490">
        <v>0.82</v>
      </c>
      <c r="F214" s="490">
        <v>0.76</v>
      </c>
      <c r="G214" s="491">
        <v>0.69</v>
      </c>
      <c r="H214" s="490">
        <v>0.61</v>
      </c>
      <c r="I214" s="490">
        <v>0.54</v>
      </c>
      <c r="J214" s="490">
        <v>0.48</v>
      </c>
      <c r="K214" s="490">
        <v>0.43</v>
      </c>
      <c r="L214" s="490">
        <v>0.38</v>
      </c>
      <c r="M214" s="490">
        <v>0.34</v>
      </c>
      <c r="P214" s="492"/>
      <c r="Q214" s="492"/>
      <c r="R214" s="492"/>
      <c r="S214" s="492"/>
      <c r="T214" s="492"/>
      <c r="W214" s="492"/>
      <c r="X214" s="492"/>
      <c r="Y214" s="492"/>
      <c r="Z214" s="492"/>
      <c r="AA214" s="492"/>
      <c r="AD214" s="492"/>
      <c r="AE214" s="492"/>
      <c r="AF214" s="492"/>
      <c r="AG214" s="492"/>
      <c r="AH214" s="492"/>
      <c r="AK214" s="492"/>
      <c r="AL214" s="492"/>
      <c r="AM214" s="492"/>
      <c r="AN214" s="492"/>
      <c r="AO214" s="492"/>
      <c r="AR214" s="492"/>
      <c r="AS214" s="492"/>
      <c r="AT214" s="492"/>
      <c r="AU214" s="492"/>
      <c r="AV214" s="492"/>
      <c r="AY214" s="492"/>
      <c r="AZ214" s="492"/>
      <c r="BA214" s="492"/>
      <c r="BB214" s="492"/>
      <c r="BC214" s="492"/>
      <c r="BF214" s="492"/>
      <c r="BG214" s="492"/>
      <c r="BH214" s="492"/>
      <c r="BI214" s="492"/>
      <c r="BJ214" s="492"/>
      <c r="BM214" s="492"/>
      <c r="BN214" s="492"/>
      <c r="BO214" s="492"/>
      <c r="BP214" s="492"/>
      <c r="BQ214" s="492"/>
      <c r="BT214" s="492"/>
      <c r="BU214" s="492"/>
      <c r="BV214" s="492"/>
      <c r="BW214" s="492"/>
      <c r="BX214" s="492"/>
      <c r="CA214" s="492"/>
      <c r="CB214" s="492"/>
      <c r="CC214" s="492"/>
      <c r="CD214" s="492"/>
      <c r="CE214" s="492"/>
      <c r="CH214" s="492"/>
      <c r="CI214" s="492"/>
      <c r="CJ214" s="492"/>
      <c r="CK214" s="492"/>
      <c r="CL214" s="492"/>
      <c r="CO214" s="492"/>
      <c r="CP214" s="492"/>
      <c r="CQ214" s="492"/>
      <c r="CR214" s="492"/>
      <c r="CS214" s="492"/>
    </row>
    <row r="215" spans="3:97" ht="15.75" thickBot="1" x14ac:dyDescent="0.3">
      <c r="C215" s="489">
        <v>230</v>
      </c>
      <c r="D215" s="490">
        <v>0.87</v>
      </c>
      <c r="E215" s="490">
        <v>0.83</v>
      </c>
      <c r="F215" s="490">
        <v>0.78</v>
      </c>
      <c r="G215" s="491">
        <v>0.71</v>
      </c>
      <c r="H215" s="490">
        <v>0.65</v>
      </c>
      <c r="I215" s="490">
        <v>0.59</v>
      </c>
      <c r="J215" s="490">
        <v>0.52</v>
      </c>
      <c r="K215" s="490">
        <v>0.47</v>
      </c>
      <c r="L215" s="490">
        <v>0.41</v>
      </c>
      <c r="M215" s="490">
        <v>0.37</v>
      </c>
      <c r="P215" s="492"/>
      <c r="Q215" s="492"/>
      <c r="R215" s="492"/>
      <c r="S215" s="492"/>
      <c r="T215" s="492"/>
      <c r="W215" s="492"/>
      <c r="X215" s="492"/>
      <c r="Y215" s="492"/>
      <c r="Z215" s="492"/>
      <c r="AA215" s="492"/>
      <c r="AD215" s="492"/>
      <c r="AE215" s="492"/>
      <c r="AF215" s="492"/>
      <c r="AG215" s="492"/>
      <c r="AH215" s="492"/>
      <c r="AK215" s="492"/>
      <c r="AL215" s="492"/>
      <c r="AM215" s="492"/>
      <c r="AN215" s="492"/>
      <c r="AO215" s="492"/>
      <c r="AR215" s="492"/>
      <c r="AS215" s="492"/>
      <c r="AT215" s="492"/>
      <c r="AU215" s="492"/>
      <c r="AV215" s="492"/>
      <c r="AY215" s="492"/>
      <c r="AZ215" s="492"/>
      <c r="BA215" s="492"/>
      <c r="BB215" s="492"/>
      <c r="BC215" s="492"/>
      <c r="BF215" s="492"/>
      <c r="BG215" s="492"/>
      <c r="BH215" s="492"/>
      <c r="BI215" s="492"/>
      <c r="BJ215" s="492"/>
      <c r="BM215" s="492"/>
      <c r="BN215" s="492"/>
      <c r="BO215" s="492"/>
      <c r="BP215" s="492"/>
      <c r="BQ215" s="492"/>
      <c r="BT215" s="492"/>
      <c r="BU215" s="492"/>
      <c r="BV215" s="492"/>
      <c r="BW215" s="492"/>
      <c r="BX215" s="492"/>
      <c r="CA215" s="492"/>
      <c r="CB215" s="492"/>
      <c r="CC215" s="492"/>
      <c r="CD215" s="492"/>
      <c r="CE215" s="492"/>
      <c r="CH215" s="492"/>
      <c r="CI215" s="492"/>
      <c r="CJ215" s="492"/>
      <c r="CK215" s="492"/>
      <c r="CL215" s="492"/>
      <c r="CO215" s="492"/>
      <c r="CP215" s="492"/>
      <c r="CQ215" s="492"/>
      <c r="CR215" s="492"/>
      <c r="CS215" s="492"/>
    </row>
    <row r="216" spans="3:97" ht="15.75" thickBot="1" x14ac:dyDescent="0.3">
      <c r="C216" s="489">
        <v>240</v>
      </c>
      <c r="D216" s="490">
        <v>0.87</v>
      </c>
      <c r="E216" s="490">
        <v>0.84</v>
      </c>
      <c r="F216" s="490">
        <v>0.8</v>
      </c>
      <c r="G216" s="491">
        <v>0.74</v>
      </c>
      <c r="H216" s="490">
        <v>0.69</v>
      </c>
      <c r="I216" s="490">
        <v>0.63</v>
      </c>
      <c r="J216" s="490">
        <v>0.56999999999999995</v>
      </c>
      <c r="K216" s="490">
        <v>0.52</v>
      </c>
      <c r="L216" s="490">
        <v>0.46</v>
      </c>
      <c r="M216" s="490">
        <v>0.41</v>
      </c>
      <c r="P216" s="492"/>
      <c r="Q216" s="492"/>
      <c r="R216" s="492"/>
      <c r="S216" s="492"/>
      <c r="T216" s="492"/>
      <c r="W216" s="492"/>
      <c r="X216" s="492"/>
      <c r="Y216" s="492"/>
      <c r="Z216" s="492"/>
      <c r="AA216" s="492"/>
      <c r="AD216" s="492"/>
      <c r="AE216" s="492"/>
      <c r="AF216" s="492"/>
      <c r="AG216" s="492"/>
      <c r="AH216" s="492"/>
      <c r="AK216" s="492"/>
      <c r="AL216" s="492"/>
      <c r="AM216" s="492"/>
      <c r="AN216" s="492"/>
      <c r="AO216" s="492"/>
      <c r="AR216" s="492"/>
      <c r="AS216" s="492"/>
      <c r="AT216" s="492"/>
      <c r="AU216" s="492"/>
      <c r="AV216" s="492"/>
      <c r="AY216" s="492"/>
      <c r="AZ216" s="492"/>
      <c r="BA216" s="492"/>
      <c r="BB216" s="492"/>
      <c r="BC216" s="492"/>
      <c r="BF216" s="492"/>
      <c r="BG216" s="492"/>
      <c r="BH216" s="492"/>
      <c r="BI216" s="492"/>
      <c r="BJ216" s="492"/>
      <c r="BM216" s="492"/>
      <c r="BN216" s="492"/>
      <c r="BO216" s="492"/>
      <c r="BP216" s="492"/>
      <c r="BQ216" s="492"/>
      <c r="BT216" s="492"/>
      <c r="BU216" s="492"/>
      <c r="BV216" s="492"/>
      <c r="BW216" s="492"/>
      <c r="BX216" s="492"/>
      <c r="CA216" s="492"/>
      <c r="CB216" s="492"/>
      <c r="CC216" s="492"/>
      <c r="CD216" s="492"/>
      <c r="CE216" s="492"/>
      <c r="CH216" s="492"/>
      <c r="CI216" s="492"/>
      <c r="CJ216" s="492"/>
      <c r="CK216" s="492"/>
      <c r="CL216" s="492"/>
      <c r="CO216" s="492"/>
      <c r="CP216" s="492"/>
      <c r="CQ216" s="492"/>
      <c r="CR216" s="492"/>
      <c r="CS216" s="492"/>
    </row>
    <row r="217" spans="3:97" ht="15.75" thickBot="1" x14ac:dyDescent="0.3">
      <c r="C217" s="489">
        <v>250</v>
      </c>
      <c r="D217" s="490">
        <v>0.87</v>
      </c>
      <c r="E217" s="490">
        <v>0.85</v>
      </c>
      <c r="F217" s="490">
        <v>0.82</v>
      </c>
      <c r="G217" s="491">
        <v>0.77</v>
      </c>
      <c r="H217" s="490">
        <v>0.72</v>
      </c>
      <c r="I217" s="490">
        <v>0.67</v>
      </c>
      <c r="J217" s="490">
        <v>0.62</v>
      </c>
      <c r="K217" s="490">
        <v>0.56000000000000005</v>
      </c>
      <c r="L217" s="490">
        <v>0.51</v>
      </c>
      <c r="M217" s="490">
        <v>0.45</v>
      </c>
      <c r="P217" s="492"/>
      <c r="Q217" s="492"/>
      <c r="R217" s="492"/>
      <c r="S217" s="492"/>
      <c r="T217" s="492"/>
      <c r="W217" s="492"/>
      <c r="X217" s="492"/>
      <c r="Y217" s="492"/>
      <c r="Z217" s="492"/>
      <c r="AA217" s="492"/>
      <c r="AD217" s="492"/>
      <c r="AE217" s="492"/>
      <c r="AF217" s="492"/>
      <c r="AG217" s="492"/>
      <c r="AH217" s="492"/>
      <c r="AK217" s="492"/>
      <c r="AL217" s="492"/>
      <c r="AM217" s="492"/>
      <c r="AN217" s="492"/>
      <c r="AO217" s="492"/>
      <c r="AR217" s="492"/>
      <c r="AS217" s="492"/>
      <c r="AT217" s="492"/>
      <c r="AU217" s="492"/>
      <c r="AV217" s="492"/>
      <c r="AY217" s="492"/>
      <c r="AZ217" s="492"/>
      <c r="BA217" s="492"/>
      <c r="BB217" s="492"/>
      <c r="BC217" s="492"/>
      <c r="BF217" s="492"/>
      <c r="BG217" s="492"/>
      <c r="BH217" s="492"/>
      <c r="BI217" s="492"/>
      <c r="BJ217" s="492"/>
      <c r="BM217" s="492"/>
      <c r="BN217" s="492"/>
      <c r="BO217" s="492"/>
      <c r="BP217" s="492"/>
      <c r="BQ217" s="492"/>
      <c r="BT217" s="492"/>
      <c r="BU217" s="492"/>
      <c r="BV217" s="492"/>
      <c r="BW217" s="492"/>
      <c r="BX217" s="492"/>
      <c r="CA217" s="492"/>
      <c r="CB217" s="492"/>
      <c r="CC217" s="492"/>
      <c r="CD217" s="492"/>
      <c r="CE217" s="492"/>
      <c r="CH217" s="492"/>
      <c r="CI217" s="492"/>
      <c r="CJ217" s="492"/>
      <c r="CK217" s="492"/>
      <c r="CL217" s="492"/>
      <c r="CO217" s="492"/>
      <c r="CP217" s="492"/>
      <c r="CQ217" s="492"/>
      <c r="CR217" s="492"/>
      <c r="CS217" s="492"/>
    </row>
    <row r="218" spans="3:97" ht="15.75" thickBot="1" x14ac:dyDescent="0.3">
      <c r="C218" s="489">
        <v>260</v>
      </c>
      <c r="D218" s="490">
        <v>0.87</v>
      </c>
      <c r="E218" s="490">
        <v>0.86</v>
      </c>
      <c r="F218" s="490">
        <v>0.84</v>
      </c>
      <c r="G218" s="491">
        <v>0.8</v>
      </c>
      <c r="H218" s="490">
        <v>0.76</v>
      </c>
      <c r="I218" s="490">
        <v>0.71</v>
      </c>
      <c r="J218" s="490">
        <v>0.66</v>
      </c>
      <c r="K218" s="490">
        <v>0.61</v>
      </c>
      <c r="L218" s="490">
        <v>0.55000000000000004</v>
      </c>
      <c r="M218" s="490">
        <v>0.49</v>
      </c>
      <c r="P218" s="492"/>
      <c r="Q218" s="492"/>
      <c r="R218" s="492"/>
      <c r="S218" s="492"/>
      <c r="T218" s="492"/>
      <c r="W218" s="492"/>
      <c r="X218" s="492"/>
      <c r="Y218" s="492"/>
      <c r="Z218" s="492"/>
      <c r="AA218" s="492"/>
      <c r="AD218" s="492"/>
      <c r="AE218" s="492"/>
      <c r="AF218" s="492"/>
      <c r="AG218" s="492"/>
      <c r="AH218" s="492"/>
      <c r="AK218" s="492"/>
      <c r="AL218" s="492"/>
      <c r="AM218" s="492"/>
      <c r="AN218" s="492"/>
      <c r="AO218" s="492"/>
      <c r="AR218" s="492"/>
      <c r="AS218" s="492"/>
      <c r="AT218" s="492"/>
      <c r="AU218" s="492"/>
      <c r="AV218" s="492"/>
      <c r="AY218" s="492"/>
      <c r="AZ218" s="492"/>
      <c r="BA218" s="492"/>
      <c r="BB218" s="492"/>
      <c r="BC218" s="492"/>
      <c r="BF218" s="492"/>
      <c r="BG218" s="492"/>
      <c r="BH218" s="492"/>
      <c r="BI218" s="492"/>
      <c r="BJ218" s="492"/>
      <c r="BM218" s="492"/>
      <c r="BN218" s="492"/>
      <c r="BO218" s="492"/>
      <c r="BP218" s="492"/>
      <c r="BQ218" s="492"/>
      <c r="BT218" s="492"/>
      <c r="BU218" s="492"/>
      <c r="BV218" s="492"/>
      <c r="BW218" s="492"/>
      <c r="BX218" s="492"/>
      <c r="CA218" s="492"/>
      <c r="CB218" s="492"/>
      <c r="CC218" s="492"/>
      <c r="CD218" s="492"/>
      <c r="CE218" s="492"/>
      <c r="CH218" s="492"/>
      <c r="CI218" s="492"/>
      <c r="CJ218" s="492"/>
      <c r="CK218" s="492"/>
      <c r="CL218" s="492"/>
      <c r="CO218" s="492"/>
      <c r="CP218" s="492"/>
      <c r="CQ218" s="492"/>
      <c r="CR218" s="492"/>
      <c r="CS218" s="492"/>
    </row>
    <row r="219" spans="3:97" ht="15.75" thickBot="1" x14ac:dyDescent="0.3">
      <c r="C219" s="489">
        <v>270</v>
      </c>
      <c r="D219" s="490">
        <v>0.87</v>
      </c>
      <c r="E219" s="490">
        <v>0.87</v>
      </c>
      <c r="F219" s="490">
        <v>0.86</v>
      </c>
      <c r="G219" s="491">
        <v>0.84</v>
      </c>
      <c r="H219" s="490">
        <v>0.8</v>
      </c>
      <c r="I219" s="490">
        <v>0.76</v>
      </c>
      <c r="J219" s="490">
        <v>0.71</v>
      </c>
      <c r="K219" s="490">
        <v>0.65</v>
      </c>
      <c r="L219" s="490">
        <v>0.59</v>
      </c>
      <c r="M219" s="490">
        <v>0.53</v>
      </c>
      <c r="P219" s="492"/>
      <c r="Q219" s="492"/>
      <c r="R219" s="492"/>
      <c r="S219" s="492"/>
      <c r="T219" s="492"/>
      <c r="W219" s="492"/>
      <c r="X219" s="492"/>
      <c r="Y219" s="492"/>
      <c r="Z219" s="492"/>
      <c r="AA219" s="492"/>
      <c r="AD219" s="492"/>
      <c r="AE219" s="492"/>
      <c r="AF219" s="492"/>
      <c r="AG219" s="492"/>
      <c r="AH219" s="492"/>
      <c r="AK219" s="492"/>
      <c r="AL219" s="492"/>
      <c r="AM219" s="492"/>
      <c r="AN219" s="492"/>
      <c r="AO219" s="492"/>
      <c r="AR219" s="492"/>
      <c r="AS219" s="492"/>
      <c r="AT219" s="492"/>
      <c r="AU219" s="492"/>
      <c r="AV219" s="492"/>
      <c r="AY219" s="492"/>
      <c r="AZ219" s="492"/>
      <c r="BA219" s="492"/>
      <c r="BB219" s="492"/>
      <c r="BC219" s="492"/>
      <c r="BF219" s="492"/>
      <c r="BG219" s="492"/>
      <c r="BH219" s="492"/>
      <c r="BI219" s="492"/>
      <c r="BJ219" s="492"/>
      <c r="BM219" s="492"/>
      <c r="BN219" s="492"/>
      <c r="BO219" s="492"/>
      <c r="BP219" s="492"/>
      <c r="BQ219" s="492"/>
      <c r="BT219" s="492"/>
      <c r="BU219" s="492"/>
      <c r="BV219" s="492"/>
      <c r="BW219" s="492"/>
      <c r="BX219" s="492"/>
      <c r="CA219" s="492"/>
      <c r="CB219" s="492"/>
      <c r="CC219" s="492"/>
      <c r="CD219" s="492"/>
      <c r="CE219" s="492"/>
      <c r="CH219" s="492"/>
      <c r="CI219" s="492"/>
      <c r="CJ219" s="492"/>
      <c r="CK219" s="492"/>
      <c r="CL219" s="492"/>
      <c r="CO219" s="492"/>
      <c r="CP219" s="492"/>
      <c r="CQ219" s="492"/>
      <c r="CR219" s="492"/>
      <c r="CS219" s="492"/>
    </row>
    <row r="220" spans="3:97" ht="15.75" thickBot="1" x14ac:dyDescent="0.3">
      <c r="C220" s="489">
        <v>280</v>
      </c>
      <c r="D220" s="490">
        <v>0.87</v>
      </c>
      <c r="E220" s="490">
        <v>0.88</v>
      </c>
      <c r="F220" s="490">
        <v>0.88</v>
      </c>
      <c r="G220" s="491">
        <v>0.87</v>
      </c>
      <c r="H220" s="490">
        <v>0.84</v>
      </c>
      <c r="I220" s="490">
        <v>0.79</v>
      </c>
      <c r="J220" s="490">
        <v>0.74</v>
      </c>
      <c r="K220" s="490">
        <v>0.69</v>
      </c>
      <c r="L220" s="490">
        <v>0.62</v>
      </c>
      <c r="M220" s="490">
        <v>0.56000000000000005</v>
      </c>
      <c r="P220" s="492"/>
      <c r="Q220" s="492"/>
      <c r="R220" s="492"/>
      <c r="S220" s="492"/>
      <c r="T220" s="492"/>
      <c r="W220" s="492"/>
      <c r="X220" s="492"/>
      <c r="Y220" s="492"/>
      <c r="Z220" s="492"/>
      <c r="AA220" s="492"/>
      <c r="AD220" s="492"/>
      <c r="AE220" s="492"/>
      <c r="AF220" s="492"/>
      <c r="AG220" s="492"/>
      <c r="AH220" s="492"/>
      <c r="AK220" s="492"/>
      <c r="AL220" s="492"/>
      <c r="AM220" s="492"/>
      <c r="AN220" s="492"/>
      <c r="AO220" s="492"/>
      <c r="AR220" s="492"/>
      <c r="AS220" s="492"/>
      <c r="AT220" s="492"/>
      <c r="AU220" s="492"/>
      <c r="AV220" s="492"/>
      <c r="AY220" s="492"/>
      <c r="AZ220" s="492"/>
      <c r="BA220" s="492"/>
      <c r="BB220" s="492"/>
      <c r="BC220" s="492"/>
      <c r="BF220" s="492"/>
      <c r="BG220" s="492"/>
      <c r="BH220" s="492"/>
      <c r="BI220" s="492"/>
      <c r="BJ220" s="492"/>
      <c r="BM220" s="492"/>
      <c r="BN220" s="492"/>
      <c r="BO220" s="492"/>
      <c r="BP220" s="492"/>
      <c r="BQ220" s="492"/>
      <c r="BT220" s="492"/>
      <c r="BU220" s="492"/>
      <c r="BV220" s="492"/>
      <c r="BW220" s="492"/>
      <c r="BX220" s="492"/>
      <c r="CA220" s="492"/>
      <c r="CB220" s="492"/>
      <c r="CC220" s="492"/>
      <c r="CD220" s="492"/>
      <c r="CE220" s="492"/>
      <c r="CH220" s="492"/>
      <c r="CI220" s="492"/>
      <c r="CJ220" s="492"/>
      <c r="CK220" s="492"/>
      <c r="CL220" s="492"/>
      <c r="CO220" s="492"/>
      <c r="CP220" s="492"/>
      <c r="CQ220" s="492"/>
      <c r="CR220" s="492"/>
      <c r="CS220" s="492"/>
    </row>
    <row r="221" spans="3:97" ht="15.75" thickBot="1" x14ac:dyDescent="0.3">
      <c r="C221" s="489">
        <v>290</v>
      </c>
      <c r="D221" s="490">
        <v>0.87</v>
      </c>
      <c r="E221" s="490">
        <v>0.89</v>
      </c>
      <c r="F221" s="490">
        <v>0.9</v>
      </c>
      <c r="G221" s="491">
        <v>0.89</v>
      </c>
      <c r="H221" s="490">
        <v>0.87</v>
      </c>
      <c r="I221" s="490">
        <v>0.83</v>
      </c>
      <c r="J221" s="490">
        <v>0.78</v>
      </c>
      <c r="K221" s="490">
        <v>0.72</v>
      </c>
      <c r="L221" s="490">
        <v>0.66</v>
      </c>
      <c r="M221" s="490">
        <v>0.59</v>
      </c>
      <c r="P221" s="492"/>
      <c r="Q221" s="492"/>
      <c r="R221" s="492"/>
      <c r="S221" s="492"/>
      <c r="T221" s="492"/>
      <c r="W221" s="492"/>
      <c r="X221" s="492"/>
      <c r="Y221" s="492"/>
      <c r="Z221" s="492"/>
      <c r="AA221" s="492"/>
      <c r="AD221" s="492"/>
      <c r="AE221" s="492"/>
      <c r="AF221" s="492"/>
      <c r="AG221" s="492"/>
      <c r="AH221" s="492"/>
      <c r="AK221" s="492"/>
      <c r="AL221" s="492"/>
      <c r="AM221" s="492"/>
      <c r="AN221" s="492"/>
      <c r="AO221" s="492"/>
      <c r="AR221" s="492"/>
      <c r="AS221" s="492"/>
      <c r="AT221" s="492"/>
      <c r="AU221" s="492"/>
      <c r="AV221" s="492"/>
      <c r="AY221" s="492"/>
      <c r="AZ221" s="492"/>
      <c r="BA221" s="492"/>
      <c r="BB221" s="492"/>
      <c r="BC221" s="492"/>
      <c r="BF221" s="492"/>
      <c r="BG221" s="492"/>
      <c r="BH221" s="492"/>
      <c r="BI221" s="492"/>
      <c r="BJ221" s="492"/>
      <c r="BM221" s="492"/>
      <c r="BN221" s="492"/>
      <c r="BO221" s="492"/>
      <c r="BP221" s="492"/>
      <c r="BQ221" s="492"/>
      <c r="BT221" s="492"/>
      <c r="BU221" s="492"/>
      <c r="BV221" s="492"/>
      <c r="BW221" s="492"/>
      <c r="BX221" s="492"/>
      <c r="CA221" s="492"/>
      <c r="CB221" s="492"/>
      <c r="CC221" s="492"/>
      <c r="CD221" s="492"/>
      <c r="CE221" s="492"/>
      <c r="CH221" s="492"/>
      <c r="CI221" s="492"/>
      <c r="CJ221" s="492"/>
      <c r="CK221" s="492"/>
      <c r="CL221" s="492"/>
      <c r="CO221" s="492"/>
      <c r="CP221" s="492"/>
      <c r="CQ221" s="492"/>
      <c r="CR221" s="492"/>
      <c r="CS221" s="492"/>
    </row>
    <row r="222" spans="3:97" ht="15.75" thickBot="1" x14ac:dyDescent="0.3">
      <c r="C222" s="489">
        <v>300</v>
      </c>
      <c r="D222" s="490">
        <v>0.87</v>
      </c>
      <c r="E222" s="490">
        <v>0.9</v>
      </c>
      <c r="F222" s="490">
        <v>0.92</v>
      </c>
      <c r="G222" s="491">
        <v>0.92</v>
      </c>
      <c r="H222" s="490">
        <v>0.9</v>
      </c>
      <c r="I222" s="490">
        <v>0.87</v>
      </c>
      <c r="J222" s="490">
        <v>0.81</v>
      </c>
      <c r="K222" s="490">
        <v>0.76</v>
      </c>
      <c r="L222" s="490">
        <v>0.69</v>
      </c>
      <c r="M222" s="490">
        <v>0.61</v>
      </c>
      <c r="P222" s="492"/>
      <c r="Q222" s="492"/>
      <c r="R222" s="492"/>
      <c r="S222" s="492"/>
      <c r="T222" s="492"/>
      <c r="W222" s="492"/>
      <c r="X222" s="492"/>
      <c r="Y222" s="492"/>
      <c r="Z222" s="492"/>
      <c r="AA222" s="492"/>
      <c r="AD222" s="492"/>
      <c r="AE222" s="492"/>
      <c r="AF222" s="492"/>
      <c r="AG222" s="492"/>
      <c r="AH222" s="492"/>
      <c r="AK222" s="492"/>
      <c r="AL222" s="492"/>
      <c r="AM222" s="492"/>
      <c r="AN222" s="492"/>
      <c r="AO222" s="492"/>
      <c r="AR222" s="492"/>
      <c r="AS222" s="492"/>
      <c r="AT222" s="492"/>
      <c r="AU222" s="492"/>
      <c r="AV222" s="492"/>
      <c r="AY222" s="492"/>
      <c r="AZ222" s="492"/>
      <c r="BA222" s="492"/>
      <c r="BB222" s="492"/>
      <c r="BC222" s="492"/>
      <c r="BF222" s="492"/>
      <c r="BG222" s="492"/>
      <c r="BH222" s="492"/>
      <c r="BI222" s="492"/>
      <c r="BJ222" s="492"/>
      <c r="BM222" s="492"/>
      <c r="BN222" s="492"/>
      <c r="BO222" s="492"/>
      <c r="BP222" s="492"/>
      <c r="BQ222" s="492"/>
      <c r="BT222" s="492"/>
      <c r="BU222" s="492"/>
      <c r="BV222" s="492"/>
      <c r="BW222" s="492"/>
      <c r="BX222" s="492"/>
      <c r="CA222" s="492"/>
      <c r="CB222" s="492"/>
      <c r="CC222" s="492"/>
      <c r="CD222" s="492"/>
      <c r="CE222" s="492"/>
      <c r="CH222" s="492"/>
      <c r="CI222" s="492"/>
      <c r="CJ222" s="492"/>
      <c r="CK222" s="492"/>
      <c r="CL222" s="492"/>
      <c r="CO222" s="492"/>
      <c r="CP222" s="492"/>
      <c r="CQ222" s="492"/>
      <c r="CR222" s="492"/>
      <c r="CS222" s="492"/>
    </row>
    <row r="223" spans="3:97" ht="15.75" thickBot="1" x14ac:dyDescent="0.3">
      <c r="C223" s="489">
        <v>310</v>
      </c>
      <c r="D223" s="490">
        <v>0.87</v>
      </c>
      <c r="E223" s="490">
        <v>0.91</v>
      </c>
      <c r="F223" s="490">
        <v>0.94</v>
      </c>
      <c r="G223" s="491">
        <v>0.94</v>
      </c>
      <c r="H223" s="490">
        <v>0.93</v>
      </c>
      <c r="I223" s="490">
        <v>0.89</v>
      </c>
      <c r="J223" s="490">
        <v>0.85</v>
      </c>
      <c r="K223" s="490">
        <v>0.78</v>
      </c>
      <c r="L223" s="490">
        <v>0.71</v>
      </c>
      <c r="M223" s="490">
        <v>0.62</v>
      </c>
      <c r="P223" s="492"/>
      <c r="Q223" s="492"/>
      <c r="R223" s="492"/>
      <c r="S223" s="492"/>
      <c r="T223" s="492"/>
      <c r="W223" s="492"/>
      <c r="X223" s="492"/>
      <c r="Y223" s="492"/>
      <c r="Z223" s="492"/>
      <c r="AA223" s="492"/>
      <c r="AD223" s="492"/>
      <c r="AE223" s="492"/>
      <c r="AF223" s="492"/>
      <c r="AG223" s="492"/>
      <c r="AH223" s="492"/>
      <c r="AK223" s="492"/>
      <c r="AL223" s="492"/>
      <c r="AM223" s="492"/>
      <c r="AN223" s="492"/>
      <c r="AO223" s="492"/>
      <c r="AR223" s="492"/>
      <c r="AS223" s="492"/>
      <c r="AT223" s="492"/>
      <c r="AU223" s="492"/>
      <c r="AV223" s="492"/>
      <c r="AY223" s="492"/>
      <c r="AZ223" s="492"/>
      <c r="BA223" s="492"/>
      <c r="BB223" s="492"/>
      <c r="BC223" s="492"/>
      <c r="BF223" s="492"/>
      <c r="BG223" s="492"/>
      <c r="BH223" s="492"/>
      <c r="BI223" s="492"/>
      <c r="BJ223" s="492"/>
      <c r="BM223" s="492"/>
      <c r="BN223" s="492"/>
      <c r="BO223" s="492"/>
      <c r="BP223" s="492"/>
      <c r="BQ223" s="492"/>
      <c r="BT223" s="492"/>
      <c r="BU223" s="492"/>
      <c r="BV223" s="492"/>
      <c r="BW223" s="492"/>
      <c r="BX223" s="492"/>
      <c r="CA223" s="492"/>
      <c r="CB223" s="492"/>
      <c r="CC223" s="492"/>
      <c r="CD223" s="492"/>
      <c r="CE223" s="492"/>
      <c r="CH223" s="492"/>
      <c r="CI223" s="492"/>
      <c r="CJ223" s="492"/>
      <c r="CK223" s="492"/>
      <c r="CL223" s="492"/>
      <c r="CO223" s="492"/>
      <c r="CP223" s="492"/>
      <c r="CQ223" s="492"/>
      <c r="CR223" s="492"/>
      <c r="CS223" s="492"/>
    </row>
    <row r="224" spans="3:97" ht="15.75" thickBot="1" x14ac:dyDescent="0.3">
      <c r="C224" s="489">
        <v>320</v>
      </c>
      <c r="D224" s="490">
        <v>0.87</v>
      </c>
      <c r="E224" s="490">
        <v>0.93</v>
      </c>
      <c r="F224" s="490">
        <v>0.95</v>
      </c>
      <c r="G224" s="491">
        <v>0.96</v>
      </c>
      <c r="H224" s="490">
        <v>0.95</v>
      </c>
      <c r="I224" s="490">
        <v>0.92</v>
      </c>
      <c r="J224" s="490">
        <v>0.87</v>
      </c>
      <c r="K224" s="490">
        <v>0.8</v>
      </c>
      <c r="L224" s="490">
        <v>0.72</v>
      </c>
      <c r="M224" s="490">
        <v>0.63</v>
      </c>
      <c r="P224" s="492"/>
      <c r="Q224" s="492"/>
      <c r="R224" s="492"/>
      <c r="S224" s="492"/>
      <c r="T224" s="492"/>
      <c r="W224" s="492"/>
      <c r="X224" s="492"/>
      <c r="Y224" s="492"/>
      <c r="Z224" s="492"/>
      <c r="AA224" s="492"/>
      <c r="AD224" s="492"/>
      <c r="AE224" s="492"/>
      <c r="AF224" s="492"/>
      <c r="AG224" s="492"/>
      <c r="AH224" s="492"/>
      <c r="AK224" s="492"/>
      <c r="AL224" s="492"/>
      <c r="AM224" s="492"/>
      <c r="AN224" s="492"/>
      <c r="AO224" s="492"/>
      <c r="AR224" s="492"/>
      <c r="AS224" s="492"/>
      <c r="AT224" s="492"/>
      <c r="AU224" s="492"/>
      <c r="AV224" s="492"/>
      <c r="AY224" s="492"/>
      <c r="AZ224" s="492"/>
      <c r="BA224" s="492"/>
      <c r="BB224" s="492"/>
      <c r="BC224" s="492"/>
      <c r="BF224" s="492"/>
      <c r="BG224" s="492"/>
      <c r="BH224" s="492"/>
      <c r="BI224" s="492"/>
      <c r="BJ224" s="492"/>
      <c r="BM224" s="492"/>
      <c r="BN224" s="492"/>
      <c r="BO224" s="492"/>
      <c r="BP224" s="492"/>
      <c r="BQ224" s="492"/>
      <c r="BT224" s="492"/>
      <c r="BU224" s="492"/>
      <c r="BV224" s="492"/>
      <c r="BW224" s="492"/>
      <c r="BX224" s="492"/>
      <c r="CA224" s="492"/>
      <c r="CB224" s="492"/>
      <c r="CC224" s="492"/>
      <c r="CD224" s="492"/>
      <c r="CE224" s="492"/>
      <c r="CH224" s="492"/>
      <c r="CI224" s="492"/>
      <c r="CJ224" s="492"/>
      <c r="CK224" s="492"/>
      <c r="CL224" s="492"/>
      <c r="CO224" s="492"/>
      <c r="CP224" s="492"/>
      <c r="CQ224" s="492"/>
      <c r="CR224" s="492"/>
      <c r="CS224" s="492"/>
    </row>
    <row r="225" spans="3:97" ht="15.75" thickBot="1" x14ac:dyDescent="0.3">
      <c r="C225" s="489">
        <v>330</v>
      </c>
      <c r="D225" s="490">
        <v>0.87</v>
      </c>
      <c r="E225" s="490">
        <v>0.93</v>
      </c>
      <c r="F225" s="490">
        <v>0.97</v>
      </c>
      <c r="G225" s="491">
        <v>0.98</v>
      </c>
      <c r="H225" s="490">
        <v>0.97</v>
      </c>
      <c r="I225" s="490">
        <v>0.94</v>
      </c>
      <c r="J225" s="490">
        <v>0.89</v>
      </c>
      <c r="K225" s="490">
        <v>0.82</v>
      </c>
      <c r="L225" s="490">
        <v>0.74</v>
      </c>
      <c r="M225" s="490">
        <v>0.64</v>
      </c>
      <c r="P225" s="492"/>
      <c r="Q225" s="492"/>
      <c r="R225" s="492"/>
      <c r="S225" s="492"/>
      <c r="T225" s="492"/>
      <c r="W225" s="492"/>
      <c r="X225" s="492"/>
      <c r="Y225" s="492"/>
      <c r="Z225" s="492"/>
      <c r="AA225" s="492"/>
      <c r="AD225" s="492"/>
      <c r="AE225" s="492"/>
      <c r="AF225" s="492"/>
      <c r="AG225" s="492"/>
      <c r="AH225" s="492"/>
      <c r="AK225" s="492"/>
      <c r="AL225" s="492"/>
      <c r="AM225" s="492"/>
      <c r="AN225" s="492"/>
      <c r="AO225" s="492"/>
      <c r="AR225" s="492"/>
      <c r="AS225" s="492"/>
      <c r="AT225" s="492"/>
      <c r="AU225" s="492"/>
      <c r="AV225" s="492"/>
      <c r="AY225" s="492"/>
      <c r="AZ225" s="492"/>
      <c r="BA225" s="492"/>
      <c r="BB225" s="492"/>
      <c r="BC225" s="492"/>
      <c r="BF225" s="492"/>
      <c r="BG225" s="492"/>
      <c r="BH225" s="492"/>
      <c r="BI225" s="492"/>
      <c r="BJ225" s="492"/>
      <c r="BM225" s="492"/>
      <c r="BN225" s="492"/>
      <c r="BO225" s="492"/>
      <c r="BP225" s="492"/>
      <c r="BQ225" s="492"/>
      <c r="BT225" s="492"/>
      <c r="BU225" s="492"/>
      <c r="BV225" s="492"/>
      <c r="BW225" s="492"/>
      <c r="BX225" s="492"/>
      <c r="CA225" s="492"/>
      <c r="CB225" s="492"/>
      <c r="CC225" s="492"/>
      <c r="CD225" s="492"/>
      <c r="CE225" s="492"/>
      <c r="CH225" s="492"/>
      <c r="CI225" s="492"/>
      <c r="CJ225" s="492"/>
      <c r="CK225" s="492"/>
      <c r="CL225" s="492"/>
      <c r="CO225" s="492"/>
      <c r="CP225" s="492"/>
      <c r="CQ225" s="492"/>
      <c r="CR225" s="492"/>
      <c r="CS225" s="492"/>
    </row>
    <row r="226" spans="3:97" ht="15.75" thickBot="1" x14ac:dyDescent="0.3">
      <c r="C226" s="489">
        <v>340</v>
      </c>
      <c r="D226" s="490">
        <v>0.87</v>
      </c>
      <c r="E226" s="490">
        <v>0.94</v>
      </c>
      <c r="F226" s="490">
        <v>0.97</v>
      </c>
      <c r="G226" s="491">
        <v>0.99</v>
      </c>
      <c r="H226" s="490">
        <v>0.98</v>
      </c>
      <c r="I226" s="490">
        <v>0.96</v>
      </c>
      <c r="J226" s="490">
        <v>0.9</v>
      </c>
      <c r="K226" s="490">
        <v>0.84</v>
      </c>
      <c r="L226" s="490">
        <v>0.75</v>
      </c>
      <c r="M226" s="490">
        <v>0.65</v>
      </c>
      <c r="P226" s="492"/>
      <c r="Q226" s="492"/>
      <c r="R226" s="492"/>
      <c r="S226" s="492"/>
      <c r="T226" s="492"/>
      <c r="W226" s="492"/>
      <c r="X226" s="492"/>
      <c r="Y226" s="492"/>
      <c r="Z226" s="492"/>
      <c r="AA226" s="492"/>
      <c r="AD226" s="492"/>
      <c r="AE226" s="492"/>
      <c r="AF226" s="492"/>
      <c r="AG226" s="492"/>
      <c r="AH226" s="492"/>
      <c r="AK226" s="492"/>
      <c r="AL226" s="492"/>
      <c r="AM226" s="492"/>
      <c r="AN226" s="492"/>
      <c r="AO226" s="492"/>
      <c r="AR226" s="492"/>
      <c r="AS226" s="492"/>
      <c r="AT226" s="492"/>
      <c r="AU226" s="492"/>
      <c r="AV226" s="492"/>
      <c r="AY226" s="492"/>
      <c r="AZ226" s="492"/>
      <c r="BA226" s="492"/>
      <c r="BB226" s="492"/>
      <c r="BC226" s="492"/>
      <c r="BF226" s="492"/>
      <c r="BG226" s="492"/>
      <c r="BH226" s="492"/>
      <c r="BI226" s="492"/>
      <c r="BJ226" s="492"/>
      <c r="BM226" s="492"/>
      <c r="BN226" s="492"/>
      <c r="BO226" s="492"/>
      <c r="BP226" s="492"/>
      <c r="BQ226" s="492"/>
      <c r="BT226" s="492"/>
      <c r="BU226" s="492"/>
      <c r="BV226" s="492"/>
      <c r="BW226" s="492"/>
      <c r="BX226" s="492"/>
      <c r="CA226" s="492"/>
      <c r="CB226" s="492"/>
      <c r="CC226" s="492"/>
      <c r="CD226" s="492"/>
      <c r="CE226" s="492"/>
      <c r="CH226" s="492"/>
      <c r="CI226" s="492"/>
      <c r="CJ226" s="492"/>
      <c r="CK226" s="492"/>
      <c r="CL226" s="492"/>
      <c r="CO226" s="492"/>
      <c r="CP226" s="492"/>
      <c r="CQ226" s="492"/>
      <c r="CR226" s="492"/>
      <c r="CS226" s="492"/>
    </row>
    <row r="227" spans="3:97" ht="15.75" thickBot="1" x14ac:dyDescent="0.3">
      <c r="C227" s="489">
        <v>350</v>
      </c>
      <c r="D227" s="490">
        <v>0.87</v>
      </c>
      <c r="E227" s="490">
        <v>0.94</v>
      </c>
      <c r="F227" s="490">
        <v>0.98</v>
      </c>
      <c r="G227" s="490">
        <v>1</v>
      </c>
      <c r="H227" s="490">
        <v>0.99</v>
      </c>
      <c r="I227" s="490">
        <v>0.97</v>
      </c>
      <c r="J227" s="490">
        <v>0.91</v>
      </c>
      <c r="K227" s="490">
        <v>0.84</v>
      </c>
      <c r="L227" s="490">
        <v>0.75</v>
      </c>
      <c r="M227" s="490">
        <v>0.65</v>
      </c>
      <c r="P227" s="492"/>
      <c r="Q227" s="492"/>
      <c r="R227" s="492"/>
      <c r="S227" s="492"/>
      <c r="T227" s="492"/>
      <c r="W227" s="492"/>
      <c r="X227" s="492"/>
      <c r="Y227" s="492"/>
      <c r="Z227" s="492"/>
      <c r="AA227" s="492"/>
      <c r="AD227" s="492"/>
      <c r="AE227" s="492"/>
      <c r="AF227" s="492"/>
      <c r="AG227" s="492"/>
      <c r="AH227" s="492"/>
      <c r="AK227" s="492"/>
      <c r="AL227" s="492"/>
      <c r="AM227" s="492"/>
      <c r="AN227" s="492"/>
      <c r="AO227" s="492"/>
      <c r="AR227" s="492"/>
      <c r="AS227" s="492"/>
      <c r="AT227" s="492"/>
      <c r="AU227" s="492"/>
      <c r="AV227" s="492"/>
      <c r="AY227" s="492"/>
      <c r="AZ227" s="492"/>
      <c r="BA227" s="492"/>
      <c r="BB227" s="492"/>
      <c r="BC227" s="492"/>
      <c r="BF227" s="492"/>
      <c r="BG227" s="492"/>
      <c r="BH227" s="492"/>
      <c r="BI227" s="492"/>
      <c r="BJ227" s="492"/>
      <c r="BM227" s="492"/>
      <c r="BN227" s="492"/>
      <c r="BO227" s="492"/>
      <c r="BP227" s="492"/>
      <c r="BQ227" s="492"/>
      <c r="BT227" s="492"/>
      <c r="BU227" s="492"/>
      <c r="BV227" s="492"/>
      <c r="BW227" s="492"/>
      <c r="BX227" s="492"/>
      <c r="CA227" s="492"/>
      <c r="CB227" s="492"/>
      <c r="CC227" s="492"/>
      <c r="CD227" s="492"/>
      <c r="CE227" s="492"/>
      <c r="CH227" s="492"/>
      <c r="CI227" s="492"/>
      <c r="CJ227" s="492"/>
      <c r="CK227" s="492"/>
      <c r="CL227" s="492"/>
      <c r="CO227" s="492"/>
      <c r="CP227" s="492"/>
      <c r="CQ227" s="492"/>
      <c r="CR227" s="492"/>
      <c r="CS227" s="492"/>
    </row>
    <row r="228" spans="3:97" x14ac:dyDescent="0.25">
      <c r="P228" s="492"/>
      <c r="Q228" s="492"/>
      <c r="R228" s="492"/>
      <c r="S228" s="492"/>
      <c r="T228" s="492"/>
      <c r="W228" s="492"/>
      <c r="X228" s="492"/>
      <c r="Y228" s="492"/>
      <c r="Z228" s="492"/>
      <c r="AA228" s="492"/>
      <c r="AD228" s="492"/>
      <c r="AE228" s="492"/>
      <c r="AF228" s="492"/>
      <c r="AG228" s="492"/>
      <c r="AH228" s="492"/>
      <c r="AK228" s="492"/>
      <c r="AL228" s="492"/>
      <c r="AM228" s="492"/>
      <c r="AN228" s="492"/>
      <c r="AO228" s="492"/>
      <c r="AR228" s="492"/>
      <c r="AS228" s="492"/>
      <c r="AT228" s="492"/>
      <c r="AU228" s="492"/>
      <c r="AV228" s="492"/>
      <c r="AY228" s="492"/>
      <c r="AZ228" s="492"/>
      <c r="BA228" s="492"/>
      <c r="BB228" s="492"/>
      <c r="BC228" s="492"/>
      <c r="BF228" s="492"/>
      <c r="BG228" s="492"/>
      <c r="BH228" s="492"/>
      <c r="BI228" s="492"/>
      <c r="BJ228" s="492"/>
      <c r="BM228" s="492"/>
      <c r="BN228" s="492"/>
      <c r="BO228" s="492"/>
      <c r="BP228" s="492"/>
      <c r="BQ228" s="492"/>
      <c r="BT228" s="492"/>
      <c r="BU228" s="492"/>
      <c r="BV228" s="492"/>
      <c r="BW228" s="492"/>
      <c r="BX228" s="492"/>
      <c r="CA228" s="492"/>
      <c r="CB228" s="492"/>
      <c r="CC228" s="492"/>
      <c r="CD228" s="492"/>
      <c r="CE228" s="492"/>
      <c r="CH228" s="492"/>
      <c r="CI228" s="492"/>
      <c r="CJ228" s="492"/>
      <c r="CK228" s="492"/>
      <c r="CL228" s="492"/>
      <c r="CO228" s="492"/>
      <c r="CP228" s="492"/>
      <c r="CQ228" s="492"/>
      <c r="CR228" s="492"/>
      <c r="CS228" s="492"/>
    </row>
    <row r="229" spans="3:97" ht="15.75" thickBot="1" x14ac:dyDescent="0.3">
      <c r="P229" s="492"/>
      <c r="Q229" s="492"/>
      <c r="R229" s="492"/>
      <c r="S229" s="492"/>
      <c r="T229" s="492"/>
      <c r="W229" s="492"/>
      <c r="X229" s="492"/>
      <c r="Y229" s="492"/>
      <c r="Z229" s="492"/>
      <c r="AA229" s="492"/>
      <c r="AD229" s="492"/>
      <c r="AE229" s="492"/>
      <c r="AF229" s="492"/>
      <c r="AG229" s="492"/>
      <c r="AH229" s="492"/>
      <c r="AK229" s="492"/>
      <c r="AL229" s="492"/>
      <c r="AM229" s="492"/>
      <c r="AN229" s="492"/>
      <c r="AO229" s="492"/>
      <c r="AR229" s="492"/>
      <c r="AS229" s="492"/>
      <c r="AT229" s="492"/>
      <c r="AU229" s="492"/>
      <c r="AV229" s="492"/>
      <c r="AY229" s="492"/>
      <c r="AZ229" s="492"/>
      <c r="BA229" s="492"/>
      <c r="BB229" s="492"/>
      <c r="BC229" s="492"/>
      <c r="BF229" s="492"/>
      <c r="BG229" s="492"/>
      <c r="BH229" s="492"/>
      <c r="BI229" s="492"/>
      <c r="BJ229" s="492"/>
      <c r="BM229" s="492"/>
      <c r="BN229" s="492"/>
      <c r="BO229" s="492"/>
      <c r="BP229" s="492"/>
      <c r="BQ229" s="492"/>
      <c r="BT229" s="492"/>
      <c r="BU229" s="492"/>
      <c r="BV229" s="492"/>
      <c r="BW229" s="492"/>
      <c r="BX229" s="492"/>
      <c r="CA229" s="492"/>
      <c r="CB229" s="492"/>
      <c r="CC229" s="492"/>
      <c r="CD229" s="492"/>
      <c r="CE229" s="492"/>
      <c r="CH229" s="492"/>
      <c r="CI229" s="492"/>
      <c r="CJ229" s="492"/>
      <c r="CK229" s="492"/>
      <c r="CL229" s="492"/>
      <c r="CO229" s="492"/>
      <c r="CP229" s="492"/>
      <c r="CQ229" s="492"/>
      <c r="CR229" s="492"/>
      <c r="CS229" s="492"/>
    </row>
    <row r="230" spans="3:97" ht="15.75" thickBot="1" x14ac:dyDescent="0.3">
      <c r="C230" s="784" t="s">
        <v>3728</v>
      </c>
      <c r="D230" s="785"/>
      <c r="E230" s="785"/>
      <c r="F230" s="785"/>
      <c r="G230" s="785"/>
      <c r="H230" s="785"/>
      <c r="I230" s="785"/>
      <c r="J230" s="785"/>
      <c r="K230" s="785"/>
      <c r="L230" s="785"/>
      <c r="M230" s="786"/>
      <c r="O230" s="486" t="s">
        <v>2441</v>
      </c>
    </row>
    <row r="231" spans="3:97" ht="15.75" customHeight="1" thickBot="1" x14ac:dyDescent="0.3">
      <c r="C231" s="780" t="s">
        <v>3720</v>
      </c>
      <c r="D231" s="781" t="s">
        <v>3721</v>
      </c>
      <c r="E231" s="782"/>
      <c r="F231" s="782"/>
      <c r="G231" s="782"/>
      <c r="H231" s="782"/>
      <c r="I231" s="782"/>
      <c r="J231" s="782"/>
      <c r="K231" s="782"/>
      <c r="L231" s="782"/>
      <c r="M231" s="783"/>
      <c r="O231" s="777" t="str">
        <f>O230&amp;" - Janurary"</f>
        <v>MELBOURNE - Janurary</v>
      </c>
      <c r="P231" s="778"/>
      <c r="Q231" s="778"/>
      <c r="R231" s="778"/>
      <c r="S231" s="778"/>
      <c r="T231" s="779"/>
      <c r="V231" s="777" t="str">
        <f>O230&amp;" - February"</f>
        <v>MELBOURNE - February</v>
      </c>
      <c r="W231" s="778"/>
      <c r="X231" s="778"/>
      <c r="Y231" s="778"/>
      <c r="Z231" s="778"/>
      <c r="AA231" s="779"/>
      <c r="AC231" s="777" t="str">
        <f>O230&amp;" - March"</f>
        <v>MELBOURNE - March</v>
      </c>
      <c r="AD231" s="778"/>
      <c r="AE231" s="778"/>
      <c r="AF231" s="778"/>
      <c r="AG231" s="778"/>
      <c r="AH231" s="779"/>
      <c r="AJ231" s="777" t="str">
        <f>O230&amp;" - April"</f>
        <v>MELBOURNE - April</v>
      </c>
      <c r="AK231" s="778"/>
      <c r="AL231" s="778"/>
      <c r="AM231" s="778"/>
      <c r="AN231" s="778"/>
      <c r="AO231" s="779"/>
      <c r="AQ231" s="777" t="str">
        <f>O230&amp;" - May"</f>
        <v>MELBOURNE - May</v>
      </c>
      <c r="AR231" s="778"/>
      <c r="AS231" s="778"/>
      <c r="AT231" s="778"/>
      <c r="AU231" s="778"/>
      <c r="AV231" s="779"/>
      <c r="AX231" s="777" t="str">
        <f>O230&amp;" - June"</f>
        <v>MELBOURNE - June</v>
      </c>
      <c r="AY231" s="778"/>
      <c r="AZ231" s="778"/>
      <c r="BA231" s="778"/>
      <c r="BB231" s="778"/>
      <c r="BC231" s="779"/>
      <c r="BE231" s="777" t="str">
        <f>O230&amp;" - July"</f>
        <v>MELBOURNE - July</v>
      </c>
      <c r="BF231" s="778"/>
      <c r="BG231" s="778"/>
      <c r="BH231" s="778"/>
      <c r="BI231" s="778"/>
      <c r="BJ231" s="779"/>
      <c r="BL231" s="777" t="str">
        <f>O230&amp;" - August"</f>
        <v>MELBOURNE - August</v>
      </c>
      <c r="BM231" s="778"/>
      <c r="BN231" s="778"/>
      <c r="BO231" s="778"/>
      <c r="BP231" s="778"/>
      <c r="BQ231" s="779"/>
      <c r="BS231" s="777" t="str">
        <f>O230&amp;" - September"</f>
        <v>MELBOURNE - September</v>
      </c>
      <c r="BT231" s="778"/>
      <c r="BU231" s="778"/>
      <c r="BV231" s="778"/>
      <c r="BW231" s="778"/>
      <c r="BX231" s="779"/>
      <c r="BZ231" s="777" t="str">
        <f>O230&amp;" - October"</f>
        <v>MELBOURNE - October</v>
      </c>
      <c r="CA231" s="778"/>
      <c r="CB231" s="778"/>
      <c r="CC231" s="778"/>
      <c r="CD231" s="778"/>
      <c r="CE231" s="779"/>
      <c r="CG231" s="777" t="str">
        <f>O230&amp;" - November"</f>
        <v>MELBOURNE - November</v>
      </c>
      <c r="CH231" s="778"/>
      <c r="CI231" s="778"/>
      <c r="CJ231" s="778"/>
      <c r="CK231" s="778"/>
      <c r="CL231" s="779"/>
      <c r="CN231" s="777" t="str">
        <f>O230&amp;" - December"</f>
        <v>MELBOURNE - December</v>
      </c>
      <c r="CO231" s="778"/>
      <c r="CP231" s="778"/>
      <c r="CQ231" s="778"/>
      <c r="CR231" s="778"/>
      <c r="CS231" s="779"/>
    </row>
    <row r="232" spans="3:97" ht="15.75" customHeight="1" thickBot="1" x14ac:dyDescent="0.3">
      <c r="C232" s="773"/>
      <c r="D232" s="488">
        <v>0</v>
      </c>
      <c r="E232" s="488">
        <v>10</v>
      </c>
      <c r="F232" s="488">
        <v>20</v>
      </c>
      <c r="G232" s="488">
        <v>30</v>
      </c>
      <c r="H232" s="488">
        <v>40</v>
      </c>
      <c r="I232" s="488">
        <v>50</v>
      </c>
      <c r="J232" s="488">
        <v>60</v>
      </c>
      <c r="K232" s="488">
        <v>70</v>
      </c>
      <c r="L232" s="488">
        <v>80</v>
      </c>
      <c r="M232" s="488">
        <v>90</v>
      </c>
      <c r="O232" s="787" t="s">
        <v>3720</v>
      </c>
      <c r="P232" s="774" t="s">
        <v>3721</v>
      </c>
      <c r="Q232" s="775"/>
      <c r="R232" s="775"/>
      <c r="S232" s="775"/>
      <c r="T232" s="776"/>
      <c r="V232" s="787" t="s">
        <v>3720</v>
      </c>
      <c r="W232" s="774" t="s">
        <v>3721</v>
      </c>
      <c r="X232" s="775"/>
      <c r="Y232" s="775"/>
      <c r="Z232" s="775"/>
      <c r="AA232" s="776"/>
      <c r="AC232" s="787" t="s">
        <v>3720</v>
      </c>
      <c r="AD232" s="774" t="s">
        <v>3721</v>
      </c>
      <c r="AE232" s="775"/>
      <c r="AF232" s="775"/>
      <c r="AG232" s="775"/>
      <c r="AH232" s="776"/>
      <c r="AJ232" s="787" t="s">
        <v>3720</v>
      </c>
      <c r="AK232" s="774" t="s">
        <v>3721</v>
      </c>
      <c r="AL232" s="775"/>
      <c r="AM232" s="775"/>
      <c r="AN232" s="775"/>
      <c r="AO232" s="776"/>
      <c r="AQ232" s="787" t="s">
        <v>3720</v>
      </c>
      <c r="AR232" s="774" t="s">
        <v>3721</v>
      </c>
      <c r="AS232" s="775"/>
      <c r="AT232" s="775"/>
      <c r="AU232" s="775"/>
      <c r="AV232" s="776"/>
      <c r="AX232" s="787" t="s">
        <v>3720</v>
      </c>
      <c r="AY232" s="774" t="s">
        <v>3721</v>
      </c>
      <c r="AZ232" s="775"/>
      <c r="BA232" s="775"/>
      <c r="BB232" s="775"/>
      <c r="BC232" s="776"/>
      <c r="BE232" s="787" t="s">
        <v>3720</v>
      </c>
      <c r="BF232" s="774" t="s">
        <v>3721</v>
      </c>
      <c r="BG232" s="775"/>
      <c r="BH232" s="775"/>
      <c r="BI232" s="775"/>
      <c r="BJ232" s="776"/>
      <c r="BL232" s="787" t="s">
        <v>3720</v>
      </c>
      <c r="BM232" s="774" t="s">
        <v>3721</v>
      </c>
      <c r="BN232" s="775"/>
      <c r="BO232" s="775"/>
      <c r="BP232" s="775"/>
      <c r="BQ232" s="776"/>
      <c r="BS232" s="787" t="s">
        <v>3720</v>
      </c>
      <c r="BT232" s="774" t="s">
        <v>3721</v>
      </c>
      <c r="BU232" s="775"/>
      <c r="BV232" s="775"/>
      <c r="BW232" s="775"/>
      <c r="BX232" s="776"/>
      <c r="BZ232" s="787" t="s">
        <v>3720</v>
      </c>
      <c r="CA232" s="774" t="s">
        <v>3721</v>
      </c>
      <c r="CB232" s="775"/>
      <c r="CC232" s="775"/>
      <c r="CD232" s="775"/>
      <c r="CE232" s="776"/>
      <c r="CG232" s="787" t="s">
        <v>3720</v>
      </c>
      <c r="CH232" s="774" t="s">
        <v>3721</v>
      </c>
      <c r="CI232" s="775"/>
      <c r="CJ232" s="775"/>
      <c r="CK232" s="775"/>
      <c r="CL232" s="776"/>
      <c r="CN232" s="787" t="s">
        <v>3720</v>
      </c>
      <c r="CO232" s="774" t="s">
        <v>3721</v>
      </c>
      <c r="CP232" s="775"/>
      <c r="CQ232" s="775"/>
      <c r="CR232" s="775"/>
      <c r="CS232" s="776"/>
    </row>
    <row r="233" spans="3:97" ht="15.75" thickBot="1" x14ac:dyDescent="0.3">
      <c r="C233" s="489">
        <v>0</v>
      </c>
      <c r="D233" s="490">
        <v>0.86</v>
      </c>
      <c r="E233" s="490">
        <v>0.93</v>
      </c>
      <c r="F233" s="490">
        <v>0.98</v>
      </c>
      <c r="G233" s="490">
        <v>1</v>
      </c>
      <c r="H233" s="490">
        <v>1</v>
      </c>
      <c r="I233" s="490">
        <v>0.98</v>
      </c>
      <c r="J233" s="490">
        <v>0.93</v>
      </c>
      <c r="K233" s="490">
        <v>0.86</v>
      </c>
      <c r="L233" s="490">
        <v>0.77</v>
      </c>
      <c r="M233" s="490">
        <v>0.67</v>
      </c>
      <c r="O233" s="788"/>
      <c r="P233" s="488">
        <v>0</v>
      </c>
      <c r="Q233" s="488">
        <v>10</v>
      </c>
      <c r="R233" s="488">
        <v>20</v>
      </c>
      <c r="S233" s="488">
        <v>30</v>
      </c>
      <c r="T233" s="488">
        <v>40</v>
      </c>
      <c r="V233" s="788"/>
      <c r="W233" s="488">
        <v>0</v>
      </c>
      <c r="X233" s="488">
        <v>10</v>
      </c>
      <c r="Y233" s="488">
        <v>20</v>
      </c>
      <c r="Z233" s="488">
        <v>30</v>
      </c>
      <c r="AA233" s="488">
        <v>40</v>
      </c>
      <c r="AC233" s="788"/>
      <c r="AD233" s="488">
        <v>0</v>
      </c>
      <c r="AE233" s="488">
        <v>10</v>
      </c>
      <c r="AF233" s="488">
        <v>20</v>
      </c>
      <c r="AG233" s="488">
        <v>30</v>
      </c>
      <c r="AH233" s="488">
        <v>40</v>
      </c>
      <c r="AJ233" s="788"/>
      <c r="AK233" s="488">
        <v>0</v>
      </c>
      <c r="AL233" s="488">
        <v>10</v>
      </c>
      <c r="AM233" s="488">
        <v>20</v>
      </c>
      <c r="AN233" s="488">
        <v>30</v>
      </c>
      <c r="AO233" s="488">
        <v>40</v>
      </c>
      <c r="AQ233" s="788"/>
      <c r="AR233" s="488">
        <v>0</v>
      </c>
      <c r="AS233" s="488">
        <v>10</v>
      </c>
      <c r="AT233" s="488">
        <v>20</v>
      </c>
      <c r="AU233" s="488">
        <v>30</v>
      </c>
      <c r="AV233" s="488">
        <v>40</v>
      </c>
      <c r="AX233" s="788"/>
      <c r="AY233" s="488">
        <v>0</v>
      </c>
      <c r="AZ233" s="488">
        <v>10</v>
      </c>
      <c r="BA233" s="488">
        <v>20</v>
      </c>
      <c r="BB233" s="488">
        <v>30</v>
      </c>
      <c r="BC233" s="488">
        <v>40</v>
      </c>
      <c r="BE233" s="788"/>
      <c r="BF233" s="488">
        <v>0</v>
      </c>
      <c r="BG233" s="488">
        <v>10</v>
      </c>
      <c r="BH233" s="488">
        <v>20</v>
      </c>
      <c r="BI233" s="488">
        <v>30</v>
      </c>
      <c r="BJ233" s="488">
        <v>40</v>
      </c>
      <c r="BL233" s="788"/>
      <c r="BM233" s="488">
        <v>0</v>
      </c>
      <c r="BN233" s="488">
        <v>10</v>
      </c>
      <c r="BO233" s="488">
        <v>20</v>
      </c>
      <c r="BP233" s="488">
        <v>30</v>
      </c>
      <c r="BQ233" s="488">
        <v>40</v>
      </c>
      <c r="BS233" s="788"/>
      <c r="BT233" s="488">
        <v>0</v>
      </c>
      <c r="BU233" s="488">
        <v>10</v>
      </c>
      <c r="BV233" s="488">
        <v>20</v>
      </c>
      <c r="BW233" s="488">
        <v>30</v>
      </c>
      <c r="BX233" s="488">
        <v>40</v>
      </c>
      <c r="BZ233" s="788"/>
      <c r="CA233" s="488">
        <v>0</v>
      </c>
      <c r="CB233" s="488">
        <v>10</v>
      </c>
      <c r="CC233" s="488">
        <v>20</v>
      </c>
      <c r="CD233" s="488">
        <v>30</v>
      </c>
      <c r="CE233" s="488">
        <v>40</v>
      </c>
      <c r="CG233" s="788"/>
      <c r="CH233" s="488">
        <v>0</v>
      </c>
      <c r="CI233" s="488">
        <v>10</v>
      </c>
      <c r="CJ233" s="488">
        <v>20</v>
      </c>
      <c r="CK233" s="488">
        <v>30</v>
      </c>
      <c r="CL233" s="488">
        <v>40</v>
      </c>
      <c r="CN233" s="788"/>
      <c r="CO233" s="488">
        <v>0</v>
      </c>
      <c r="CP233" s="488">
        <v>10</v>
      </c>
      <c r="CQ233" s="488">
        <v>20</v>
      </c>
      <c r="CR233" s="488">
        <v>30</v>
      </c>
      <c r="CS233" s="488">
        <v>40</v>
      </c>
    </row>
    <row r="234" spans="3:97" ht="15.75" thickBot="1" x14ac:dyDescent="0.3">
      <c r="C234" s="489">
        <v>10</v>
      </c>
      <c r="D234" s="490">
        <v>0.86</v>
      </c>
      <c r="E234" s="490">
        <v>0.92</v>
      </c>
      <c r="F234" s="490">
        <v>0.97</v>
      </c>
      <c r="G234" s="491">
        <v>0.99</v>
      </c>
      <c r="H234" s="491">
        <v>0.99</v>
      </c>
      <c r="I234" s="490">
        <v>0.97</v>
      </c>
      <c r="J234" s="490">
        <v>0.92</v>
      </c>
      <c r="K234" s="490">
        <v>0.85</v>
      </c>
      <c r="L234" s="490">
        <v>0.77</v>
      </c>
      <c r="M234" s="490">
        <v>0.67</v>
      </c>
      <c r="O234" s="489">
        <v>270</v>
      </c>
      <c r="P234" s="490">
        <v>1</v>
      </c>
      <c r="Q234" s="490">
        <v>1.01</v>
      </c>
      <c r="R234" s="490">
        <v>1</v>
      </c>
      <c r="S234" s="490">
        <v>0.98</v>
      </c>
      <c r="T234" s="490">
        <v>0.95</v>
      </c>
      <c r="V234" s="489">
        <v>270</v>
      </c>
      <c r="W234" s="490">
        <v>1</v>
      </c>
      <c r="X234" s="490">
        <v>1.01</v>
      </c>
      <c r="Y234" s="490">
        <v>1.01</v>
      </c>
      <c r="Z234" s="490">
        <v>0.99</v>
      </c>
      <c r="AA234" s="490">
        <v>0.96</v>
      </c>
      <c r="AC234" s="489">
        <v>270</v>
      </c>
      <c r="AD234" s="490">
        <v>1</v>
      </c>
      <c r="AE234" s="490">
        <v>1.02</v>
      </c>
      <c r="AF234" s="490">
        <v>1.01</v>
      </c>
      <c r="AG234" s="490">
        <v>1</v>
      </c>
      <c r="AH234" s="490">
        <v>0.98</v>
      </c>
      <c r="AJ234" s="489">
        <v>270</v>
      </c>
      <c r="AK234" s="490">
        <v>1</v>
      </c>
      <c r="AL234" s="490">
        <v>1.02</v>
      </c>
      <c r="AM234" s="490">
        <v>1.02</v>
      </c>
      <c r="AN234" s="490">
        <v>1.01</v>
      </c>
      <c r="AO234" s="490">
        <v>0.99</v>
      </c>
      <c r="AQ234" s="489">
        <v>270</v>
      </c>
      <c r="AR234" s="490">
        <v>1</v>
      </c>
      <c r="AS234" s="490">
        <v>1.01</v>
      </c>
      <c r="AT234" s="490">
        <v>1.02</v>
      </c>
      <c r="AU234" s="490">
        <v>1.02</v>
      </c>
      <c r="AV234" s="490">
        <v>1.01</v>
      </c>
      <c r="AX234" s="489">
        <v>270</v>
      </c>
      <c r="AY234" s="490">
        <v>1</v>
      </c>
      <c r="AZ234" s="490">
        <v>1.01</v>
      </c>
      <c r="BA234" s="490">
        <v>1.03</v>
      </c>
      <c r="BB234" s="490">
        <v>1.01</v>
      </c>
      <c r="BC234" s="490">
        <v>1.01</v>
      </c>
      <c r="BE234" s="489">
        <v>270</v>
      </c>
      <c r="BF234" s="490">
        <v>1</v>
      </c>
      <c r="BG234" s="490">
        <v>1.01</v>
      </c>
      <c r="BH234" s="490">
        <v>1.01</v>
      </c>
      <c r="BI234" s="490">
        <v>1.02</v>
      </c>
      <c r="BJ234" s="490">
        <v>1.01</v>
      </c>
      <c r="BL234" s="489">
        <v>270</v>
      </c>
      <c r="BM234" s="490">
        <v>1</v>
      </c>
      <c r="BN234" s="490">
        <v>1.01</v>
      </c>
      <c r="BO234" s="490">
        <v>1.02</v>
      </c>
      <c r="BP234" s="490">
        <v>1.01</v>
      </c>
      <c r="BQ234" s="490">
        <v>0.99</v>
      </c>
      <c r="BS234" s="489">
        <v>270</v>
      </c>
      <c r="BT234" s="490">
        <v>1</v>
      </c>
      <c r="BU234" s="490">
        <v>1.01</v>
      </c>
      <c r="BV234" s="490">
        <v>1.01</v>
      </c>
      <c r="BW234" s="490">
        <v>1.01</v>
      </c>
      <c r="BX234" s="490">
        <v>0.99</v>
      </c>
      <c r="BZ234" s="489">
        <v>270</v>
      </c>
      <c r="CA234" s="490">
        <v>1</v>
      </c>
      <c r="CB234" s="490">
        <v>1.01</v>
      </c>
      <c r="CC234" s="490">
        <v>1.01</v>
      </c>
      <c r="CD234" s="490">
        <v>1</v>
      </c>
      <c r="CE234" s="490">
        <v>0.97</v>
      </c>
      <c r="CG234" s="489">
        <v>270</v>
      </c>
      <c r="CH234" s="490">
        <v>1</v>
      </c>
      <c r="CI234" s="490">
        <v>1.01</v>
      </c>
      <c r="CJ234" s="490">
        <v>1</v>
      </c>
      <c r="CK234" s="490">
        <v>0.98</v>
      </c>
      <c r="CL234" s="490">
        <v>0.95</v>
      </c>
      <c r="CN234" s="489">
        <v>270</v>
      </c>
      <c r="CO234" s="490">
        <v>1</v>
      </c>
      <c r="CP234" s="490">
        <v>1.01</v>
      </c>
      <c r="CQ234" s="490">
        <v>1</v>
      </c>
      <c r="CR234" s="490">
        <v>0.97</v>
      </c>
      <c r="CS234" s="490">
        <v>0.93</v>
      </c>
    </row>
    <row r="235" spans="3:97" ht="15.75" thickBot="1" x14ac:dyDescent="0.3">
      <c r="C235" s="489">
        <v>20</v>
      </c>
      <c r="D235" s="490">
        <v>0.86</v>
      </c>
      <c r="E235" s="490">
        <v>0.92</v>
      </c>
      <c r="F235" s="490">
        <v>0.96</v>
      </c>
      <c r="G235" s="491">
        <v>0.99</v>
      </c>
      <c r="H235" s="491">
        <v>0.98</v>
      </c>
      <c r="I235" s="490">
        <v>0.96</v>
      </c>
      <c r="J235" s="490">
        <v>0.91</v>
      </c>
      <c r="K235" s="490">
        <v>0.84</v>
      </c>
      <c r="L235" s="490">
        <v>0.76</v>
      </c>
      <c r="M235" s="490">
        <v>0.67</v>
      </c>
      <c r="O235" s="489">
        <v>280</v>
      </c>
      <c r="P235" s="490">
        <v>1</v>
      </c>
      <c r="Q235" s="490">
        <v>1.02</v>
      </c>
      <c r="R235" s="490">
        <v>1.01</v>
      </c>
      <c r="S235" s="490">
        <v>0.99</v>
      </c>
      <c r="T235" s="490">
        <v>0.96</v>
      </c>
      <c r="V235" s="489">
        <v>280</v>
      </c>
      <c r="W235" s="490">
        <v>1</v>
      </c>
      <c r="X235" s="490">
        <v>1.02</v>
      </c>
      <c r="Y235" s="490">
        <v>1.02</v>
      </c>
      <c r="Z235" s="490">
        <v>1.01</v>
      </c>
      <c r="AA235" s="490">
        <v>0.98</v>
      </c>
      <c r="AC235" s="489">
        <v>280</v>
      </c>
      <c r="AD235" s="490">
        <v>1</v>
      </c>
      <c r="AE235" s="490">
        <v>1.03</v>
      </c>
      <c r="AF235" s="490">
        <v>1.04</v>
      </c>
      <c r="AG235" s="490">
        <v>1.04</v>
      </c>
      <c r="AH235" s="490">
        <v>1.03</v>
      </c>
      <c r="AJ235" s="489">
        <v>280</v>
      </c>
      <c r="AK235" s="490">
        <v>1</v>
      </c>
      <c r="AL235" s="490">
        <v>1.04</v>
      </c>
      <c r="AM235" s="490">
        <v>1.06</v>
      </c>
      <c r="AN235" s="490">
        <v>1.07</v>
      </c>
      <c r="AO235" s="490">
        <v>1.07</v>
      </c>
      <c r="AQ235" s="489">
        <v>280</v>
      </c>
      <c r="AR235" s="490">
        <v>1</v>
      </c>
      <c r="AS235" s="490">
        <v>1.04</v>
      </c>
      <c r="AT235" s="490">
        <v>1.0900000000000001</v>
      </c>
      <c r="AU235" s="490">
        <v>1.1100000000000001</v>
      </c>
      <c r="AV235" s="490">
        <v>1.1200000000000001</v>
      </c>
      <c r="AX235" s="489">
        <v>280</v>
      </c>
      <c r="AY235" s="490">
        <v>1</v>
      </c>
      <c r="AZ235" s="490">
        <v>1.06</v>
      </c>
      <c r="BA235" s="490">
        <v>1.0900000000000001</v>
      </c>
      <c r="BB235" s="490">
        <v>1.1299999999999999</v>
      </c>
      <c r="BC235" s="490">
        <v>1.1299999999999999</v>
      </c>
      <c r="BE235" s="489">
        <v>280</v>
      </c>
      <c r="BF235" s="490">
        <v>1</v>
      </c>
      <c r="BG235" s="490">
        <v>1.05</v>
      </c>
      <c r="BH235" s="490">
        <v>1.08</v>
      </c>
      <c r="BI235" s="490">
        <v>1.1100000000000001</v>
      </c>
      <c r="BJ235" s="490">
        <v>1.1299999999999999</v>
      </c>
      <c r="BL235" s="489">
        <v>280</v>
      </c>
      <c r="BM235" s="490">
        <v>1</v>
      </c>
      <c r="BN235" s="490">
        <v>1.04</v>
      </c>
      <c r="BO235" s="490">
        <v>1.07</v>
      </c>
      <c r="BP235" s="490">
        <v>1.08</v>
      </c>
      <c r="BQ235" s="490">
        <v>1.0900000000000001</v>
      </c>
      <c r="BS235" s="489">
        <v>280</v>
      </c>
      <c r="BT235" s="490">
        <v>1</v>
      </c>
      <c r="BU235" s="490">
        <v>1.03</v>
      </c>
      <c r="BV235" s="490">
        <v>1.05</v>
      </c>
      <c r="BW235" s="490">
        <v>1.05</v>
      </c>
      <c r="BX235" s="490">
        <v>1.04</v>
      </c>
      <c r="BZ235" s="489">
        <v>280</v>
      </c>
      <c r="CA235" s="490">
        <v>1</v>
      </c>
      <c r="CB235" s="490">
        <v>1.02</v>
      </c>
      <c r="CC235" s="490">
        <v>1.03</v>
      </c>
      <c r="CD235" s="490">
        <v>1.02</v>
      </c>
      <c r="CE235" s="490">
        <v>1</v>
      </c>
      <c r="CG235" s="489">
        <v>280</v>
      </c>
      <c r="CH235" s="490">
        <v>1</v>
      </c>
      <c r="CI235" s="490">
        <v>1.01</v>
      </c>
      <c r="CJ235" s="490">
        <v>1.01</v>
      </c>
      <c r="CK235" s="490">
        <v>1</v>
      </c>
      <c r="CL235" s="490">
        <v>0.97</v>
      </c>
      <c r="CN235" s="489">
        <v>280</v>
      </c>
      <c r="CO235" s="490">
        <v>1</v>
      </c>
      <c r="CP235" s="490">
        <v>1.01</v>
      </c>
      <c r="CQ235" s="490">
        <v>1</v>
      </c>
      <c r="CR235" s="490">
        <v>0.98</v>
      </c>
      <c r="CS235" s="490">
        <v>0.94</v>
      </c>
    </row>
    <row r="236" spans="3:97" ht="15.75" thickBot="1" x14ac:dyDescent="0.3">
      <c r="C236" s="489">
        <v>30</v>
      </c>
      <c r="D236" s="490">
        <v>0.86</v>
      </c>
      <c r="E236" s="490">
        <v>0.92</v>
      </c>
      <c r="F236" s="490">
        <v>0.95</v>
      </c>
      <c r="G236" s="491">
        <v>0.97</v>
      </c>
      <c r="H236" s="491">
        <v>0.96</v>
      </c>
      <c r="I236" s="490">
        <v>0.94</v>
      </c>
      <c r="J236" s="490">
        <v>0.89</v>
      </c>
      <c r="K236" s="490">
        <v>0.83</v>
      </c>
      <c r="L236" s="490">
        <v>0.75</v>
      </c>
      <c r="M236" s="490">
        <v>0.66</v>
      </c>
      <c r="O236" s="489">
        <v>290</v>
      </c>
      <c r="P236" s="490">
        <v>1</v>
      </c>
      <c r="Q236" s="490">
        <v>1.02</v>
      </c>
      <c r="R236" s="490">
        <v>1.02</v>
      </c>
      <c r="S236" s="490">
        <v>1</v>
      </c>
      <c r="T236" s="490">
        <v>0.97</v>
      </c>
      <c r="V236" s="489">
        <v>290</v>
      </c>
      <c r="W236" s="490">
        <v>1</v>
      </c>
      <c r="X236" s="490">
        <v>1.03</v>
      </c>
      <c r="Y236" s="490">
        <v>1.04</v>
      </c>
      <c r="Z236" s="490">
        <v>1.03</v>
      </c>
      <c r="AA236" s="490">
        <v>1</v>
      </c>
      <c r="AC236" s="489">
        <v>290</v>
      </c>
      <c r="AD236" s="490">
        <v>1</v>
      </c>
      <c r="AE236" s="490">
        <v>1.04</v>
      </c>
      <c r="AF236" s="490">
        <v>1.07</v>
      </c>
      <c r="AG236" s="490">
        <v>1.08</v>
      </c>
      <c r="AH236" s="490">
        <v>1.07</v>
      </c>
      <c r="AJ236" s="489">
        <v>290</v>
      </c>
      <c r="AK236" s="490">
        <v>1</v>
      </c>
      <c r="AL236" s="490">
        <v>1.06</v>
      </c>
      <c r="AM236" s="490">
        <v>1.1100000000000001</v>
      </c>
      <c r="AN236" s="490">
        <v>1.1299999999999999</v>
      </c>
      <c r="AO236" s="490">
        <v>1.1399999999999999</v>
      </c>
      <c r="AQ236" s="489">
        <v>290</v>
      </c>
      <c r="AR236" s="490">
        <v>1</v>
      </c>
      <c r="AS236" s="490">
        <v>1.07</v>
      </c>
      <c r="AT236" s="490">
        <v>1.1499999999999999</v>
      </c>
      <c r="AU236" s="490">
        <v>1.19</v>
      </c>
      <c r="AV236" s="490">
        <v>1.22</v>
      </c>
      <c r="AX236" s="489">
        <v>290</v>
      </c>
      <c r="AY236" s="490">
        <v>1</v>
      </c>
      <c r="AZ236" s="490">
        <v>1.1000000000000001</v>
      </c>
      <c r="BA236" s="490">
        <v>1.17</v>
      </c>
      <c r="BB236" s="490">
        <v>1.22</v>
      </c>
      <c r="BC236" s="490">
        <v>1.26</v>
      </c>
      <c r="BE236" s="489">
        <v>290</v>
      </c>
      <c r="BF236" s="490">
        <v>1</v>
      </c>
      <c r="BG236" s="490">
        <v>1.08</v>
      </c>
      <c r="BH236" s="490">
        <v>1.1599999999999999</v>
      </c>
      <c r="BI236" s="490">
        <v>1.21</v>
      </c>
      <c r="BJ236" s="490">
        <v>1.24</v>
      </c>
      <c r="BL236" s="489">
        <v>290</v>
      </c>
      <c r="BM236" s="490">
        <v>1</v>
      </c>
      <c r="BN236" s="490">
        <v>1.07</v>
      </c>
      <c r="BO236" s="490">
        <v>1.1200000000000001</v>
      </c>
      <c r="BP236" s="490">
        <v>1.1499999999999999</v>
      </c>
      <c r="BQ236" s="490">
        <v>1.17</v>
      </c>
      <c r="BS236" s="489">
        <v>290</v>
      </c>
      <c r="BT236" s="490">
        <v>1</v>
      </c>
      <c r="BU236" s="490">
        <v>1.05</v>
      </c>
      <c r="BV236" s="490">
        <v>1.08</v>
      </c>
      <c r="BW236" s="490">
        <v>1.1000000000000001</v>
      </c>
      <c r="BX236" s="490">
        <v>1.0900000000000001</v>
      </c>
      <c r="BZ236" s="489">
        <v>290</v>
      </c>
      <c r="CA236" s="490">
        <v>1</v>
      </c>
      <c r="CB236" s="490">
        <v>1.03</v>
      </c>
      <c r="CC236" s="490">
        <v>1.05</v>
      </c>
      <c r="CD236" s="490">
        <v>1.05</v>
      </c>
      <c r="CE236" s="490">
        <v>1.03</v>
      </c>
      <c r="CG236" s="489">
        <v>290</v>
      </c>
      <c r="CH236" s="490">
        <v>1</v>
      </c>
      <c r="CI236" s="490">
        <v>1.02</v>
      </c>
      <c r="CJ236" s="490">
        <v>1.02</v>
      </c>
      <c r="CK236" s="490">
        <v>1.01</v>
      </c>
      <c r="CL236" s="490">
        <v>0.98</v>
      </c>
      <c r="CN236" s="489">
        <v>290</v>
      </c>
      <c r="CO236" s="490">
        <v>1</v>
      </c>
      <c r="CP236" s="490">
        <v>1.01</v>
      </c>
      <c r="CQ236" s="490">
        <v>1</v>
      </c>
      <c r="CR236" s="490">
        <v>0.98</v>
      </c>
      <c r="CS236" s="490">
        <v>0.95</v>
      </c>
    </row>
    <row r="237" spans="3:97" ht="15.75" thickBot="1" x14ac:dyDescent="0.3">
      <c r="C237" s="489">
        <v>40</v>
      </c>
      <c r="D237" s="490">
        <v>0.86</v>
      </c>
      <c r="E237" s="490">
        <v>0.91</v>
      </c>
      <c r="F237" s="490">
        <v>0.94</v>
      </c>
      <c r="G237" s="491">
        <v>0.95</v>
      </c>
      <c r="H237" s="491">
        <v>0.95</v>
      </c>
      <c r="I237" s="490">
        <v>0.92</v>
      </c>
      <c r="J237" s="490">
        <v>0.87</v>
      </c>
      <c r="K237" s="490">
        <v>0.81</v>
      </c>
      <c r="L237" s="490">
        <v>0.74</v>
      </c>
      <c r="M237" s="490">
        <v>0.65</v>
      </c>
      <c r="O237" s="489">
        <v>300</v>
      </c>
      <c r="P237" s="490">
        <v>1</v>
      </c>
      <c r="Q237" s="490">
        <v>1.02</v>
      </c>
      <c r="R237" s="491">
        <v>1.02</v>
      </c>
      <c r="S237" s="490">
        <v>1</v>
      </c>
      <c r="T237" s="490">
        <v>0.97</v>
      </c>
      <c r="V237" s="489">
        <v>300</v>
      </c>
      <c r="W237" s="490">
        <v>1</v>
      </c>
      <c r="X237" s="490">
        <v>1.03</v>
      </c>
      <c r="Y237" s="491">
        <v>1.05</v>
      </c>
      <c r="Z237" s="490">
        <v>1.05</v>
      </c>
      <c r="AA237" s="490">
        <v>1.03</v>
      </c>
      <c r="AC237" s="489">
        <v>300</v>
      </c>
      <c r="AD237" s="490">
        <v>1</v>
      </c>
      <c r="AE237" s="490">
        <v>1.06</v>
      </c>
      <c r="AF237" s="491">
        <v>1.1000000000000001</v>
      </c>
      <c r="AG237" s="490">
        <v>1.1100000000000001</v>
      </c>
      <c r="AH237" s="490">
        <v>1.1100000000000001</v>
      </c>
      <c r="AJ237" s="489">
        <v>300</v>
      </c>
      <c r="AK237" s="490">
        <v>1</v>
      </c>
      <c r="AL237" s="490">
        <v>1.08</v>
      </c>
      <c r="AM237" s="491">
        <v>1.1499999999999999</v>
      </c>
      <c r="AN237" s="490">
        <v>1.19</v>
      </c>
      <c r="AO237" s="490">
        <v>1.21</v>
      </c>
      <c r="AQ237" s="489">
        <v>300</v>
      </c>
      <c r="AR237" s="490">
        <v>1</v>
      </c>
      <c r="AS237" s="490">
        <v>1.1100000000000001</v>
      </c>
      <c r="AT237" s="491">
        <v>1.2</v>
      </c>
      <c r="AU237" s="490">
        <v>1.28</v>
      </c>
      <c r="AV237" s="490">
        <v>1.32</v>
      </c>
      <c r="AX237" s="489">
        <v>300</v>
      </c>
      <c r="AY237" s="490">
        <v>1</v>
      </c>
      <c r="AZ237" s="490">
        <v>1.1299999999999999</v>
      </c>
      <c r="BA237" s="491">
        <v>1.24</v>
      </c>
      <c r="BB237" s="490">
        <v>1.32</v>
      </c>
      <c r="BC237" s="490">
        <v>1.37</v>
      </c>
      <c r="BE237" s="489">
        <v>300</v>
      </c>
      <c r="BF237" s="490">
        <v>1</v>
      </c>
      <c r="BG237" s="490">
        <v>1.1100000000000001</v>
      </c>
      <c r="BH237" s="491">
        <v>1.22</v>
      </c>
      <c r="BI237" s="490">
        <v>1.3</v>
      </c>
      <c r="BJ237" s="490">
        <v>1.34</v>
      </c>
      <c r="BL237" s="489">
        <v>300</v>
      </c>
      <c r="BM237" s="490">
        <v>1</v>
      </c>
      <c r="BN237" s="490">
        <v>1.1000000000000001</v>
      </c>
      <c r="BO237" s="491">
        <v>1.17</v>
      </c>
      <c r="BP237" s="490">
        <v>1.22</v>
      </c>
      <c r="BQ237" s="490">
        <v>1.25</v>
      </c>
      <c r="BS237" s="489">
        <v>300</v>
      </c>
      <c r="BT237" s="490">
        <v>1</v>
      </c>
      <c r="BU237" s="490">
        <v>1.07</v>
      </c>
      <c r="BV237" s="491">
        <v>1.1100000000000001</v>
      </c>
      <c r="BW237" s="490">
        <v>1.1299999999999999</v>
      </c>
      <c r="BX237" s="490">
        <v>1.1399999999999999</v>
      </c>
      <c r="BZ237" s="489">
        <v>300</v>
      </c>
      <c r="CA237" s="490">
        <v>1</v>
      </c>
      <c r="CB237" s="490">
        <v>1.04</v>
      </c>
      <c r="CC237" s="491">
        <v>1.06</v>
      </c>
      <c r="CD237" s="490">
        <v>1.07</v>
      </c>
      <c r="CE237" s="490">
        <v>1.05</v>
      </c>
      <c r="CG237" s="489">
        <v>300</v>
      </c>
      <c r="CH237" s="490">
        <v>1</v>
      </c>
      <c r="CI237" s="490">
        <v>1.02</v>
      </c>
      <c r="CJ237" s="491">
        <v>1.03</v>
      </c>
      <c r="CK237" s="490">
        <v>1.01</v>
      </c>
      <c r="CL237" s="490">
        <v>0.98</v>
      </c>
      <c r="CN237" s="489">
        <v>300</v>
      </c>
      <c r="CO237" s="490">
        <v>1</v>
      </c>
      <c r="CP237" s="490">
        <v>1.01</v>
      </c>
      <c r="CQ237" s="491">
        <v>1</v>
      </c>
      <c r="CR237" s="490">
        <v>0.98</v>
      </c>
      <c r="CS237" s="490">
        <v>0.94</v>
      </c>
    </row>
    <row r="238" spans="3:97" ht="15.75" thickBot="1" x14ac:dyDescent="0.3">
      <c r="C238" s="489">
        <v>50</v>
      </c>
      <c r="D238" s="490">
        <v>0.86</v>
      </c>
      <c r="E238" s="490">
        <v>0.9</v>
      </c>
      <c r="F238" s="490">
        <v>0.92</v>
      </c>
      <c r="G238" s="491">
        <v>0.93</v>
      </c>
      <c r="H238" s="491">
        <v>0.92</v>
      </c>
      <c r="I238" s="490">
        <v>0.89</v>
      </c>
      <c r="J238" s="490">
        <v>0.85</v>
      </c>
      <c r="K238" s="490">
        <v>0.79</v>
      </c>
      <c r="L238" s="490">
        <v>0.71</v>
      </c>
      <c r="M238" s="490">
        <v>0.63</v>
      </c>
      <c r="O238" s="489">
        <v>310</v>
      </c>
      <c r="P238" s="490">
        <v>1</v>
      </c>
      <c r="Q238" s="490">
        <v>1.02</v>
      </c>
      <c r="R238" s="491">
        <v>1.02</v>
      </c>
      <c r="S238" s="490">
        <v>1.01</v>
      </c>
      <c r="T238" s="490">
        <v>0.97</v>
      </c>
      <c r="V238" s="489">
        <v>310</v>
      </c>
      <c r="W238" s="490">
        <v>1</v>
      </c>
      <c r="X238" s="490">
        <v>1.04</v>
      </c>
      <c r="Y238" s="491">
        <v>1.06</v>
      </c>
      <c r="Z238" s="490">
        <v>1.06</v>
      </c>
      <c r="AA238" s="490">
        <v>1.04</v>
      </c>
      <c r="AC238" s="489">
        <v>310</v>
      </c>
      <c r="AD238" s="490">
        <v>1</v>
      </c>
      <c r="AE238" s="490">
        <v>1.07</v>
      </c>
      <c r="AF238" s="491">
        <v>1.1200000000000001</v>
      </c>
      <c r="AG238" s="490">
        <v>1.1399999999999999</v>
      </c>
      <c r="AH238" s="490">
        <v>1.1499999999999999</v>
      </c>
      <c r="AJ238" s="489">
        <v>310</v>
      </c>
      <c r="AK238" s="490">
        <v>1</v>
      </c>
      <c r="AL238" s="490">
        <v>1.1100000000000001</v>
      </c>
      <c r="AM238" s="491">
        <v>1.18</v>
      </c>
      <c r="AN238" s="490">
        <v>1.24</v>
      </c>
      <c r="AO238" s="490">
        <v>1.27</v>
      </c>
      <c r="AQ238" s="489">
        <v>310</v>
      </c>
      <c r="AR238" s="490">
        <v>1</v>
      </c>
      <c r="AS238" s="490">
        <v>1.1399999999999999</v>
      </c>
      <c r="AT238" s="491">
        <v>1.26</v>
      </c>
      <c r="AU238" s="490">
        <v>1.35</v>
      </c>
      <c r="AV238" s="490">
        <v>1.4</v>
      </c>
      <c r="AX238" s="489">
        <v>310</v>
      </c>
      <c r="AY238" s="490">
        <v>1</v>
      </c>
      <c r="AZ238" s="490">
        <v>1.17</v>
      </c>
      <c r="BA238" s="491">
        <v>1.31</v>
      </c>
      <c r="BB238" s="490">
        <v>1.41</v>
      </c>
      <c r="BC238" s="490">
        <v>1.49</v>
      </c>
      <c r="BE238" s="489">
        <v>310</v>
      </c>
      <c r="BF238" s="490">
        <v>1</v>
      </c>
      <c r="BG238" s="490">
        <v>1.1499999999999999</v>
      </c>
      <c r="BH238" s="491">
        <v>1.28</v>
      </c>
      <c r="BI238" s="490">
        <v>1.38</v>
      </c>
      <c r="BJ238" s="490">
        <v>1.45</v>
      </c>
      <c r="BL238" s="489">
        <v>310</v>
      </c>
      <c r="BM238" s="490">
        <v>1</v>
      </c>
      <c r="BN238" s="490">
        <v>1.1200000000000001</v>
      </c>
      <c r="BO238" s="491">
        <v>1.21</v>
      </c>
      <c r="BP238" s="490">
        <v>1.28</v>
      </c>
      <c r="BQ238" s="490">
        <v>1.32</v>
      </c>
      <c r="BS238" s="489">
        <v>310</v>
      </c>
      <c r="BT238" s="490">
        <v>1</v>
      </c>
      <c r="BU238" s="490">
        <v>1.08</v>
      </c>
      <c r="BV238" s="491">
        <v>1.1399999999999999</v>
      </c>
      <c r="BW238" s="490">
        <v>1.17</v>
      </c>
      <c r="BX238" s="490">
        <v>1.19</v>
      </c>
      <c r="BZ238" s="489">
        <v>310</v>
      </c>
      <c r="CA238" s="490">
        <v>1</v>
      </c>
      <c r="CB238" s="490">
        <v>1.05</v>
      </c>
      <c r="CC238" s="491">
        <v>1.08</v>
      </c>
      <c r="CD238" s="490">
        <v>1.0900000000000001</v>
      </c>
      <c r="CE238" s="490">
        <v>1.07</v>
      </c>
      <c r="CG238" s="489">
        <v>310</v>
      </c>
      <c r="CH238" s="490">
        <v>1</v>
      </c>
      <c r="CI238" s="490">
        <v>1.03</v>
      </c>
      <c r="CJ238" s="491">
        <v>1.03</v>
      </c>
      <c r="CK238" s="490">
        <v>1.02</v>
      </c>
      <c r="CL238" s="490">
        <v>0.99</v>
      </c>
      <c r="CN238" s="489">
        <v>310</v>
      </c>
      <c r="CO238" s="490">
        <v>1</v>
      </c>
      <c r="CP238" s="490">
        <v>1.01</v>
      </c>
      <c r="CQ238" s="491">
        <v>1</v>
      </c>
      <c r="CR238" s="490">
        <v>0.98</v>
      </c>
      <c r="CS238" s="490">
        <v>0.94</v>
      </c>
    </row>
    <row r="239" spans="3:97" ht="15.75" thickBot="1" x14ac:dyDescent="0.3">
      <c r="C239" s="489">
        <v>60</v>
      </c>
      <c r="D239" s="490">
        <v>0.86</v>
      </c>
      <c r="E239" s="490">
        <v>0.89</v>
      </c>
      <c r="F239" s="490">
        <v>0.91</v>
      </c>
      <c r="G239" s="491">
        <v>0.91</v>
      </c>
      <c r="H239" s="491">
        <v>0.89</v>
      </c>
      <c r="I239" s="490">
        <v>0.86</v>
      </c>
      <c r="J239" s="490">
        <v>0.81</v>
      </c>
      <c r="K239" s="490">
        <v>0.76</v>
      </c>
      <c r="L239" s="490">
        <v>0.69</v>
      </c>
      <c r="M239" s="490">
        <v>0.61</v>
      </c>
      <c r="O239" s="489">
        <v>320</v>
      </c>
      <c r="P239" s="490">
        <v>1</v>
      </c>
      <c r="Q239" s="490">
        <v>1.02</v>
      </c>
      <c r="R239" s="491">
        <v>1.02</v>
      </c>
      <c r="S239" s="490">
        <v>1</v>
      </c>
      <c r="T239" s="490">
        <v>0.97</v>
      </c>
      <c r="V239" s="489">
        <v>320</v>
      </c>
      <c r="W239" s="490">
        <v>1</v>
      </c>
      <c r="X239" s="490">
        <v>1.04</v>
      </c>
      <c r="Y239" s="491">
        <v>1.07</v>
      </c>
      <c r="Z239" s="490">
        <v>1.07</v>
      </c>
      <c r="AA239" s="490">
        <v>1.05</v>
      </c>
      <c r="AC239" s="489">
        <v>320</v>
      </c>
      <c r="AD239" s="490">
        <v>1</v>
      </c>
      <c r="AE239" s="490">
        <v>1.08</v>
      </c>
      <c r="AF239" s="491">
        <v>1.1399999999999999</v>
      </c>
      <c r="AG239" s="490">
        <v>1.17</v>
      </c>
      <c r="AH239" s="490">
        <v>1.17</v>
      </c>
      <c r="AJ239" s="489">
        <v>320</v>
      </c>
      <c r="AK239" s="490">
        <v>1</v>
      </c>
      <c r="AL239" s="490">
        <v>1.1200000000000001</v>
      </c>
      <c r="AM239" s="491">
        <v>1.22</v>
      </c>
      <c r="AN239" s="490">
        <v>1.29</v>
      </c>
      <c r="AO239" s="490">
        <v>1.32</v>
      </c>
      <c r="AQ239" s="489">
        <v>320</v>
      </c>
      <c r="AR239" s="490">
        <v>1</v>
      </c>
      <c r="AS239" s="490">
        <v>1.1599999999999999</v>
      </c>
      <c r="AT239" s="491">
        <v>1.3</v>
      </c>
      <c r="AU239" s="490">
        <v>1.41</v>
      </c>
      <c r="AV239" s="490">
        <v>1.49</v>
      </c>
      <c r="AX239" s="489">
        <v>320</v>
      </c>
      <c r="AY239" s="490">
        <v>1</v>
      </c>
      <c r="AZ239" s="490">
        <v>1.19</v>
      </c>
      <c r="BA239" s="491">
        <v>1.36</v>
      </c>
      <c r="BB239" s="490">
        <v>1.5</v>
      </c>
      <c r="BC239" s="490">
        <v>1.59</v>
      </c>
      <c r="BE239" s="489">
        <v>320</v>
      </c>
      <c r="BF239" s="490">
        <v>1</v>
      </c>
      <c r="BG239" s="490">
        <v>1.18</v>
      </c>
      <c r="BH239" s="491">
        <v>1.33</v>
      </c>
      <c r="BI239" s="490">
        <v>1.45</v>
      </c>
      <c r="BJ239" s="490">
        <v>1.54</v>
      </c>
      <c r="BL239" s="489">
        <v>320</v>
      </c>
      <c r="BM239" s="490">
        <v>1</v>
      </c>
      <c r="BN239" s="490">
        <v>1.1399999999999999</v>
      </c>
      <c r="BO239" s="491">
        <v>1.25</v>
      </c>
      <c r="BP239" s="490">
        <v>1.33</v>
      </c>
      <c r="BQ239" s="490">
        <v>1.39</v>
      </c>
      <c r="BS239" s="489">
        <v>320</v>
      </c>
      <c r="BT239" s="490">
        <v>1</v>
      </c>
      <c r="BU239" s="490">
        <v>1.0900000000000001</v>
      </c>
      <c r="BV239" s="491">
        <v>1.1599999999999999</v>
      </c>
      <c r="BW239" s="490">
        <v>1.2</v>
      </c>
      <c r="BX239" s="490">
        <v>1.21</v>
      </c>
      <c r="BZ239" s="489">
        <v>320</v>
      </c>
      <c r="CA239" s="490">
        <v>1</v>
      </c>
      <c r="CB239" s="490">
        <v>1.06</v>
      </c>
      <c r="CC239" s="491">
        <v>1.0900000000000001</v>
      </c>
      <c r="CD239" s="490">
        <v>1.1000000000000001</v>
      </c>
      <c r="CE239" s="490">
        <v>1.0900000000000001</v>
      </c>
      <c r="CG239" s="489">
        <v>320</v>
      </c>
      <c r="CH239" s="490">
        <v>1</v>
      </c>
      <c r="CI239" s="490">
        <v>1.03</v>
      </c>
      <c r="CJ239" s="491">
        <v>1.03</v>
      </c>
      <c r="CK239" s="490">
        <v>1.02</v>
      </c>
      <c r="CL239" s="490">
        <v>0.99</v>
      </c>
      <c r="CN239" s="489">
        <v>320</v>
      </c>
      <c r="CO239" s="490">
        <v>1</v>
      </c>
      <c r="CP239" s="490">
        <v>1.01</v>
      </c>
      <c r="CQ239" s="491">
        <v>1</v>
      </c>
      <c r="CR239" s="490">
        <v>0.98</v>
      </c>
      <c r="CS239" s="490">
        <v>0.93</v>
      </c>
    </row>
    <row r="240" spans="3:97" ht="15.75" thickBot="1" x14ac:dyDescent="0.3">
      <c r="C240" s="489">
        <v>70</v>
      </c>
      <c r="D240" s="490">
        <v>0.86</v>
      </c>
      <c r="E240" s="490">
        <v>0.88</v>
      </c>
      <c r="F240" s="490">
        <v>0.89</v>
      </c>
      <c r="G240" s="491">
        <v>0.88</v>
      </c>
      <c r="H240" s="491">
        <v>0.86</v>
      </c>
      <c r="I240" s="490">
        <v>0.82</v>
      </c>
      <c r="J240" s="490">
        <v>0.78</v>
      </c>
      <c r="K240" s="490">
        <v>0.73</v>
      </c>
      <c r="L240" s="490">
        <v>0.66</v>
      </c>
      <c r="M240" s="490">
        <v>0.59</v>
      </c>
      <c r="O240" s="489">
        <v>330</v>
      </c>
      <c r="P240" s="490">
        <v>1</v>
      </c>
      <c r="Q240" s="490">
        <v>1.02</v>
      </c>
      <c r="R240" s="491">
        <v>1.02</v>
      </c>
      <c r="S240" s="490">
        <v>1</v>
      </c>
      <c r="T240" s="490">
        <v>0.96</v>
      </c>
      <c r="V240" s="489">
        <v>330</v>
      </c>
      <c r="W240" s="490">
        <v>1</v>
      </c>
      <c r="X240" s="490">
        <v>1.05</v>
      </c>
      <c r="Y240" s="491">
        <v>1.07</v>
      </c>
      <c r="Z240" s="490">
        <v>1.07</v>
      </c>
      <c r="AA240" s="490">
        <v>1.05</v>
      </c>
      <c r="AC240" s="489">
        <v>330</v>
      </c>
      <c r="AD240" s="490">
        <v>1</v>
      </c>
      <c r="AE240" s="490">
        <v>1.0900000000000001</v>
      </c>
      <c r="AF240" s="491">
        <v>1.1499999999999999</v>
      </c>
      <c r="AG240" s="490">
        <v>1.19</v>
      </c>
      <c r="AH240" s="490">
        <v>1.2</v>
      </c>
      <c r="AJ240" s="489">
        <v>330</v>
      </c>
      <c r="AK240" s="490">
        <v>1</v>
      </c>
      <c r="AL240" s="490">
        <v>1.1399999999999999</v>
      </c>
      <c r="AM240" s="491">
        <v>1.24</v>
      </c>
      <c r="AN240" s="490">
        <v>1.33</v>
      </c>
      <c r="AO240" s="490">
        <v>1.37</v>
      </c>
      <c r="AQ240" s="489">
        <v>330</v>
      </c>
      <c r="AR240" s="490">
        <v>1</v>
      </c>
      <c r="AS240" s="490">
        <v>1.18</v>
      </c>
      <c r="AT240" s="491">
        <v>1.34</v>
      </c>
      <c r="AU240" s="490">
        <v>1.47</v>
      </c>
      <c r="AV240" s="490">
        <v>1.55</v>
      </c>
      <c r="AX240" s="489">
        <v>330</v>
      </c>
      <c r="AY240" s="490">
        <v>1</v>
      </c>
      <c r="AZ240" s="490">
        <v>1.22</v>
      </c>
      <c r="BA240" s="491">
        <v>1.41</v>
      </c>
      <c r="BB240" s="490">
        <v>1.56</v>
      </c>
      <c r="BC240" s="490">
        <v>1.68</v>
      </c>
      <c r="BE240" s="489">
        <v>330</v>
      </c>
      <c r="BF240" s="490">
        <v>1</v>
      </c>
      <c r="BG240" s="490">
        <v>1.2</v>
      </c>
      <c r="BH240" s="491">
        <v>1.38</v>
      </c>
      <c r="BI240" s="490">
        <v>1.52</v>
      </c>
      <c r="BJ240" s="490">
        <v>1.62</v>
      </c>
      <c r="BL240" s="489">
        <v>330</v>
      </c>
      <c r="BM240" s="490">
        <v>1</v>
      </c>
      <c r="BN240" s="490">
        <v>1.1599999999999999</v>
      </c>
      <c r="BO240" s="491">
        <v>1.28</v>
      </c>
      <c r="BP240" s="490">
        <v>1.38</v>
      </c>
      <c r="BQ240" s="490">
        <v>1.44</v>
      </c>
      <c r="BS240" s="489">
        <v>330</v>
      </c>
      <c r="BT240" s="490">
        <v>1</v>
      </c>
      <c r="BU240" s="490">
        <v>1.1000000000000001</v>
      </c>
      <c r="BV240" s="491">
        <v>1.17</v>
      </c>
      <c r="BW240" s="490">
        <v>1.23</v>
      </c>
      <c r="BX240" s="490">
        <v>1.25</v>
      </c>
      <c r="BZ240" s="489">
        <v>330</v>
      </c>
      <c r="CA240" s="490">
        <v>1</v>
      </c>
      <c r="CB240" s="490">
        <v>1.06</v>
      </c>
      <c r="CC240" s="491">
        <v>1.1000000000000001</v>
      </c>
      <c r="CD240" s="490">
        <v>1.1100000000000001</v>
      </c>
      <c r="CE240" s="490">
        <v>1.1000000000000001</v>
      </c>
      <c r="CG240" s="489">
        <v>330</v>
      </c>
      <c r="CH240" s="490">
        <v>1</v>
      </c>
      <c r="CI240" s="490">
        <v>1.03</v>
      </c>
      <c r="CJ240" s="491">
        <v>1.03</v>
      </c>
      <c r="CK240" s="490">
        <v>1.02</v>
      </c>
      <c r="CL240" s="490">
        <v>0.98</v>
      </c>
      <c r="CN240" s="489">
        <v>330</v>
      </c>
      <c r="CO240" s="490">
        <v>1</v>
      </c>
      <c r="CP240" s="490">
        <v>1.01</v>
      </c>
      <c r="CQ240" s="491">
        <v>1</v>
      </c>
      <c r="CR240" s="490">
        <v>0.97</v>
      </c>
      <c r="CS240" s="490">
        <v>0.93</v>
      </c>
    </row>
    <row r="241" spans="3:97" ht="15.75" thickBot="1" x14ac:dyDescent="0.3">
      <c r="C241" s="489">
        <v>80</v>
      </c>
      <c r="D241" s="490">
        <v>0.86</v>
      </c>
      <c r="E241" s="490">
        <v>0.87</v>
      </c>
      <c r="F241" s="490">
        <v>0.87</v>
      </c>
      <c r="G241" s="491">
        <v>0.85</v>
      </c>
      <c r="H241" s="491">
        <v>0.82</v>
      </c>
      <c r="I241" s="490">
        <v>0.78</v>
      </c>
      <c r="J241" s="490">
        <v>0.74</v>
      </c>
      <c r="K241" s="490">
        <v>0.68</v>
      </c>
      <c r="L241" s="490">
        <v>0.63</v>
      </c>
      <c r="M241" s="490">
        <v>0.56000000000000005</v>
      </c>
      <c r="O241" s="489">
        <v>340</v>
      </c>
      <c r="P241" s="490">
        <v>1</v>
      </c>
      <c r="Q241" s="490">
        <v>1.02</v>
      </c>
      <c r="R241" s="491">
        <v>1.02</v>
      </c>
      <c r="S241" s="490">
        <v>1</v>
      </c>
      <c r="T241" s="490">
        <v>0.95</v>
      </c>
      <c r="V241" s="489">
        <v>340</v>
      </c>
      <c r="W241" s="490">
        <v>1</v>
      </c>
      <c r="X241" s="490">
        <v>1.05</v>
      </c>
      <c r="Y241" s="491">
        <v>1.07</v>
      </c>
      <c r="Z241" s="490">
        <v>1.08</v>
      </c>
      <c r="AA241" s="490">
        <v>1.05</v>
      </c>
      <c r="AC241" s="489">
        <v>340</v>
      </c>
      <c r="AD241" s="490">
        <v>1</v>
      </c>
      <c r="AE241" s="490">
        <v>1.0900000000000001</v>
      </c>
      <c r="AF241" s="491">
        <v>1.1599999999999999</v>
      </c>
      <c r="AG241" s="490">
        <v>1.2</v>
      </c>
      <c r="AH241" s="490">
        <v>1.21</v>
      </c>
      <c r="AJ241" s="489">
        <v>340</v>
      </c>
      <c r="AK241" s="490">
        <v>1</v>
      </c>
      <c r="AL241" s="490">
        <v>1.1499999999999999</v>
      </c>
      <c r="AM241" s="491">
        <v>1.27</v>
      </c>
      <c r="AN241" s="490">
        <v>1.35</v>
      </c>
      <c r="AO241" s="490">
        <v>1.41</v>
      </c>
      <c r="AQ241" s="489">
        <v>340</v>
      </c>
      <c r="AR241" s="490">
        <v>1</v>
      </c>
      <c r="AS241" s="490">
        <v>1.19</v>
      </c>
      <c r="AT241" s="491">
        <v>1.37</v>
      </c>
      <c r="AU241" s="490">
        <v>1.51</v>
      </c>
      <c r="AV241" s="490">
        <v>1.61</v>
      </c>
      <c r="AX241" s="489">
        <v>340</v>
      </c>
      <c r="AY241" s="490">
        <v>1</v>
      </c>
      <c r="AZ241" s="490">
        <v>1.24</v>
      </c>
      <c r="BA241" s="491">
        <v>1.45</v>
      </c>
      <c r="BB241" s="490">
        <v>1.62</v>
      </c>
      <c r="BC241" s="490">
        <v>1.74</v>
      </c>
      <c r="BE241" s="489">
        <v>340</v>
      </c>
      <c r="BF241" s="490">
        <v>1</v>
      </c>
      <c r="BG241" s="490">
        <v>1.22</v>
      </c>
      <c r="BH241" s="491">
        <v>1.41</v>
      </c>
      <c r="BI241" s="490">
        <v>1.56</v>
      </c>
      <c r="BJ241" s="490">
        <v>1.68</v>
      </c>
      <c r="BL241" s="489">
        <v>340</v>
      </c>
      <c r="BM241" s="490">
        <v>1</v>
      </c>
      <c r="BN241" s="490">
        <v>1.17</v>
      </c>
      <c r="BO241" s="491">
        <v>1.31</v>
      </c>
      <c r="BP241" s="490">
        <v>1.41</v>
      </c>
      <c r="BQ241" s="490">
        <v>1.48</v>
      </c>
      <c r="BS241" s="489">
        <v>340</v>
      </c>
      <c r="BT241" s="490">
        <v>1</v>
      </c>
      <c r="BU241" s="490">
        <v>1.1100000000000001</v>
      </c>
      <c r="BV241" s="491">
        <v>1.19</v>
      </c>
      <c r="BW241" s="490">
        <v>1.24</v>
      </c>
      <c r="BX241" s="490">
        <v>1.26</v>
      </c>
      <c r="BZ241" s="489">
        <v>340</v>
      </c>
      <c r="CA241" s="490">
        <v>1</v>
      </c>
      <c r="CB241" s="490">
        <v>1.06</v>
      </c>
      <c r="CC241" s="491">
        <v>1.1000000000000001</v>
      </c>
      <c r="CD241" s="490">
        <v>1.1100000000000001</v>
      </c>
      <c r="CE241" s="490">
        <v>1.1000000000000001</v>
      </c>
      <c r="CG241" s="489">
        <v>340</v>
      </c>
      <c r="CH241" s="490">
        <v>1</v>
      </c>
      <c r="CI241" s="490">
        <v>1.03</v>
      </c>
      <c r="CJ241" s="491">
        <v>1.03</v>
      </c>
      <c r="CK241" s="490">
        <v>1.02</v>
      </c>
      <c r="CL241" s="490">
        <v>0.98</v>
      </c>
      <c r="CN241" s="489">
        <v>340</v>
      </c>
      <c r="CO241" s="490">
        <v>1</v>
      </c>
      <c r="CP241" s="490">
        <v>1.01</v>
      </c>
      <c r="CQ241" s="491">
        <v>1</v>
      </c>
      <c r="CR241" s="490">
        <v>0.97</v>
      </c>
      <c r="CS241" s="490">
        <v>0.92</v>
      </c>
    </row>
    <row r="242" spans="3:97" ht="15.75" thickBot="1" x14ac:dyDescent="0.3">
      <c r="C242" s="489">
        <v>90</v>
      </c>
      <c r="D242" s="490">
        <v>0.86</v>
      </c>
      <c r="E242" s="490">
        <v>0.85</v>
      </c>
      <c r="F242" s="490">
        <v>0.84</v>
      </c>
      <c r="G242" s="491">
        <v>0.82</v>
      </c>
      <c r="H242" s="491">
        <v>0.78</v>
      </c>
      <c r="I242" s="490">
        <v>0.74</v>
      </c>
      <c r="J242" s="490">
        <v>0.7</v>
      </c>
      <c r="K242" s="490">
        <v>0.64</v>
      </c>
      <c r="L242" s="490">
        <v>0.59</v>
      </c>
      <c r="M242" s="490">
        <v>0.53</v>
      </c>
      <c r="O242" s="489">
        <v>350</v>
      </c>
      <c r="P242" s="490">
        <v>1</v>
      </c>
      <c r="Q242" s="490">
        <v>1.02</v>
      </c>
      <c r="R242" s="491">
        <v>1.02</v>
      </c>
      <c r="S242" s="490">
        <v>0.99</v>
      </c>
      <c r="T242" s="490">
        <v>0.94</v>
      </c>
      <c r="V242" s="489">
        <v>350</v>
      </c>
      <c r="W242" s="490">
        <v>1</v>
      </c>
      <c r="X242" s="490">
        <v>1.05</v>
      </c>
      <c r="Y242" s="491">
        <v>1.08</v>
      </c>
      <c r="Z242" s="490">
        <v>1.08</v>
      </c>
      <c r="AA242" s="490">
        <v>1.05</v>
      </c>
      <c r="AC242" s="489">
        <v>350</v>
      </c>
      <c r="AD242" s="490">
        <v>1</v>
      </c>
      <c r="AE242" s="490">
        <v>1.1000000000000001</v>
      </c>
      <c r="AF242" s="491">
        <v>1.17</v>
      </c>
      <c r="AG242" s="490">
        <v>1.21</v>
      </c>
      <c r="AH242" s="490">
        <v>1.22</v>
      </c>
      <c r="AJ242" s="489">
        <v>350</v>
      </c>
      <c r="AK242" s="490">
        <v>1</v>
      </c>
      <c r="AL242" s="490">
        <v>1.1499999999999999</v>
      </c>
      <c r="AM242" s="491">
        <v>1.27</v>
      </c>
      <c r="AN242" s="490">
        <v>1.37</v>
      </c>
      <c r="AO242" s="490">
        <v>1.44</v>
      </c>
      <c r="AQ242" s="489">
        <v>350</v>
      </c>
      <c r="AR242" s="490">
        <v>1</v>
      </c>
      <c r="AS242" s="490">
        <v>1.2</v>
      </c>
      <c r="AT242" s="491">
        <v>1.38</v>
      </c>
      <c r="AU242" s="490">
        <v>1.53</v>
      </c>
      <c r="AV242" s="490">
        <v>1.64</v>
      </c>
      <c r="AX242" s="489">
        <v>350</v>
      </c>
      <c r="AY242" s="490">
        <v>1</v>
      </c>
      <c r="AZ242" s="490">
        <v>1.26</v>
      </c>
      <c r="BA242" s="491">
        <v>1.47</v>
      </c>
      <c r="BB242" s="490">
        <v>1.65</v>
      </c>
      <c r="BC242" s="490">
        <v>1.79</v>
      </c>
      <c r="BE242" s="489">
        <v>350</v>
      </c>
      <c r="BF242" s="490">
        <v>1</v>
      </c>
      <c r="BG242" s="490">
        <v>1.23</v>
      </c>
      <c r="BH242" s="491">
        <v>1.43</v>
      </c>
      <c r="BI242" s="490">
        <v>1.6</v>
      </c>
      <c r="BJ242" s="490">
        <v>1.72</v>
      </c>
      <c r="BL242" s="489">
        <v>350</v>
      </c>
      <c r="BM242" s="490">
        <v>1</v>
      </c>
      <c r="BN242" s="490">
        <v>1.18</v>
      </c>
      <c r="BO242" s="491">
        <v>1.32</v>
      </c>
      <c r="BP242" s="490">
        <v>1.44</v>
      </c>
      <c r="BQ242" s="490">
        <v>1.52</v>
      </c>
      <c r="BS242" s="489">
        <v>350</v>
      </c>
      <c r="BT242" s="490">
        <v>1</v>
      </c>
      <c r="BU242" s="490">
        <v>1.1100000000000001</v>
      </c>
      <c r="BV242" s="491">
        <v>1.2</v>
      </c>
      <c r="BW242" s="490">
        <v>1.25</v>
      </c>
      <c r="BX242" s="490">
        <v>1.28</v>
      </c>
      <c r="BZ242" s="489">
        <v>350</v>
      </c>
      <c r="CA242" s="490">
        <v>1</v>
      </c>
      <c r="CB242" s="490">
        <v>1.06</v>
      </c>
      <c r="CC242" s="491">
        <v>1.1000000000000001</v>
      </c>
      <c r="CD242" s="490">
        <v>1.1200000000000001</v>
      </c>
      <c r="CE242" s="490">
        <v>1.1000000000000001</v>
      </c>
      <c r="CG242" s="489">
        <v>350</v>
      </c>
      <c r="CH242" s="490">
        <v>1</v>
      </c>
      <c r="CI242" s="490">
        <v>1.03</v>
      </c>
      <c r="CJ242" s="491">
        <v>1.03</v>
      </c>
      <c r="CK242" s="490">
        <v>1.01</v>
      </c>
      <c r="CL242" s="490">
        <v>0.97</v>
      </c>
      <c r="CN242" s="489">
        <v>350</v>
      </c>
      <c r="CO242" s="490">
        <v>1</v>
      </c>
      <c r="CP242" s="490">
        <v>1.01</v>
      </c>
      <c r="CQ242" s="491">
        <v>1</v>
      </c>
      <c r="CR242" s="490">
        <v>0.97</v>
      </c>
      <c r="CS242" s="490">
        <v>0.91</v>
      </c>
    </row>
    <row r="243" spans="3:97" ht="15.75" thickBot="1" x14ac:dyDescent="0.3">
      <c r="C243" s="489">
        <v>100</v>
      </c>
      <c r="D243" s="490">
        <v>0.86</v>
      </c>
      <c r="E243" s="490">
        <v>0.84</v>
      </c>
      <c r="F243" s="490">
        <v>0.82</v>
      </c>
      <c r="G243" s="491">
        <v>0.78</v>
      </c>
      <c r="H243" s="491">
        <v>0.74</v>
      </c>
      <c r="I243" s="490">
        <v>0.7</v>
      </c>
      <c r="J243" s="490">
        <v>0.65</v>
      </c>
      <c r="K243" s="490">
        <v>0.6</v>
      </c>
      <c r="L243" s="490">
        <v>0.55000000000000004</v>
      </c>
      <c r="M243" s="490">
        <v>0.49</v>
      </c>
      <c r="O243" s="489">
        <v>0</v>
      </c>
      <c r="P243" s="490">
        <v>1</v>
      </c>
      <c r="Q243" s="490">
        <v>1.02</v>
      </c>
      <c r="R243" s="491">
        <v>1.01</v>
      </c>
      <c r="S243" s="490">
        <v>0.99</v>
      </c>
      <c r="T243" s="490">
        <v>0.93</v>
      </c>
      <c r="V243" s="489">
        <v>0</v>
      </c>
      <c r="W243" s="490">
        <v>1</v>
      </c>
      <c r="X243" s="490">
        <v>1.05</v>
      </c>
      <c r="Y243" s="491">
        <v>1.07</v>
      </c>
      <c r="Z243" s="490">
        <v>1.07</v>
      </c>
      <c r="AA243" s="490">
        <v>1.05</v>
      </c>
      <c r="AC243" s="489">
        <v>0</v>
      </c>
      <c r="AD243" s="490">
        <v>1</v>
      </c>
      <c r="AE243" s="490">
        <v>1.1000000000000001</v>
      </c>
      <c r="AF243" s="491">
        <v>1.17</v>
      </c>
      <c r="AG243" s="490">
        <v>1.21</v>
      </c>
      <c r="AH243" s="490">
        <v>1.22</v>
      </c>
      <c r="AJ243" s="489">
        <v>0</v>
      </c>
      <c r="AK243" s="490">
        <v>1</v>
      </c>
      <c r="AL243" s="490">
        <v>1.1499999999999999</v>
      </c>
      <c r="AM243" s="491">
        <v>1.28</v>
      </c>
      <c r="AN243" s="490">
        <v>1.37</v>
      </c>
      <c r="AO243" s="490">
        <v>1.44</v>
      </c>
      <c r="AQ243" s="489">
        <v>0</v>
      </c>
      <c r="AR243" s="490">
        <v>1</v>
      </c>
      <c r="AS243" s="490">
        <v>1.2</v>
      </c>
      <c r="AT243" s="491">
        <v>1.39</v>
      </c>
      <c r="AU243" s="490">
        <v>1.54</v>
      </c>
      <c r="AV243" s="490">
        <v>1.65</v>
      </c>
      <c r="AX243" s="489">
        <v>0</v>
      </c>
      <c r="AY243" s="490">
        <v>1</v>
      </c>
      <c r="AZ243" s="490">
        <v>1.26</v>
      </c>
      <c r="BA243" s="491">
        <v>1.47</v>
      </c>
      <c r="BB243" s="490">
        <v>1.67</v>
      </c>
      <c r="BC243" s="490">
        <v>1.81</v>
      </c>
      <c r="BE243" s="489">
        <v>0</v>
      </c>
      <c r="BF243" s="490">
        <v>1</v>
      </c>
      <c r="BG243" s="490">
        <v>1.23</v>
      </c>
      <c r="BH243" s="491">
        <v>1.44</v>
      </c>
      <c r="BI243" s="490">
        <v>1.61</v>
      </c>
      <c r="BJ243" s="490">
        <v>1.74</v>
      </c>
      <c r="BL243" s="489">
        <v>0</v>
      </c>
      <c r="BM243" s="490">
        <v>1</v>
      </c>
      <c r="BN243" s="490">
        <v>1.18</v>
      </c>
      <c r="BO243" s="491">
        <v>1.32</v>
      </c>
      <c r="BP243" s="490">
        <v>1.45</v>
      </c>
      <c r="BQ243" s="490">
        <v>1.53</v>
      </c>
      <c r="BS243" s="489">
        <v>0</v>
      </c>
      <c r="BT243" s="490">
        <v>1</v>
      </c>
      <c r="BU243" s="490">
        <v>1.1100000000000001</v>
      </c>
      <c r="BV243" s="491">
        <v>1.2</v>
      </c>
      <c r="BW243" s="490">
        <v>1.25</v>
      </c>
      <c r="BX243" s="490">
        <v>1.28</v>
      </c>
      <c r="BZ243" s="489">
        <v>0</v>
      </c>
      <c r="CA243" s="490">
        <v>1</v>
      </c>
      <c r="CB243" s="490">
        <v>1.06</v>
      </c>
      <c r="CC243" s="491">
        <v>1.1000000000000001</v>
      </c>
      <c r="CD243" s="490">
        <v>1.1100000000000001</v>
      </c>
      <c r="CE243" s="490">
        <v>1.1000000000000001</v>
      </c>
      <c r="CG243" s="489">
        <v>0</v>
      </c>
      <c r="CH243" s="490">
        <v>1</v>
      </c>
      <c r="CI243" s="490">
        <v>1.03</v>
      </c>
      <c r="CJ243" s="491">
        <v>1.03</v>
      </c>
      <c r="CK243" s="490">
        <v>1.01</v>
      </c>
      <c r="CL243" s="490">
        <v>0.97</v>
      </c>
      <c r="CN243" s="489">
        <v>0</v>
      </c>
      <c r="CO243" s="490">
        <v>1</v>
      </c>
      <c r="CP243" s="490">
        <v>1.01</v>
      </c>
      <c r="CQ243" s="491">
        <v>1</v>
      </c>
      <c r="CR243" s="490">
        <v>0.96</v>
      </c>
      <c r="CS243" s="490">
        <v>0.9</v>
      </c>
    </row>
    <row r="244" spans="3:97" ht="15.75" thickBot="1" x14ac:dyDescent="0.3">
      <c r="C244" s="489">
        <v>110</v>
      </c>
      <c r="D244" s="490">
        <v>0.86</v>
      </c>
      <c r="E244" s="490">
        <v>0.84</v>
      </c>
      <c r="F244" s="490">
        <v>0.8</v>
      </c>
      <c r="G244" s="491">
        <v>0.75</v>
      </c>
      <c r="H244" s="491">
        <v>0.71</v>
      </c>
      <c r="I244" s="490">
        <v>0.65</v>
      </c>
      <c r="J244" s="490">
        <v>0.61</v>
      </c>
      <c r="K244" s="490">
        <v>0.56000000000000005</v>
      </c>
      <c r="L244" s="490">
        <v>0.5</v>
      </c>
      <c r="M244" s="490">
        <v>0.45</v>
      </c>
      <c r="O244" s="489">
        <v>10</v>
      </c>
      <c r="P244" s="490">
        <v>1</v>
      </c>
      <c r="Q244" s="490">
        <v>1.02</v>
      </c>
      <c r="R244" s="491">
        <v>1.01</v>
      </c>
      <c r="S244" s="490">
        <v>0.98</v>
      </c>
      <c r="T244" s="490">
        <v>0.93</v>
      </c>
      <c r="V244" s="489">
        <v>10</v>
      </c>
      <c r="W244" s="490">
        <v>1</v>
      </c>
      <c r="X244" s="490">
        <v>1.05</v>
      </c>
      <c r="Y244" s="491">
        <v>1.07</v>
      </c>
      <c r="Z244" s="490">
        <v>1.07</v>
      </c>
      <c r="AA244" s="490">
        <v>1.04</v>
      </c>
      <c r="AC244" s="489">
        <v>10</v>
      </c>
      <c r="AD244" s="490">
        <v>1</v>
      </c>
      <c r="AE244" s="490">
        <v>1.1000000000000001</v>
      </c>
      <c r="AF244" s="491">
        <v>1.1599999999999999</v>
      </c>
      <c r="AG244" s="490">
        <v>1.2</v>
      </c>
      <c r="AH244" s="490">
        <v>1.21</v>
      </c>
      <c r="AJ244" s="489">
        <v>10</v>
      </c>
      <c r="AK244" s="490">
        <v>1</v>
      </c>
      <c r="AL244" s="490">
        <v>1.1499999999999999</v>
      </c>
      <c r="AM244" s="491">
        <v>1.27</v>
      </c>
      <c r="AN244" s="490">
        <v>1.37</v>
      </c>
      <c r="AO244" s="490">
        <v>1.43</v>
      </c>
      <c r="AQ244" s="489">
        <v>10</v>
      </c>
      <c r="AR244" s="490">
        <v>1</v>
      </c>
      <c r="AS244" s="490">
        <v>1.2</v>
      </c>
      <c r="AT244" s="491">
        <v>1.38</v>
      </c>
      <c r="AU244" s="490">
        <v>1.53</v>
      </c>
      <c r="AV244" s="490">
        <v>1.64</v>
      </c>
      <c r="AX244" s="489">
        <v>10</v>
      </c>
      <c r="AY244" s="490">
        <v>1</v>
      </c>
      <c r="AZ244" s="490">
        <v>1.26</v>
      </c>
      <c r="BA244" s="491">
        <v>1.47</v>
      </c>
      <c r="BB244" s="490">
        <v>1.65</v>
      </c>
      <c r="BC244" s="490">
        <v>1.79</v>
      </c>
      <c r="BE244" s="489">
        <v>10</v>
      </c>
      <c r="BF244" s="490">
        <v>1</v>
      </c>
      <c r="BG244" s="490">
        <v>1.23</v>
      </c>
      <c r="BH244" s="491">
        <v>1.43</v>
      </c>
      <c r="BI244" s="490">
        <v>1.6</v>
      </c>
      <c r="BJ244" s="490">
        <v>1.72</v>
      </c>
      <c r="BL244" s="489">
        <v>10</v>
      </c>
      <c r="BM244" s="490">
        <v>1</v>
      </c>
      <c r="BN244" s="490">
        <v>1.18</v>
      </c>
      <c r="BO244" s="491">
        <v>1.32</v>
      </c>
      <c r="BP244" s="490">
        <v>1.44</v>
      </c>
      <c r="BQ244" s="490">
        <v>1.52</v>
      </c>
      <c r="BS244" s="489">
        <v>10</v>
      </c>
      <c r="BT244" s="490">
        <v>1</v>
      </c>
      <c r="BU244" s="490">
        <v>1.1100000000000001</v>
      </c>
      <c r="BV244" s="491">
        <v>1.19</v>
      </c>
      <c r="BW244" s="490">
        <v>1.25</v>
      </c>
      <c r="BX244" s="490">
        <v>1.27</v>
      </c>
      <c r="BZ244" s="489">
        <v>10</v>
      </c>
      <c r="CA244" s="490">
        <v>1</v>
      </c>
      <c r="CB244" s="490">
        <v>1.06</v>
      </c>
      <c r="CC244" s="491">
        <v>1.1000000000000001</v>
      </c>
      <c r="CD244" s="490">
        <v>1.1100000000000001</v>
      </c>
      <c r="CE244" s="490">
        <v>1.0900000000000001</v>
      </c>
      <c r="CG244" s="489">
        <v>10</v>
      </c>
      <c r="CH244" s="490">
        <v>1</v>
      </c>
      <c r="CI244" s="490">
        <v>1.03</v>
      </c>
      <c r="CJ244" s="491">
        <v>1.03</v>
      </c>
      <c r="CK244" s="490">
        <v>1.01</v>
      </c>
      <c r="CL244" s="490">
        <v>0.96</v>
      </c>
      <c r="CN244" s="489">
        <v>10</v>
      </c>
      <c r="CO244" s="490">
        <v>1</v>
      </c>
      <c r="CP244" s="490">
        <v>1.01</v>
      </c>
      <c r="CQ244" s="491">
        <v>1</v>
      </c>
      <c r="CR244" s="490">
        <v>0.96</v>
      </c>
      <c r="CS244" s="490">
        <v>0.9</v>
      </c>
    </row>
    <row r="245" spans="3:97" ht="15.75" thickBot="1" x14ac:dyDescent="0.3">
      <c r="C245" s="489">
        <v>120</v>
      </c>
      <c r="D245" s="490">
        <v>0.86</v>
      </c>
      <c r="E245" s="490">
        <v>0.82</v>
      </c>
      <c r="F245" s="490">
        <v>0.78</v>
      </c>
      <c r="G245" s="491">
        <v>0.72</v>
      </c>
      <c r="H245" s="491">
        <v>0.67</v>
      </c>
      <c r="I245" s="490">
        <v>0.61</v>
      </c>
      <c r="J245" s="490">
        <v>0.56000000000000005</v>
      </c>
      <c r="K245" s="490">
        <v>0.51</v>
      </c>
      <c r="L245" s="490">
        <v>0.46</v>
      </c>
      <c r="M245" s="490">
        <v>0.42</v>
      </c>
      <c r="O245" s="489">
        <v>20</v>
      </c>
      <c r="P245" s="490">
        <v>1</v>
      </c>
      <c r="Q245" s="490">
        <v>1.02</v>
      </c>
      <c r="R245" s="491">
        <v>1.01</v>
      </c>
      <c r="S245" s="490">
        <v>0.98</v>
      </c>
      <c r="T245" s="490">
        <v>0.93</v>
      </c>
      <c r="V245" s="489">
        <v>20</v>
      </c>
      <c r="W245" s="490">
        <v>1</v>
      </c>
      <c r="X245" s="490">
        <v>1.04</v>
      </c>
      <c r="Y245" s="491">
        <v>1.06</v>
      </c>
      <c r="Z245" s="490">
        <v>1.06</v>
      </c>
      <c r="AA245" s="490">
        <v>1.03</v>
      </c>
      <c r="AC245" s="489">
        <v>20</v>
      </c>
      <c r="AD245" s="490">
        <v>1</v>
      </c>
      <c r="AE245" s="490">
        <v>1.0900000000000001</v>
      </c>
      <c r="AF245" s="491">
        <v>1.1499999999999999</v>
      </c>
      <c r="AG245" s="490">
        <v>1.19</v>
      </c>
      <c r="AH245" s="490">
        <v>1.2</v>
      </c>
      <c r="AJ245" s="489">
        <v>20</v>
      </c>
      <c r="AK245" s="490">
        <v>1</v>
      </c>
      <c r="AL245" s="490">
        <v>1.1499999999999999</v>
      </c>
      <c r="AM245" s="491">
        <v>1.26</v>
      </c>
      <c r="AN245" s="490">
        <v>1.35</v>
      </c>
      <c r="AO245" s="490">
        <v>1.4</v>
      </c>
      <c r="AQ245" s="489">
        <v>20</v>
      </c>
      <c r="AR245" s="490">
        <v>1</v>
      </c>
      <c r="AS245" s="490">
        <v>1.19</v>
      </c>
      <c r="AT245" s="491">
        <v>1.36</v>
      </c>
      <c r="AU245" s="490">
        <v>1.5</v>
      </c>
      <c r="AV245" s="490">
        <v>1.61</v>
      </c>
      <c r="AX245" s="489">
        <v>20</v>
      </c>
      <c r="AY245" s="490">
        <v>1</v>
      </c>
      <c r="AZ245" s="490">
        <v>1.24</v>
      </c>
      <c r="BA245" s="491">
        <v>1.45</v>
      </c>
      <c r="BB245" s="490">
        <v>1.63</v>
      </c>
      <c r="BC245" s="490">
        <v>1.76</v>
      </c>
      <c r="BE245" s="489">
        <v>20</v>
      </c>
      <c r="BF245" s="490">
        <v>1</v>
      </c>
      <c r="BG245" s="490">
        <v>1.22</v>
      </c>
      <c r="BH245" s="491">
        <v>1.41</v>
      </c>
      <c r="BI245" s="490">
        <v>1.56</v>
      </c>
      <c r="BJ245" s="490">
        <v>1.69</v>
      </c>
      <c r="BL245" s="489">
        <v>20</v>
      </c>
      <c r="BM245" s="490">
        <v>1</v>
      </c>
      <c r="BN245" s="490">
        <v>1.17</v>
      </c>
      <c r="BO245" s="491">
        <v>1.31</v>
      </c>
      <c r="BP245" s="490">
        <v>1.41</v>
      </c>
      <c r="BQ245" s="490">
        <v>1.49</v>
      </c>
      <c r="BS245" s="489">
        <v>20</v>
      </c>
      <c r="BT245" s="490">
        <v>1</v>
      </c>
      <c r="BU245" s="490">
        <v>1.1100000000000001</v>
      </c>
      <c r="BV245" s="491">
        <v>1.19</v>
      </c>
      <c r="BW245" s="490">
        <v>1.23</v>
      </c>
      <c r="BX245" s="490">
        <v>1.25</v>
      </c>
      <c r="BZ245" s="489">
        <v>20</v>
      </c>
      <c r="CA245" s="490">
        <v>1</v>
      </c>
      <c r="CB245" s="490">
        <v>1.06</v>
      </c>
      <c r="CC245" s="491">
        <v>1.0900000000000001</v>
      </c>
      <c r="CD245" s="490">
        <v>1.1000000000000001</v>
      </c>
      <c r="CE245" s="490">
        <v>1.0900000000000001</v>
      </c>
      <c r="CG245" s="489">
        <v>20</v>
      </c>
      <c r="CH245" s="490">
        <v>1</v>
      </c>
      <c r="CI245" s="490">
        <v>1.03</v>
      </c>
      <c r="CJ245" s="491">
        <v>1.03</v>
      </c>
      <c r="CK245" s="490">
        <v>1</v>
      </c>
      <c r="CL245" s="490">
        <v>0.96</v>
      </c>
      <c r="CN245" s="489">
        <v>20</v>
      </c>
      <c r="CO245" s="490">
        <v>1</v>
      </c>
      <c r="CP245" s="490">
        <v>1.01</v>
      </c>
      <c r="CQ245" s="491">
        <v>1</v>
      </c>
      <c r="CR245" s="490">
        <v>0.96</v>
      </c>
      <c r="CS245" s="490">
        <v>0.91</v>
      </c>
    </row>
    <row r="246" spans="3:97" ht="15.75" thickBot="1" x14ac:dyDescent="0.3">
      <c r="C246" s="489">
        <v>130</v>
      </c>
      <c r="D246" s="490">
        <v>0.86</v>
      </c>
      <c r="E246" s="490">
        <v>0.81</v>
      </c>
      <c r="F246" s="490">
        <v>0.76</v>
      </c>
      <c r="G246" s="491">
        <v>0.69</v>
      </c>
      <c r="H246" s="491">
        <v>0.63</v>
      </c>
      <c r="I246" s="490">
        <v>0.56999999999999995</v>
      </c>
      <c r="J246" s="490">
        <v>0.51</v>
      </c>
      <c r="K246" s="490">
        <v>0.46</v>
      </c>
      <c r="L246" s="490">
        <v>0.42</v>
      </c>
      <c r="M246" s="490">
        <v>0.37</v>
      </c>
      <c r="O246" s="489">
        <v>30</v>
      </c>
      <c r="P246" s="490">
        <v>1</v>
      </c>
      <c r="Q246" s="490">
        <v>1.01</v>
      </c>
      <c r="R246" s="491">
        <v>1</v>
      </c>
      <c r="S246" s="490">
        <v>0.98</v>
      </c>
      <c r="T246" s="490">
        <v>0.93</v>
      </c>
      <c r="V246" s="489">
        <v>30</v>
      </c>
      <c r="W246" s="490">
        <v>1</v>
      </c>
      <c r="X246" s="490">
        <v>1.04</v>
      </c>
      <c r="Y246" s="491">
        <v>1.06</v>
      </c>
      <c r="Z246" s="490">
        <v>1.05</v>
      </c>
      <c r="AA246" s="490">
        <v>1.03</v>
      </c>
      <c r="AC246" s="489">
        <v>30</v>
      </c>
      <c r="AD246" s="490">
        <v>1</v>
      </c>
      <c r="AE246" s="490">
        <v>1.08</v>
      </c>
      <c r="AF246" s="491">
        <v>1.1399999999999999</v>
      </c>
      <c r="AG246" s="490">
        <v>1.17</v>
      </c>
      <c r="AH246" s="490">
        <v>1.18</v>
      </c>
      <c r="AJ246" s="489">
        <v>30</v>
      </c>
      <c r="AK246" s="490">
        <v>1</v>
      </c>
      <c r="AL246" s="490">
        <v>1.1399999999999999</v>
      </c>
      <c r="AM246" s="491">
        <v>1.24</v>
      </c>
      <c r="AN246" s="490">
        <v>1.32</v>
      </c>
      <c r="AO246" s="490">
        <v>1.37</v>
      </c>
      <c r="AQ246" s="489">
        <v>30</v>
      </c>
      <c r="AR246" s="490">
        <v>1</v>
      </c>
      <c r="AS246" s="490">
        <v>1.18</v>
      </c>
      <c r="AT246" s="491">
        <v>1.33</v>
      </c>
      <c r="AU246" s="490">
        <v>1.46</v>
      </c>
      <c r="AV246" s="490">
        <v>1.54</v>
      </c>
      <c r="AX246" s="489">
        <v>30</v>
      </c>
      <c r="AY246" s="490">
        <v>1</v>
      </c>
      <c r="AZ246" s="490">
        <v>1.23</v>
      </c>
      <c r="BA246" s="491">
        <v>1.42</v>
      </c>
      <c r="BB246" s="490">
        <v>1.58</v>
      </c>
      <c r="BC246" s="490">
        <v>1.69</v>
      </c>
      <c r="BE246" s="489">
        <v>30</v>
      </c>
      <c r="BF246" s="490">
        <v>1</v>
      </c>
      <c r="BG246" s="490">
        <v>1.21</v>
      </c>
      <c r="BH246" s="491">
        <v>1.38</v>
      </c>
      <c r="BI246" s="490">
        <v>1.52</v>
      </c>
      <c r="BJ246" s="490">
        <v>1.62</v>
      </c>
      <c r="BL246" s="489">
        <v>30</v>
      </c>
      <c r="BM246" s="490">
        <v>1</v>
      </c>
      <c r="BN246" s="490">
        <v>1.1599999999999999</v>
      </c>
      <c r="BO246" s="491">
        <v>1.29</v>
      </c>
      <c r="BP246" s="490">
        <v>1.39</v>
      </c>
      <c r="BQ246" s="490">
        <v>1.45</v>
      </c>
      <c r="BS246" s="489">
        <v>30</v>
      </c>
      <c r="BT246" s="490">
        <v>1</v>
      </c>
      <c r="BU246" s="490">
        <v>1.1000000000000001</v>
      </c>
      <c r="BV246" s="491">
        <v>1.17</v>
      </c>
      <c r="BW246" s="490">
        <v>1.21</v>
      </c>
      <c r="BX246" s="490">
        <v>1.23</v>
      </c>
      <c r="BZ246" s="489">
        <v>30</v>
      </c>
      <c r="CA246" s="490">
        <v>1</v>
      </c>
      <c r="CB246" s="490">
        <v>1.05</v>
      </c>
      <c r="CC246" s="491">
        <v>1.08</v>
      </c>
      <c r="CD246" s="490">
        <v>1.0900000000000001</v>
      </c>
      <c r="CE246" s="490">
        <v>1.07</v>
      </c>
      <c r="CG246" s="489">
        <v>30</v>
      </c>
      <c r="CH246" s="490">
        <v>1</v>
      </c>
      <c r="CI246" s="490">
        <v>1.02</v>
      </c>
      <c r="CJ246" s="491">
        <v>1.02</v>
      </c>
      <c r="CK246" s="490">
        <v>1</v>
      </c>
      <c r="CL246" s="490">
        <v>0.96</v>
      </c>
      <c r="CN246" s="489">
        <v>30</v>
      </c>
      <c r="CO246" s="490">
        <v>1</v>
      </c>
      <c r="CP246" s="490">
        <v>1.01</v>
      </c>
      <c r="CQ246" s="491">
        <v>1</v>
      </c>
      <c r="CR246" s="490">
        <v>0.97</v>
      </c>
      <c r="CS246" s="490">
        <v>0.91</v>
      </c>
    </row>
    <row r="247" spans="3:97" ht="15.75" thickBot="1" x14ac:dyDescent="0.3">
      <c r="C247" s="489">
        <v>140</v>
      </c>
      <c r="D247" s="490">
        <v>0.86</v>
      </c>
      <c r="E247" s="490">
        <v>0.81</v>
      </c>
      <c r="F247" s="490">
        <v>0.74</v>
      </c>
      <c r="G247" s="491">
        <v>0.67</v>
      </c>
      <c r="H247" s="491">
        <v>0.59</v>
      </c>
      <c r="I247" s="490">
        <v>0.53</v>
      </c>
      <c r="J247" s="490">
        <v>0.47</v>
      </c>
      <c r="K247" s="490">
        <v>0.42</v>
      </c>
      <c r="L247" s="490">
        <v>0.38</v>
      </c>
      <c r="M247" s="490">
        <v>0.34</v>
      </c>
      <c r="O247" s="489">
        <v>40</v>
      </c>
      <c r="P247" s="490">
        <v>1</v>
      </c>
      <c r="Q247" s="490">
        <v>1.01</v>
      </c>
      <c r="R247" s="491">
        <v>1</v>
      </c>
      <c r="S247" s="490">
        <v>0.97</v>
      </c>
      <c r="T247" s="490">
        <v>0.93</v>
      </c>
      <c r="V247" s="489">
        <v>40</v>
      </c>
      <c r="W247" s="490">
        <v>1</v>
      </c>
      <c r="X247" s="490">
        <v>1.03</v>
      </c>
      <c r="Y247" s="491">
        <v>1.05</v>
      </c>
      <c r="Z247" s="490">
        <v>1.04</v>
      </c>
      <c r="AA247" s="490">
        <v>1.01</v>
      </c>
      <c r="AC247" s="489">
        <v>40</v>
      </c>
      <c r="AD247" s="490">
        <v>1</v>
      </c>
      <c r="AE247" s="490">
        <v>1.07</v>
      </c>
      <c r="AF247" s="491">
        <v>1.1299999999999999</v>
      </c>
      <c r="AG247" s="490">
        <v>1.1499999999999999</v>
      </c>
      <c r="AH247" s="490">
        <v>1.1499999999999999</v>
      </c>
      <c r="AJ247" s="489">
        <v>40</v>
      </c>
      <c r="AK247" s="490">
        <v>1</v>
      </c>
      <c r="AL247" s="490">
        <v>1.1200000000000001</v>
      </c>
      <c r="AM247" s="491">
        <v>1.21</v>
      </c>
      <c r="AN247" s="490">
        <v>1.28</v>
      </c>
      <c r="AO247" s="490">
        <v>1.32</v>
      </c>
      <c r="AQ247" s="489">
        <v>40</v>
      </c>
      <c r="AR247" s="490">
        <v>1</v>
      </c>
      <c r="AS247" s="490">
        <v>1.1599999999999999</v>
      </c>
      <c r="AT247" s="491">
        <v>1.3</v>
      </c>
      <c r="AU247" s="490">
        <v>1.4</v>
      </c>
      <c r="AV247" s="490">
        <v>1.48</v>
      </c>
      <c r="AX247" s="489">
        <v>40</v>
      </c>
      <c r="AY247" s="490">
        <v>1</v>
      </c>
      <c r="AZ247" s="490">
        <v>1.21</v>
      </c>
      <c r="BA247" s="491">
        <v>1.37</v>
      </c>
      <c r="BB247" s="490">
        <v>1.51</v>
      </c>
      <c r="BC247" s="490">
        <v>1.62</v>
      </c>
      <c r="BE247" s="489">
        <v>40</v>
      </c>
      <c r="BF247" s="490">
        <v>1</v>
      </c>
      <c r="BG247" s="490">
        <v>1.18</v>
      </c>
      <c r="BH247" s="491">
        <v>1.33</v>
      </c>
      <c r="BI247" s="490">
        <v>1.46</v>
      </c>
      <c r="BJ247" s="490">
        <v>1.55</v>
      </c>
      <c r="BL247" s="489">
        <v>40</v>
      </c>
      <c r="BM247" s="490">
        <v>1</v>
      </c>
      <c r="BN247" s="490">
        <v>1.1399999999999999</v>
      </c>
      <c r="BO247" s="491">
        <v>1.25</v>
      </c>
      <c r="BP247" s="490">
        <v>1.33</v>
      </c>
      <c r="BQ247" s="490">
        <v>1.39</v>
      </c>
      <c r="BS247" s="489">
        <v>40</v>
      </c>
      <c r="BT247" s="490">
        <v>1</v>
      </c>
      <c r="BU247" s="490">
        <v>1.0900000000000001</v>
      </c>
      <c r="BV247" s="491">
        <v>1.1499999999999999</v>
      </c>
      <c r="BW247" s="490">
        <v>1.19</v>
      </c>
      <c r="BX247" s="490">
        <v>1.2</v>
      </c>
      <c r="BZ247" s="489">
        <v>40</v>
      </c>
      <c r="CA247" s="490">
        <v>1</v>
      </c>
      <c r="CB247" s="490">
        <v>1.05</v>
      </c>
      <c r="CC247" s="491">
        <v>1.07</v>
      </c>
      <c r="CD247" s="490">
        <v>1.08</v>
      </c>
      <c r="CE247" s="490">
        <v>1.06</v>
      </c>
      <c r="CG247" s="489">
        <v>40</v>
      </c>
      <c r="CH247" s="490">
        <v>1</v>
      </c>
      <c r="CI247" s="490">
        <v>1.02</v>
      </c>
      <c r="CJ247" s="491">
        <v>1.02</v>
      </c>
      <c r="CK247" s="490">
        <v>1</v>
      </c>
      <c r="CL247" s="490">
        <v>0.96</v>
      </c>
      <c r="CN247" s="489">
        <v>40</v>
      </c>
      <c r="CO247" s="490">
        <v>1</v>
      </c>
      <c r="CP247" s="490">
        <v>1.01</v>
      </c>
      <c r="CQ247" s="491">
        <v>0.99</v>
      </c>
      <c r="CR247" s="490">
        <v>0.97</v>
      </c>
      <c r="CS247" s="490">
        <v>0.92</v>
      </c>
    </row>
    <row r="248" spans="3:97" ht="15.75" thickBot="1" x14ac:dyDescent="0.3">
      <c r="C248" s="489">
        <v>150</v>
      </c>
      <c r="D248" s="490">
        <v>0.86</v>
      </c>
      <c r="E248" s="490">
        <v>0.8</v>
      </c>
      <c r="F248" s="490">
        <v>0.73</v>
      </c>
      <c r="G248" s="491">
        <v>0.65</v>
      </c>
      <c r="H248" s="491">
        <v>0.56999999999999995</v>
      </c>
      <c r="I248" s="490">
        <v>0.49</v>
      </c>
      <c r="J248" s="490">
        <v>0.43</v>
      </c>
      <c r="K248" s="490">
        <v>0.38</v>
      </c>
      <c r="L248" s="490">
        <v>0.35</v>
      </c>
      <c r="M248" s="490">
        <v>0.31</v>
      </c>
      <c r="O248" s="489">
        <v>50</v>
      </c>
      <c r="P248" s="490">
        <v>1</v>
      </c>
      <c r="Q248" s="490">
        <v>1.01</v>
      </c>
      <c r="R248" s="491">
        <v>1</v>
      </c>
      <c r="S248" s="490">
        <v>0.97</v>
      </c>
      <c r="T248" s="490">
        <v>0.93</v>
      </c>
      <c r="V248" s="489">
        <v>50</v>
      </c>
      <c r="W248" s="490">
        <v>1</v>
      </c>
      <c r="X248" s="490">
        <v>1.03</v>
      </c>
      <c r="Y248" s="491">
        <v>1.04</v>
      </c>
      <c r="Z248" s="490">
        <v>1.03</v>
      </c>
      <c r="AA248" s="490">
        <v>1</v>
      </c>
      <c r="AC248" s="489">
        <v>50</v>
      </c>
      <c r="AD248" s="490">
        <v>1</v>
      </c>
      <c r="AE248" s="490">
        <v>1.06</v>
      </c>
      <c r="AF248" s="491">
        <v>1.1000000000000001</v>
      </c>
      <c r="AG248" s="490">
        <v>1.1200000000000001</v>
      </c>
      <c r="AH248" s="490">
        <v>1.1200000000000001</v>
      </c>
      <c r="AJ248" s="489">
        <v>50</v>
      </c>
      <c r="AK248" s="490">
        <v>1</v>
      </c>
      <c r="AL248" s="490">
        <v>1.1000000000000001</v>
      </c>
      <c r="AM248" s="491">
        <v>1.18</v>
      </c>
      <c r="AN248" s="490">
        <v>1.24</v>
      </c>
      <c r="AO248" s="490">
        <v>1.27</v>
      </c>
      <c r="AQ248" s="489">
        <v>50</v>
      </c>
      <c r="AR248" s="490">
        <v>1</v>
      </c>
      <c r="AS248" s="490">
        <v>1.1299999999999999</v>
      </c>
      <c r="AT248" s="491">
        <v>1.24</v>
      </c>
      <c r="AU248" s="490">
        <v>1.33</v>
      </c>
      <c r="AV248" s="490">
        <v>1.38</v>
      </c>
      <c r="AX248" s="489">
        <v>50</v>
      </c>
      <c r="AY248" s="490">
        <v>1</v>
      </c>
      <c r="AZ248" s="490">
        <v>1.18</v>
      </c>
      <c r="BA248" s="491">
        <v>1.32</v>
      </c>
      <c r="BB248" s="490">
        <v>1.44</v>
      </c>
      <c r="BC248" s="490">
        <v>1.51</v>
      </c>
      <c r="BE248" s="489">
        <v>50</v>
      </c>
      <c r="BF248" s="490">
        <v>1</v>
      </c>
      <c r="BG248" s="490">
        <v>1.1499999999999999</v>
      </c>
      <c r="BH248" s="491">
        <v>1.29</v>
      </c>
      <c r="BI248" s="490">
        <v>1.39</v>
      </c>
      <c r="BJ248" s="490">
        <v>1.46</v>
      </c>
      <c r="BL248" s="489">
        <v>50</v>
      </c>
      <c r="BM248" s="490">
        <v>1</v>
      </c>
      <c r="BN248" s="490">
        <v>1.1200000000000001</v>
      </c>
      <c r="BO248" s="491">
        <v>1.22</v>
      </c>
      <c r="BP248" s="490">
        <v>1.29</v>
      </c>
      <c r="BQ248" s="490">
        <v>1.32</v>
      </c>
      <c r="BS248" s="489">
        <v>50</v>
      </c>
      <c r="BT248" s="490">
        <v>1</v>
      </c>
      <c r="BU248" s="490">
        <v>1.07</v>
      </c>
      <c r="BV248" s="491">
        <v>1.1299999999999999</v>
      </c>
      <c r="BW248" s="490">
        <v>1.1499999999999999</v>
      </c>
      <c r="BX248" s="490">
        <v>1.1599999999999999</v>
      </c>
      <c r="BZ248" s="489">
        <v>50</v>
      </c>
      <c r="CA248" s="490">
        <v>1</v>
      </c>
      <c r="CB248" s="490">
        <v>1.04</v>
      </c>
      <c r="CC248" s="491">
        <v>1.06</v>
      </c>
      <c r="CD248" s="490">
        <v>1.06</v>
      </c>
      <c r="CE248" s="490">
        <v>1.04</v>
      </c>
      <c r="CG248" s="489">
        <v>50</v>
      </c>
      <c r="CH248" s="490">
        <v>1</v>
      </c>
      <c r="CI248" s="490">
        <v>1.02</v>
      </c>
      <c r="CJ248" s="491">
        <v>1.01</v>
      </c>
      <c r="CK248" s="490">
        <v>0.99</v>
      </c>
      <c r="CL248" s="490">
        <v>0.96</v>
      </c>
      <c r="CN248" s="489">
        <v>50</v>
      </c>
      <c r="CO248" s="490">
        <v>1</v>
      </c>
      <c r="CP248" s="490">
        <v>1.01</v>
      </c>
      <c r="CQ248" s="491">
        <v>0.99</v>
      </c>
      <c r="CR248" s="490">
        <v>0.97</v>
      </c>
      <c r="CS248" s="490">
        <v>0.92</v>
      </c>
    </row>
    <row r="249" spans="3:97" ht="15.75" thickBot="1" x14ac:dyDescent="0.3">
      <c r="C249" s="489">
        <v>160</v>
      </c>
      <c r="D249" s="490">
        <v>0.86</v>
      </c>
      <c r="E249" s="490">
        <v>0.8</v>
      </c>
      <c r="F249" s="490">
        <v>0.72</v>
      </c>
      <c r="G249" s="491">
        <v>0.63</v>
      </c>
      <c r="H249" s="491">
        <v>0.54</v>
      </c>
      <c r="I249" s="490">
        <v>0.47</v>
      </c>
      <c r="J249" s="490">
        <v>0.4</v>
      </c>
      <c r="K249" s="490">
        <v>0.35</v>
      </c>
      <c r="L249" s="490">
        <v>0.32</v>
      </c>
      <c r="M249" s="490">
        <v>0.28999999999999998</v>
      </c>
      <c r="O249" s="489">
        <v>60</v>
      </c>
      <c r="P249" s="490">
        <v>1</v>
      </c>
      <c r="Q249" s="490">
        <v>1</v>
      </c>
      <c r="R249" s="491">
        <v>0.99</v>
      </c>
      <c r="S249" s="490">
        <v>0.96</v>
      </c>
      <c r="T249" s="490">
        <v>0.92</v>
      </c>
      <c r="V249" s="489">
        <v>60</v>
      </c>
      <c r="W249" s="490">
        <v>1</v>
      </c>
      <c r="X249" s="490">
        <v>1.02</v>
      </c>
      <c r="Y249" s="491">
        <v>1.03</v>
      </c>
      <c r="Z249" s="490">
        <v>1.01</v>
      </c>
      <c r="AA249" s="490">
        <v>0.98</v>
      </c>
      <c r="AC249" s="489">
        <v>60</v>
      </c>
      <c r="AD249" s="490">
        <v>1</v>
      </c>
      <c r="AE249" s="490">
        <v>1.05</v>
      </c>
      <c r="AF249" s="491">
        <v>1.08</v>
      </c>
      <c r="AG249" s="490">
        <v>1.0900000000000001</v>
      </c>
      <c r="AH249" s="490">
        <v>1.08</v>
      </c>
      <c r="AJ249" s="489">
        <v>60</v>
      </c>
      <c r="AK249" s="490">
        <v>1</v>
      </c>
      <c r="AL249" s="490">
        <v>1.08</v>
      </c>
      <c r="AM249" s="491">
        <v>1.1499999999999999</v>
      </c>
      <c r="AN249" s="490">
        <v>1.18</v>
      </c>
      <c r="AO249" s="490">
        <v>1.2</v>
      </c>
      <c r="AQ249" s="489">
        <v>60</v>
      </c>
      <c r="AR249" s="490">
        <v>1</v>
      </c>
      <c r="AS249" s="490">
        <v>1.1100000000000001</v>
      </c>
      <c r="AT249" s="491">
        <v>1.19</v>
      </c>
      <c r="AU249" s="490">
        <v>1.26</v>
      </c>
      <c r="AV249" s="490">
        <v>1.3</v>
      </c>
      <c r="AX249" s="489">
        <v>60</v>
      </c>
      <c r="AY249" s="490">
        <v>1</v>
      </c>
      <c r="AZ249" s="490">
        <v>1.1399999999999999</v>
      </c>
      <c r="BA249" s="491">
        <v>1.26</v>
      </c>
      <c r="BB249" s="490">
        <v>1.35</v>
      </c>
      <c r="BC249" s="490">
        <v>1.41</v>
      </c>
      <c r="BE249" s="489">
        <v>60</v>
      </c>
      <c r="BF249" s="490">
        <v>1</v>
      </c>
      <c r="BG249" s="490">
        <v>1.1299999999999999</v>
      </c>
      <c r="BH249" s="491">
        <v>1.23</v>
      </c>
      <c r="BI249" s="490">
        <v>1.3</v>
      </c>
      <c r="BJ249" s="490">
        <v>1.36</v>
      </c>
      <c r="BL249" s="489">
        <v>60</v>
      </c>
      <c r="BM249" s="490">
        <v>1</v>
      </c>
      <c r="BN249" s="490">
        <v>1.1000000000000001</v>
      </c>
      <c r="BO249" s="491">
        <v>1.18</v>
      </c>
      <c r="BP249" s="490">
        <v>1.23</v>
      </c>
      <c r="BQ249" s="490">
        <v>1.25</v>
      </c>
      <c r="BS249" s="489">
        <v>60</v>
      </c>
      <c r="BT249" s="490">
        <v>1</v>
      </c>
      <c r="BU249" s="490">
        <v>1.06</v>
      </c>
      <c r="BV249" s="491">
        <v>1.1000000000000001</v>
      </c>
      <c r="BW249" s="490">
        <v>1.1200000000000001</v>
      </c>
      <c r="BX249" s="490">
        <v>1.1200000000000001</v>
      </c>
      <c r="BZ249" s="489">
        <v>60</v>
      </c>
      <c r="CA249" s="490">
        <v>1</v>
      </c>
      <c r="CB249" s="490">
        <v>1.03</v>
      </c>
      <c r="CC249" s="491">
        <v>1.04</v>
      </c>
      <c r="CD249" s="490">
        <v>1.04</v>
      </c>
      <c r="CE249" s="490">
        <v>1.02</v>
      </c>
      <c r="CG249" s="489">
        <v>60</v>
      </c>
      <c r="CH249" s="490">
        <v>1</v>
      </c>
      <c r="CI249" s="490">
        <v>1.01</v>
      </c>
      <c r="CJ249" s="491">
        <v>1</v>
      </c>
      <c r="CK249" s="490">
        <v>0.98</v>
      </c>
      <c r="CL249" s="490">
        <v>0.95</v>
      </c>
      <c r="CN249" s="489">
        <v>60</v>
      </c>
      <c r="CO249" s="490">
        <v>1</v>
      </c>
      <c r="CP249" s="490">
        <v>1</v>
      </c>
      <c r="CQ249" s="491">
        <v>0.99</v>
      </c>
      <c r="CR249" s="490">
        <v>0.96</v>
      </c>
      <c r="CS249" s="490">
        <v>0.92</v>
      </c>
    </row>
    <row r="250" spans="3:97" ht="15.75" thickBot="1" x14ac:dyDescent="0.3">
      <c r="C250" s="489">
        <v>170</v>
      </c>
      <c r="D250" s="490">
        <v>0.86</v>
      </c>
      <c r="E250" s="490">
        <v>0.8</v>
      </c>
      <c r="F250" s="490">
        <v>0.71</v>
      </c>
      <c r="G250" s="491">
        <v>0.63</v>
      </c>
      <c r="H250" s="491">
        <v>0.54</v>
      </c>
      <c r="I250" s="490">
        <v>0.46</v>
      </c>
      <c r="J250" s="490">
        <v>0.39</v>
      </c>
      <c r="K250" s="490">
        <v>0.33</v>
      </c>
      <c r="L250" s="490">
        <v>0.28999999999999998</v>
      </c>
      <c r="M250" s="490">
        <v>0.27</v>
      </c>
      <c r="O250" s="489">
        <v>70</v>
      </c>
      <c r="P250" s="490">
        <v>1</v>
      </c>
      <c r="Q250" s="490">
        <v>1</v>
      </c>
      <c r="R250" s="491">
        <v>0.98</v>
      </c>
      <c r="S250" s="490">
        <v>0.95</v>
      </c>
      <c r="T250" s="490">
        <v>0.92</v>
      </c>
      <c r="V250" s="489">
        <v>70</v>
      </c>
      <c r="W250" s="490">
        <v>1</v>
      </c>
      <c r="X250" s="490">
        <v>1.01</v>
      </c>
      <c r="Y250" s="491">
        <v>1.01</v>
      </c>
      <c r="Z250" s="490">
        <v>0.99</v>
      </c>
      <c r="AA250" s="490">
        <v>0.96</v>
      </c>
      <c r="AC250" s="489">
        <v>70</v>
      </c>
      <c r="AD250" s="490">
        <v>1</v>
      </c>
      <c r="AE250" s="490">
        <v>1.03</v>
      </c>
      <c r="AF250" s="491">
        <v>1.05</v>
      </c>
      <c r="AG250" s="490">
        <v>1.05</v>
      </c>
      <c r="AH250" s="490">
        <v>1.04</v>
      </c>
      <c r="AJ250" s="489">
        <v>70</v>
      </c>
      <c r="AK250" s="490">
        <v>1</v>
      </c>
      <c r="AL250" s="490">
        <v>1.06</v>
      </c>
      <c r="AM250" s="491">
        <v>1.1000000000000001</v>
      </c>
      <c r="AN250" s="490">
        <v>1.1200000000000001</v>
      </c>
      <c r="AO250" s="490">
        <v>1.1399999999999999</v>
      </c>
      <c r="AQ250" s="489">
        <v>70</v>
      </c>
      <c r="AR250" s="490">
        <v>1</v>
      </c>
      <c r="AS250" s="490">
        <v>1.07</v>
      </c>
      <c r="AT250" s="491">
        <v>1.1399999999999999</v>
      </c>
      <c r="AU250" s="490">
        <v>1.18</v>
      </c>
      <c r="AV250" s="490">
        <v>1.2</v>
      </c>
      <c r="AX250" s="489">
        <v>70</v>
      </c>
      <c r="AY250" s="490">
        <v>1</v>
      </c>
      <c r="AZ250" s="490">
        <v>1.1000000000000001</v>
      </c>
      <c r="BA250" s="491">
        <v>1.18</v>
      </c>
      <c r="BB250" s="490">
        <v>1.26</v>
      </c>
      <c r="BC250" s="490">
        <v>1.28</v>
      </c>
      <c r="BE250" s="489">
        <v>70</v>
      </c>
      <c r="BF250" s="490">
        <v>1</v>
      </c>
      <c r="BG250" s="490">
        <v>1.0900000000000001</v>
      </c>
      <c r="BH250" s="491">
        <v>1.1599999999999999</v>
      </c>
      <c r="BI250" s="490">
        <v>1.22</v>
      </c>
      <c r="BJ250" s="490">
        <v>1.25</v>
      </c>
      <c r="BL250" s="489">
        <v>70</v>
      </c>
      <c r="BM250" s="490">
        <v>1</v>
      </c>
      <c r="BN250" s="490">
        <v>1.07</v>
      </c>
      <c r="BO250" s="491">
        <v>1.1299999999999999</v>
      </c>
      <c r="BP250" s="490">
        <v>1.1599999999999999</v>
      </c>
      <c r="BQ250" s="490">
        <v>1.18</v>
      </c>
      <c r="BS250" s="489">
        <v>70</v>
      </c>
      <c r="BT250" s="490">
        <v>1</v>
      </c>
      <c r="BU250" s="490">
        <v>1.05</v>
      </c>
      <c r="BV250" s="491">
        <v>1.07</v>
      </c>
      <c r="BW250" s="490">
        <v>1.08</v>
      </c>
      <c r="BX250" s="490">
        <v>1.07</v>
      </c>
      <c r="BZ250" s="489">
        <v>70</v>
      </c>
      <c r="CA250" s="490">
        <v>1</v>
      </c>
      <c r="CB250" s="490">
        <v>1.02</v>
      </c>
      <c r="CC250" s="491">
        <v>1.02</v>
      </c>
      <c r="CD250" s="490">
        <v>1.02</v>
      </c>
      <c r="CE250" s="490">
        <v>1</v>
      </c>
      <c r="CG250" s="489">
        <v>70</v>
      </c>
      <c r="CH250" s="490">
        <v>1</v>
      </c>
      <c r="CI250" s="490">
        <v>1.01</v>
      </c>
      <c r="CJ250" s="491">
        <v>1</v>
      </c>
      <c r="CK250" s="490">
        <v>0.98</v>
      </c>
      <c r="CL250" s="490">
        <v>0.94</v>
      </c>
      <c r="CN250" s="489">
        <v>70</v>
      </c>
      <c r="CO250" s="490">
        <v>1</v>
      </c>
      <c r="CP250" s="490">
        <v>1</v>
      </c>
      <c r="CQ250" s="491">
        <v>0.99</v>
      </c>
      <c r="CR250" s="490">
        <v>0.96</v>
      </c>
      <c r="CS250" s="490">
        <v>0.92</v>
      </c>
    </row>
    <row r="251" spans="3:97" ht="15.75" thickBot="1" x14ac:dyDescent="0.3">
      <c r="C251" s="489">
        <v>180</v>
      </c>
      <c r="D251" s="490">
        <v>0.86</v>
      </c>
      <c r="E251" s="490">
        <v>0.8</v>
      </c>
      <c r="F251" s="490">
        <v>0.71</v>
      </c>
      <c r="G251" s="491">
        <v>0.62</v>
      </c>
      <c r="H251" s="491">
        <v>0.54</v>
      </c>
      <c r="I251" s="490">
        <v>0.46</v>
      </c>
      <c r="J251" s="490">
        <v>0.39</v>
      </c>
      <c r="K251" s="490">
        <v>0.33</v>
      </c>
      <c r="L251" s="490">
        <v>0.28999999999999998</v>
      </c>
      <c r="M251" s="490">
        <v>0.27</v>
      </c>
      <c r="O251" s="489">
        <v>80</v>
      </c>
      <c r="P251" s="490">
        <v>1</v>
      </c>
      <c r="Q251" s="490">
        <v>1</v>
      </c>
      <c r="R251" s="491">
        <v>0.98</v>
      </c>
      <c r="S251" s="490">
        <v>0.95</v>
      </c>
      <c r="T251" s="490">
        <v>0.9</v>
      </c>
      <c r="V251" s="489">
        <v>80</v>
      </c>
      <c r="W251" s="490">
        <v>1</v>
      </c>
      <c r="X251" s="490">
        <v>1</v>
      </c>
      <c r="Y251" s="491">
        <v>1</v>
      </c>
      <c r="Z251" s="490">
        <v>0.97</v>
      </c>
      <c r="AA251" s="490">
        <v>0.94</v>
      </c>
      <c r="AC251" s="489">
        <v>80</v>
      </c>
      <c r="AD251" s="490">
        <v>1</v>
      </c>
      <c r="AE251" s="490">
        <v>1.02</v>
      </c>
      <c r="AF251" s="491">
        <v>1.02</v>
      </c>
      <c r="AG251" s="490">
        <v>1.02</v>
      </c>
      <c r="AH251" s="490">
        <v>0.99</v>
      </c>
      <c r="AJ251" s="489">
        <v>80</v>
      </c>
      <c r="AK251" s="490">
        <v>1</v>
      </c>
      <c r="AL251" s="490">
        <v>1.03</v>
      </c>
      <c r="AM251" s="491">
        <v>1.05</v>
      </c>
      <c r="AN251" s="490">
        <v>1.07</v>
      </c>
      <c r="AO251" s="490">
        <v>1.06</v>
      </c>
      <c r="AQ251" s="489">
        <v>80</v>
      </c>
      <c r="AR251" s="490">
        <v>1</v>
      </c>
      <c r="AS251" s="490">
        <v>1.04</v>
      </c>
      <c r="AT251" s="491">
        <v>1.07</v>
      </c>
      <c r="AU251" s="490">
        <v>1.1000000000000001</v>
      </c>
      <c r="AV251" s="490">
        <v>1.1100000000000001</v>
      </c>
      <c r="AX251" s="489">
        <v>80</v>
      </c>
      <c r="AY251" s="490">
        <v>1</v>
      </c>
      <c r="AZ251" s="490">
        <v>1.06</v>
      </c>
      <c r="BA251" s="491">
        <v>1.1200000000000001</v>
      </c>
      <c r="BB251" s="490">
        <v>1.1499999999999999</v>
      </c>
      <c r="BC251" s="490">
        <v>1.17</v>
      </c>
      <c r="BE251" s="489">
        <v>80</v>
      </c>
      <c r="BF251" s="490">
        <v>1</v>
      </c>
      <c r="BG251" s="490">
        <v>1.06</v>
      </c>
      <c r="BH251" s="491">
        <v>1.0900000000000001</v>
      </c>
      <c r="BI251" s="490">
        <v>1.1299999999999999</v>
      </c>
      <c r="BJ251" s="490">
        <v>1.1399999999999999</v>
      </c>
      <c r="BL251" s="489">
        <v>80</v>
      </c>
      <c r="BM251" s="490">
        <v>1</v>
      </c>
      <c r="BN251" s="490">
        <v>1.04</v>
      </c>
      <c r="BO251" s="491">
        <v>1.08</v>
      </c>
      <c r="BP251" s="490">
        <v>1.1000000000000001</v>
      </c>
      <c r="BQ251" s="490">
        <v>1.1000000000000001</v>
      </c>
      <c r="BS251" s="489">
        <v>80</v>
      </c>
      <c r="BT251" s="490">
        <v>1</v>
      </c>
      <c r="BU251" s="490">
        <v>1.03</v>
      </c>
      <c r="BV251" s="491">
        <v>1.03</v>
      </c>
      <c r="BW251" s="490">
        <v>1.03</v>
      </c>
      <c r="BX251" s="490">
        <v>1.02</v>
      </c>
      <c r="BZ251" s="489">
        <v>80</v>
      </c>
      <c r="CA251" s="490">
        <v>1</v>
      </c>
      <c r="CB251" s="490">
        <v>1.01</v>
      </c>
      <c r="CC251" s="491">
        <v>1.01</v>
      </c>
      <c r="CD251" s="490">
        <v>0.99</v>
      </c>
      <c r="CE251" s="490">
        <v>0.97</v>
      </c>
      <c r="CG251" s="489">
        <v>80</v>
      </c>
      <c r="CH251" s="490">
        <v>1</v>
      </c>
      <c r="CI251" s="490">
        <v>1</v>
      </c>
      <c r="CJ251" s="491">
        <v>0.99</v>
      </c>
      <c r="CK251" s="490">
        <v>0.96</v>
      </c>
      <c r="CL251" s="490">
        <v>0.93</v>
      </c>
      <c r="CN251" s="489">
        <v>80</v>
      </c>
      <c r="CO251" s="490">
        <v>1</v>
      </c>
      <c r="CP251" s="490">
        <v>1</v>
      </c>
      <c r="CQ251" s="491">
        <v>0.98</v>
      </c>
      <c r="CR251" s="490">
        <v>0.96</v>
      </c>
      <c r="CS251" s="490">
        <v>0.92</v>
      </c>
    </row>
    <row r="252" spans="3:97" ht="15.75" thickBot="1" x14ac:dyDescent="0.3">
      <c r="C252" s="489">
        <v>190</v>
      </c>
      <c r="D252" s="490">
        <v>0.86</v>
      </c>
      <c r="E252" s="490">
        <v>0.8</v>
      </c>
      <c r="F252" s="490">
        <v>0.72</v>
      </c>
      <c r="G252" s="491">
        <v>0.63</v>
      </c>
      <c r="H252" s="491">
        <v>0.54</v>
      </c>
      <c r="I252" s="490">
        <v>0.47</v>
      </c>
      <c r="J252" s="490">
        <v>0.4</v>
      </c>
      <c r="K252" s="490">
        <v>0.33</v>
      </c>
      <c r="L252" s="490">
        <v>0.3</v>
      </c>
      <c r="M252" s="490">
        <v>0.28000000000000003</v>
      </c>
      <c r="O252" s="489">
        <v>90</v>
      </c>
      <c r="P252" s="490">
        <v>1</v>
      </c>
      <c r="Q252" s="490">
        <v>0.99</v>
      </c>
      <c r="R252" s="491">
        <v>0.97</v>
      </c>
      <c r="S252" s="490">
        <v>0.93</v>
      </c>
      <c r="T252" s="490">
        <v>0.89</v>
      </c>
      <c r="V252" s="489">
        <v>90</v>
      </c>
      <c r="W252" s="490">
        <v>1</v>
      </c>
      <c r="X252" s="490">
        <v>1</v>
      </c>
      <c r="Y252" s="491">
        <v>0.98</v>
      </c>
      <c r="Z252" s="490">
        <v>0.95</v>
      </c>
      <c r="AA252" s="490">
        <v>0.91</v>
      </c>
      <c r="AC252" s="489">
        <v>90</v>
      </c>
      <c r="AD252" s="490">
        <v>1</v>
      </c>
      <c r="AE252" s="490">
        <v>1.01</v>
      </c>
      <c r="AF252" s="491">
        <v>0.99</v>
      </c>
      <c r="AG252" s="490">
        <v>0.97</v>
      </c>
      <c r="AH252" s="490">
        <v>0.95</v>
      </c>
      <c r="AJ252" s="489">
        <v>90</v>
      </c>
      <c r="AK252" s="490">
        <v>1</v>
      </c>
      <c r="AL252" s="490">
        <v>1.01</v>
      </c>
      <c r="AM252" s="491">
        <v>1.01</v>
      </c>
      <c r="AN252" s="490">
        <v>1</v>
      </c>
      <c r="AO252" s="490">
        <v>0.98</v>
      </c>
      <c r="AQ252" s="489">
        <v>90</v>
      </c>
      <c r="AR252" s="490">
        <v>1</v>
      </c>
      <c r="AS252" s="490">
        <v>1.01</v>
      </c>
      <c r="AT252" s="491">
        <v>1.01</v>
      </c>
      <c r="AU252" s="490">
        <v>1.01</v>
      </c>
      <c r="AV252" s="490">
        <v>1</v>
      </c>
      <c r="AX252" s="489">
        <v>90</v>
      </c>
      <c r="AY252" s="490">
        <v>1</v>
      </c>
      <c r="AZ252" s="490">
        <v>1.03</v>
      </c>
      <c r="BA252" s="491">
        <v>1.04</v>
      </c>
      <c r="BB252" s="490">
        <v>1.04</v>
      </c>
      <c r="BC252" s="490">
        <v>1.04</v>
      </c>
      <c r="BE252" s="489">
        <v>90</v>
      </c>
      <c r="BF252" s="490">
        <v>1</v>
      </c>
      <c r="BG252" s="490">
        <v>1.01</v>
      </c>
      <c r="BH252" s="491">
        <v>1.02</v>
      </c>
      <c r="BI252" s="490">
        <v>1.02</v>
      </c>
      <c r="BJ252" s="490">
        <v>1.02</v>
      </c>
      <c r="BL252" s="489">
        <v>90</v>
      </c>
      <c r="BM252" s="490">
        <v>1</v>
      </c>
      <c r="BN252" s="490">
        <v>1.02</v>
      </c>
      <c r="BO252" s="491">
        <v>1.02</v>
      </c>
      <c r="BP252" s="490">
        <v>1.02</v>
      </c>
      <c r="BQ252" s="490">
        <v>1.01</v>
      </c>
      <c r="BS252" s="489">
        <v>90</v>
      </c>
      <c r="BT252" s="490">
        <v>1</v>
      </c>
      <c r="BU252" s="490">
        <v>1.01</v>
      </c>
      <c r="BV252" s="491">
        <v>1</v>
      </c>
      <c r="BW252" s="490">
        <v>0.99</v>
      </c>
      <c r="BX252" s="490">
        <v>0.96</v>
      </c>
      <c r="BZ252" s="489">
        <v>90</v>
      </c>
      <c r="CA252" s="490">
        <v>1</v>
      </c>
      <c r="CB252" s="490">
        <v>1</v>
      </c>
      <c r="CC252" s="491">
        <v>0.99</v>
      </c>
      <c r="CD252" s="490">
        <v>0.96</v>
      </c>
      <c r="CE252" s="490">
        <v>0.93</v>
      </c>
      <c r="CG252" s="489">
        <v>90</v>
      </c>
      <c r="CH252" s="490">
        <v>1</v>
      </c>
      <c r="CI252" s="490">
        <v>1</v>
      </c>
      <c r="CJ252" s="491">
        <v>0.98</v>
      </c>
      <c r="CK252" s="490">
        <v>0.95</v>
      </c>
      <c r="CL252" s="490">
        <v>0.91</v>
      </c>
      <c r="CN252" s="489">
        <v>90</v>
      </c>
      <c r="CO252" s="490">
        <v>1</v>
      </c>
      <c r="CP252" s="490">
        <v>1</v>
      </c>
      <c r="CQ252" s="491">
        <v>0.98</v>
      </c>
      <c r="CR252" s="490">
        <v>0.95</v>
      </c>
      <c r="CS252" s="490">
        <v>0.91</v>
      </c>
    </row>
    <row r="253" spans="3:97" ht="15.75" thickBot="1" x14ac:dyDescent="0.3">
      <c r="C253" s="489">
        <v>200</v>
      </c>
      <c r="D253" s="490">
        <v>0.86</v>
      </c>
      <c r="E253" s="490">
        <v>0.8</v>
      </c>
      <c r="F253" s="490">
        <v>0.73</v>
      </c>
      <c r="G253" s="491">
        <v>0.64</v>
      </c>
      <c r="H253" s="491">
        <v>0.56000000000000005</v>
      </c>
      <c r="I253" s="490">
        <v>0.49</v>
      </c>
      <c r="J253" s="490">
        <v>0.42</v>
      </c>
      <c r="K253" s="490">
        <v>0.36</v>
      </c>
      <c r="L253" s="490">
        <v>0.33</v>
      </c>
      <c r="M253" s="490">
        <v>0.3</v>
      </c>
      <c r="P253" s="492"/>
      <c r="Q253" s="492"/>
      <c r="R253" s="492"/>
      <c r="S253" s="492"/>
      <c r="T253" s="492"/>
      <c r="W253" s="492"/>
      <c r="X253" s="492"/>
      <c r="Y253" s="492"/>
      <c r="Z253" s="492"/>
      <c r="AA253" s="492"/>
      <c r="AD253" s="492"/>
      <c r="AE253" s="492"/>
      <c r="AF253" s="492"/>
      <c r="AG253" s="492"/>
      <c r="AH253" s="492"/>
      <c r="AK253" s="492"/>
      <c r="AL253" s="492"/>
      <c r="AM253" s="492"/>
      <c r="AN253" s="492"/>
      <c r="AO253" s="492"/>
    </row>
    <row r="254" spans="3:97" ht="15.75" thickBot="1" x14ac:dyDescent="0.3">
      <c r="C254" s="489">
        <v>210</v>
      </c>
      <c r="D254" s="490">
        <v>0.86</v>
      </c>
      <c r="E254" s="490">
        <v>0.81</v>
      </c>
      <c r="F254" s="490">
        <v>0.74</v>
      </c>
      <c r="G254" s="491">
        <v>0.66</v>
      </c>
      <c r="H254" s="491">
        <v>0.57999999999999996</v>
      </c>
      <c r="I254" s="490">
        <v>0.51</v>
      </c>
      <c r="J254" s="490">
        <v>0.45</v>
      </c>
      <c r="K254" s="490">
        <v>0.4</v>
      </c>
      <c r="L254" s="490">
        <v>0.36</v>
      </c>
      <c r="M254" s="490">
        <v>0.33</v>
      </c>
      <c r="P254" s="492"/>
      <c r="Q254" s="492"/>
      <c r="R254" s="492"/>
      <c r="S254" s="492"/>
      <c r="T254" s="492"/>
      <c r="W254" s="492"/>
      <c r="X254" s="492"/>
      <c r="Y254" s="492"/>
      <c r="Z254" s="492"/>
      <c r="AA254" s="492"/>
      <c r="AD254" s="492"/>
      <c r="AE254" s="492"/>
      <c r="AF254" s="492"/>
      <c r="AG254" s="492"/>
      <c r="AH254" s="492"/>
      <c r="AK254" s="492"/>
      <c r="AL254" s="492"/>
      <c r="AM254" s="492"/>
      <c r="AN254" s="492"/>
      <c r="AO254" s="492"/>
    </row>
    <row r="255" spans="3:97" ht="15.75" thickBot="1" x14ac:dyDescent="0.3">
      <c r="C255" s="489">
        <v>220</v>
      </c>
      <c r="D255" s="490">
        <v>0.86</v>
      </c>
      <c r="E255" s="490">
        <v>0.81</v>
      </c>
      <c r="F255" s="490">
        <v>0.75</v>
      </c>
      <c r="G255" s="491">
        <v>0.68</v>
      </c>
      <c r="H255" s="491">
        <v>0.62</v>
      </c>
      <c r="I255" s="490">
        <v>0.55000000000000004</v>
      </c>
      <c r="J255" s="490">
        <v>0.5</v>
      </c>
      <c r="K255" s="490">
        <v>0.44</v>
      </c>
      <c r="L255" s="490">
        <v>0.4</v>
      </c>
      <c r="M255" s="490">
        <v>0.36</v>
      </c>
      <c r="P255" s="492"/>
      <c r="Q255" s="492"/>
      <c r="R255" s="492"/>
      <c r="S255" s="492"/>
      <c r="T255" s="492"/>
      <c r="W255" s="492"/>
      <c r="X255" s="492"/>
      <c r="Y255" s="492"/>
      <c r="Z255" s="492"/>
      <c r="AA255" s="492"/>
      <c r="AD255" s="492"/>
      <c r="AE255" s="492"/>
      <c r="AF255" s="492"/>
      <c r="AG255" s="492"/>
      <c r="AH255" s="492"/>
      <c r="AK255" s="492"/>
      <c r="AL255" s="492"/>
      <c r="AM255" s="492"/>
      <c r="AN255" s="492"/>
      <c r="AO255" s="492"/>
    </row>
    <row r="256" spans="3:97" ht="15.75" thickBot="1" x14ac:dyDescent="0.3">
      <c r="C256" s="489">
        <v>230</v>
      </c>
      <c r="D256" s="490">
        <v>0.86</v>
      </c>
      <c r="E256" s="490">
        <v>0.82</v>
      </c>
      <c r="F256" s="490">
        <v>0.77</v>
      </c>
      <c r="G256" s="491">
        <v>0.71</v>
      </c>
      <c r="H256" s="491">
        <v>0.65</v>
      </c>
      <c r="I256" s="490">
        <v>0.6</v>
      </c>
      <c r="J256" s="490">
        <v>0.54</v>
      </c>
      <c r="K256" s="490">
        <v>0.49</v>
      </c>
      <c r="L256" s="490">
        <v>0.44</v>
      </c>
      <c r="M256" s="490">
        <v>0.4</v>
      </c>
      <c r="P256" s="492"/>
      <c r="Q256" s="492"/>
      <c r="R256" s="492"/>
      <c r="S256" s="492"/>
      <c r="T256" s="492"/>
      <c r="W256" s="492"/>
      <c r="X256" s="492"/>
      <c r="Y256" s="492"/>
      <c r="Z256" s="492"/>
      <c r="AA256" s="492"/>
      <c r="AD256" s="492"/>
      <c r="AE256" s="492"/>
      <c r="AF256" s="492"/>
      <c r="AG256" s="492"/>
      <c r="AH256" s="492"/>
      <c r="AK256" s="492"/>
      <c r="AL256" s="492"/>
      <c r="AM256" s="492"/>
      <c r="AN256" s="492"/>
      <c r="AO256" s="492"/>
    </row>
    <row r="257" spans="3:97" ht="15.75" thickBot="1" x14ac:dyDescent="0.3">
      <c r="C257" s="489">
        <v>240</v>
      </c>
      <c r="D257" s="490">
        <v>0.86</v>
      </c>
      <c r="E257" s="490">
        <v>0.83</v>
      </c>
      <c r="F257" s="490">
        <v>0.8</v>
      </c>
      <c r="G257" s="491">
        <v>0.75</v>
      </c>
      <c r="H257" s="491">
        <v>0.7</v>
      </c>
      <c r="I257" s="490">
        <v>0.64</v>
      </c>
      <c r="J257" s="490">
        <v>0.59</v>
      </c>
      <c r="K257" s="490">
        <v>0.54</v>
      </c>
      <c r="L257" s="490">
        <v>0.49</v>
      </c>
      <c r="M257" s="490">
        <v>0.44</v>
      </c>
      <c r="P257" s="492"/>
      <c r="Q257" s="492"/>
      <c r="R257" s="492"/>
      <c r="S257" s="492"/>
      <c r="T257" s="492"/>
      <c r="W257" s="492"/>
      <c r="X257" s="492"/>
      <c r="Y257" s="492"/>
      <c r="Z257" s="492"/>
      <c r="AA257" s="492"/>
      <c r="AD257" s="492"/>
      <c r="AE257" s="492"/>
      <c r="AF257" s="492"/>
      <c r="AG257" s="492"/>
      <c r="AH257" s="492"/>
      <c r="AK257" s="492"/>
      <c r="AL257" s="492"/>
      <c r="AM257" s="492"/>
      <c r="AN257" s="492"/>
      <c r="AO257" s="492"/>
    </row>
    <row r="258" spans="3:97" ht="15.75" thickBot="1" x14ac:dyDescent="0.3">
      <c r="C258" s="489">
        <v>250</v>
      </c>
      <c r="D258" s="490">
        <v>0.86</v>
      </c>
      <c r="E258" s="490">
        <v>0.84</v>
      </c>
      <c r="F258" s="490">
        <v>0.82</v>
      </c>
      <c r="G258" s="491">
        <v>0.78</v>
      </c>
      <c r="H258" s="491">
        <v>0.74</v>
      </c>
      <c r="I258" s="490">
        <v>0.69</v>
      </c>
      <c r="J258" s="490">
        <v>0.64</v>
      </c>
      <c r="K258" s="490">
        <v>0.59</v>
      </c>
      <c r="L258" s="490">
        <v>0.54</v>
      </c>
      <c r="M258" s="490">
        <v>0.49</v>
      </c>
      <c r="P258" s="492"/>
      <c r="Q258" s="492"/>
      <c r="R258" s="492"/>
      <c r="S258" s="492"/>
      <c r="T258" s="492"/>
      <c r="W258" s="492"/>
      <c r="X258" s="492"/>
      <c r="Y258" s="492"/>
      <c r="Z258" s="492"/>
      <c r="AA258" s="492"/>
      <c r="AD258" s="492"/>
      <c r="AE258" s="492"/>
      <c r="AF258" s="492"/>
      <c r="AG258" s="492"/>
      <c r="AH258" s="492"/>
      <c r="AK258" s="492"/>
      <c r="AL258" s="492"/>
      <c r="AM258" s="492"/>
      <c r="AN258" s="492"/>
      <c r="AO258" s="492"/>
    </row>
    <row r="259" spans="3:97" ht="15.75" thickBot="1" x14ac:dyDescent="0.3">
      <c r="C259" s="489">
        <v>260</v>
      </c>
      <c r="D259" s="490">
        <v>0.86</v>
      </c>
      <c r="E259" s="490">
        <v>0.85</v>
      </c>
      <c r="F259" s="490">
        <v>0.84</v>
      </c>
      <c r="G259" s="491">
        <v>0.81</v>
      </c>
      <c r="H259" s="491">
        <v>0.78</v>
      </c>
      <c r="I259" s="490">
        <v>0.74</v>
      </c>
      <c r="J259" s="490">
        <v>0.69</v>
      </c>
      <c r="K259" s="490">
        <v>0.64</v>
      </c>
      <c r="L259" s="490">
        <v>0.57999999999999996</v>
      </c>
      <c r="M259" s="490">
        <v>0.53</v>
      </c>
      <c r="P259" s="492"/>
      <c r="Q259" s="492"/>
      <c r="R259" s="492"/>
      <c r="S259" s="492"/>
      <c r="T259" s="492"/>
      <c r="W259" s="492"/>
      <c r="X259" s="492"/>
      <c r="Y259" s="492"/>
      <c r="Z259" s="492"/>
      <c r="AA259" s="492"/>
      <c r="AD259" s="492"/>
      <c r="AE259" s="492"/>
      <c r="AF259" s="492"/>
      <c r="AG259" s="492"/>
      <c r="AH259" s="492"/>
      <c r="AK259" s="492"/>
      <c r="AL259" s="492"/>
      <c r="AM259" s="492"/>
      <c r="AN259" s="492"/>
      <c r="AO259" s="492"/>
    </row>
    <row r="260" spans="3:97" ht="15.75" thickBot="1" x14ac:dyDescent="0.3">
      <c r="C260" s="489">
        <v>270</v>
      </c>
      <c r="D260" s="490">
        <v>0.86</v>
      </c>
      <c r="E260" s="490">
        <v>0.87</v>
      </c>
      <c r="F260" s="490">
        <v>0.87</v>
      </c>
      <c r="G260" s="491">
        <v>0.85</v>
      </c>
      <c r="H260" s="491">
        <v>0.82</v>
      </c>
      <c r="I260" s="490">
        <v>0.78</v>
      </c>
      <c r="J260" s="490">
        <v>0.74</v>
      </c>
      <c r="K260" s="490">
        <v>0.68</v>
      </c>
      <c r="L260" s="490">
        <v>0.63</v>
      </c>
      <c r="M260" s="490">
        <v>0.56000000000000005</v>
      </c>
      <c r="P260" s="492"/>
      <c r="Q260" s="492"/>
      <c r="R260" s="492"/>
      <c r="S260" s="492"/>
      <c r="T260" s="492"/>
      <c r="W260" s="492"/>
      <c r="X260" s="492"/>
      <c r="Y260" s="492"/>
      <c r="Z260" s="492"/>
      <c r="AA260" s="492"/>
      <c r="AD260" s="492"/>
      <c r="AE260" s="492"/>
      <c r="AF260" s="492"/>
      <c r="AG260" s="492"/>
      <c r="AH260" s="492"/>
      <c r="AK260" s="492"/>
      <c r="AL260" s="492"/>
      <c r="AM260" s="492"/>
      <c r="AN260" s="492"/>
      <c r="AO260" s="492"/>
    </row>
    <row r="261" spans="3:97" ht="15.75" thickBot="1" x14ac:dyDescent="0.3">
      <c r="C261" s="489">
        <v>280</v>
      </c>
      <c r="D261" s="490">
        <v>0.86</v>
      </c>
      <c r="E261" s="490">
        <v>0.88</v>
      </c>
      <c r="F261" s="490">
        <v>0.88</v>
      </c>
      <c r="G261" s="491">
        <v>0.88</v>
      </c>
      <c r="H261" s="491">
        <v>0.85</v>
      </c>
      <c r="I261" s="490">
        <v>0.82</v>
      </c>
      <c r="J261" s="490">
        <v>0.78</v>
      </c>
      <c r="K261" s="490">
        <v>0.73</v>
      </c>
      <c r="L261" s="490">
        <v>0.67</v>
      </c>
      <c r="M261" s="490">
        <v>0.59</v>
      </c>
      <c r="P261" s="492"/>
      <c r="Q261" s="492"/>
      <c r="R261" s="492"/>
      <c r="S261" s="492"/>
      <c r="T261" s="492"/>
      <c r="W261" s="492"/>
      <c r="X261" s="492"/>
      <c r="Y261" s="492"/>
      <c r="Z261" s="492"/>
      <c r="AA261" s="492"/>
      <c r="AD261" s="492"/>
      <c r="AE261" s="492"/>
      <c r="AF261" s="492"/>
      <c r="AG261" s="492"/>
      <c r="AH261" s="492"/>
      <c r="AK261" s="492"/>
      <c r="AL261" s="492"/>
      <c r="AM261" s="492"/>
      <c r="AN261" s="492"/>
      <c r="AO261" s="492"/>
    </row>
    <row r="262" spans="3:97" ht="15.75" thickBot="1" x14ac:dyDescent="0.3">
      <c r="C262" s="489">
        <v>290</v>
      </c>
      <c r="D262" s="490">
        <v>0.86</v>
      </c>
      <c r="E262" s="490">
        <v>0.89</v>
      </c>
      <c r="F262" s="490">
        <v>0.91</v>
      </c>
      <c r="G262" s="491">
        <v>0.91</v>
      </c>
      <c r="H262" s="491">
        <v>0.89</v>
      </c>
      <c r="I262" s="490">
        <v>0.86</v>
      </c>
      <c r="J262" s="490">
        <v>0.82</v>
      </c>
      <c r="K262" s="490">
        <v>0.76</v>
      </c>
      <c r="L262" s="490">
        <v>0.7</v>
      </c>
      <c r="M262" s="490">
        <v>0.62</v>
      </c>
      <c r="P262" s="492"/>
      <c r="Q262" s="492"/>
      <c r="R262" s="492"/>
      <c r="S262" s="492"/>
      <c r="T262" s="492"/>
      <c r="W262" s="492"/>
      <c r="X262" s="492"/>
      <c r="Y262" s="492"/>
      <c r="Z262" s="492"/>
      <c r="AA262" s="492"/>
      <c r="AD262" s="492"/>
      <c r="AE262" s="492"/>
      <c r="AF262" s="492"/>
      <c r="AG262" s="492"/>
      <c r="AH262" s="492"/>
      <c r="AK262" s="492"/>
      <c r="AL262" s="492"/>
      <c r="AM262" s="492"/>
      <c r="AN262" s="492"/>
      <c r="AO262" s="492"/>
    </row>
    <row r="263" spans="3:97" ht="15.75" thickBot="1" x14ac:dyDescent="0.3">
      <c r="C263" s="489">
        <v>300</v>
      </c>
      <c r="D263" s="490">
        <v>0.86</v>
      </c>
      <c r="E263" s="490">
        <v>0.9</v>
      </c>
      <c r="F263" s="490">
        <v>0.92</v>
      </c>
      <c r="G263" s="491">
        <v>0.93</v>
      </c>
      <c r="H263" s="491">
        <v>0.92</v>
      </c>
      <c r="I263" s="490">
        <v>0.89</v>
      </c>
      <c r="J263" s="490">
        <v>0.85</v>
      </c>
      <c r="K263" s="490">
        <v>0.8</v>
      </c>
      <c r="L263" s="490">
        <v>0.73</v>
      </c>
      <c r="M263" s="490">
        <v>0.64</v>
      </c>
      <c r="P263" s="492"/>
      <c r="Q263" s="492"/>
      <c r="R263" s="492"/>
      <c r="S263" s="492"/>
      <c r="T263" s="492"/>
      <c r="W263" s="492"/>
      <c r="X263" s="492"/>
      <c r="Y263" s="492"/>
      <c r="Z263" s="492"/>
      <c r="AA263" s="492"/>
      <c r="AD263" s="492"/>
      <c r="AE263" s="492"/>
      <c r="AF263" s="492"/>
      <c r="AG263" s="492"/>
      <c r="AH263" s="492"/>
      <c r="AK263" s="492"/>
      <c r="AL263" s="492"/>
      <c r="AM263" s="492"/>
      <c r="AN263" s="492"/>
      <c r="AO263" s="492"/>
    </row>
    <row r="264" spans="3:97" ht="15.75" thickBot="1" x14ac:dyDescent="0.3">
      <c r="C264" s="489">
        <v>310</v>
      </c>
      <c r="D264" s="490">
        <v>0.86</v>
      </c>
      <c r="E264" s="490">
        <v>0.91</v>
      </c>
      <c r="F264" s="490">
        <v>0.94</v>
      </c>
      <c r="G264" s="491">
        <v>0.95</v>
      </c>
      <c r="H264" s="491">
        <v>0.95</v>
      </c>
      <c r="I264" s="490">
        <v>0.92</v>
      </c>
      <c r="J264" s="490">
        <v>0.88</v>
      </c>
      <c r="K264" s="490">
        <v>0.82</v>
      </c>
      <c r="L264" s="490">
        <v>0.74</v>
      </c>
      <c r="M264" s="490">
        <v>0.66</v>
      </c>
      <c r="P264" s="492"/>
      <c r="Q264" s="492"/>
      <c r="R264" s="492"/>
      <c r="S264" s="492"/>
      <c r="T264" s="492"/>
      <c r="W264" s="492"/>
      <c r="X264" s="492"/>
      <c r="Y264" s="492"/>
      <c r="Z264" s="492"/>
      <c r="AA264" s="492"/>
      <c r="AD264" s="492"/>
      <c r="AE264" s="492"/>
      <c r="AF264" s="492"/>
      <c r="AG264" s="492"/>
      <c r="AH264" s="492"/>
      <c r="AK264" s="492"/>
      <c r="AL264" s="492"/>
      <c r="AM264" s="492"/>
      <c r="AN264" s="492"/>
      <c r="AO264" s="492"/>
    </row>
    <row r="265" spans="3:97" ht="15.75" thickBot="1" x14ac:dyDescent="0.3">
      <c r="C265" s="489">
        <v>320</v>
      </c>
      <c r="D265" s="490">
        <v>0.86</v>
      </c>
      <c r="E265" s="490">
        <v>0.92</v>
      </c>
      <c r="F265" s="490">
        <v>0.95</v>
      </c>
      <c r="G265" s="491">
        <v>0.97</v>
      </c>
      <c r="H265" s="491">
        <v>0.97</v>
      </c>
      <c r="I265" s="490">
        <v>0.95</v>
      </c>
      <c r="J265" s="490">
        <v>0.9</v>
      </c>
      <c r="K265" s="490">
        <v>0.84</v>
      </c>
      <c r="L265" s="490">
        <v>0.76</v>
      </c>
      <c r="M265" s="490">
        <v>0.67</v>
      </c>
      <c r="P265" s="492"/>
      <c r="Q265" s="492"/>
      <c r="R265" s="492"/>
      <c r="S265" s="492"/>
      <c r="T265" s="492"/>
      <c r="W265" s="492"/>
      <c r="X265" s="492"/>
      <c r="Y265" s="492"/>
      <c r="Z265" s="492"/>
      <c r="AA265" s="492"/>
      <c r="AD265" s="492"/>
      <c r="AE265" s="492"/>
      <c r="AF265" s="492"/>
      <c r="AG265" s="492"/>
      <c r="AH265" s="492"/>
      <c r="AK265" s="492"/>
      <c r="AL265" s="492"/>
      <c r="AM265" s="492"/>
      <c r="AN265" s="492"/>
      <c r="AO265" s="492"/>
    </row>
    <row r="266" spans="3:97" ht="15.75" thickBot="1" x14ac:dyDescent="0.3">
      <c r="C266" s="489">
        <v>330</v>
      </c>
      <c r="D266" s="490">
        <v>0.86</v>
      </c>
      <c r="E266" s="490">
        <v>0.92</v>
      </c>
      <c r="F266" s="490">
        <v>0.96</v>
      </c>
      <c r="G266" s="491">
        <v>0.99</v>
      </c>
      <c r="H266" s="491">
        <v>0.98</v>
      </c>
      <c r="I266" s="490">
        <v>0.96</v>
      </c>
      <c r="J266" s="490">
        <v>0.92</v>
      </c>
      <c r="K266" s="490">
        <v>0.85</v>
      </c>
      <c r="L266" s="490">
        <v>0.77</v>
      </c>
      <c r="M266" s="490">
        <v>0.68</v>
      </c>
      <c r="P266" s="492"/>
      <c r="Q266" s="492"/>
      <c r="R266" s="492"/>
      <c r="S266" s="492"/>
      <c r="T266" s="492"/>
      <c r="W266" s="492"/>
      <c r="X266" s="492"/>
      <c r="Y266" s="492"/>
      <c r="Z266" s="492"/>
      <c r="AA266" s="492"/>
      <c r="AD266" s="492"/>
      <c r="AE266" s="492"/>
      <c r="AF266" s="492"/>
      <c r="AG266" s="492"/>
      <c r="AH266" s="492"/>
      <c r="AK266" s="492"/>
      <c r="AL266" s="492"/>
      <c r="AM266" s="492"/>
      <c r="AN266" s="492"/>
      <c r="AO266" s="492"/>
    </row>
    <row r="267" spans="3:97" ht="15.75" thickBot="1" x14ac:dyDescent="0.3">
      <c r="C267" s="489">
        <v>340</v>
      </c>
      <c r="D267" s="490">
        <v>0.86</v>
      </c>
      <c r="E267" s="490">
        <v>0.92</v>
      </c>
      <c r="F267" s="490">
        <v>0.97</v>
      </c>
      <c r="G267" s="491">
        <v>0.99</v>
      </c>
      <c r="H267" s="491">
        <v>0.99</v>
      </c>
      <c r="I267" s="490">
        <v>0.97</v>
      </c>
      <c r="J267" s="490">
        <v>0.93</v>
      </c>
      <c r="K267" s="490">
        <v>0.86</v>
      </c>
      <c r="L267" s="490">
        <v>0.78</v>
      </c>
      <c r="M267" s="490">
        <v>0.68</v>
      </c>
      <c r="P267" s="492"/>
      <c r="Q267" s="492"/>
      <c r="R267" s="492"/>
      <c r="S267" s="492"/>
      <c r="T267" s="492"/>
      <c r="W267" s="492"/>
      <c r="X267" s="492"/>
      <c r="Y267" s="492"/>
      <c r="Z267" s="492"/>
      <c r="AA267" s="492"/>
      <c r="AD267" s="492"/>
      <c r="AE267" s="492"/>
      <c r="AF267" s="492"/>
      <c r="AG267" s="492"/>
      <c r="AH267" s="492"/>
      <c r="AK267" s="492"/>
      <c r="AL267" s="492"/>
      <c r="AM267" s="492"/>
      <c r="AN267" s="492"/>
      <c r="AO267" s="492"/>
    </row>
    <row r="268" spans="3:97" ht="15.75" thickBot="1" x14ac:dyDescent="0.3">
      <c r="C268" s="489">
        <v>350</v>
      </c>
      <c r="D268" s="490">
        <v>0.86</v>
      </c>
      <c r="E268" s="490">
        <v>0.93</v>
      </c>
      <c r="F268" s="490">
        <v>0.98</v>
      </c>
      <c r="G268" s="490">
        <v>1</v>
      </c>
      <c r="H268" s="490">
        <v>1</v>
      </c>
      <c r="I268" s="490">
        <v>0.98</v>
      </c>
      <c r="J268" s="490">
        <v>0.93</v>
      </c>
      <c r="K268" s="490">
        <v>0.87</v>
      </c>
      <c r="L268" s="490">
        <v>0.78</v>
      </c>
      <c r="M268" s="490">
        <v>0.67</v>
      </c>
      <c r="P268" s="492"/>
      <c r="Q268" s="492"/>
      <c r="R268" s="492"/>
      <c r="S268" s="492"/>
      <c r="T268" s="492"/>
      <c r="W268" s="492"/>
      <c r="X268" s="492"/>
      <c r="Y268" s="492"/>
      <c r="Z268" s="492"/>
      <c r="AA268" s="492"/>
      <c r="AD268" s="492"/>
      <c r="AE268" s="492"/>
      <c r="AF268" s="492"/>
      <c r="AG268" s="492"/>
      <c r="AH268" s="492"/>
      <c r="AK268" s="492"/>
      <c r="AL268" s="492"/>
      <c r="AM268" s="492"/>
      <c r="AN268" s="492"/>
      <c r="AO268" s="492"/>
    </row>
    <row r="269" spans="3:97" x14ac:dyDescent="0.25">
      <c r="P269" s="492"/>
      <c r="Q269" s="492"/>
      <c r="R269" s="492"/>
      <c r="S269" s="492"/>
      <c r="T269" s="492"/>
      <c r="W269" s="492"/>
      <c r="X269" s="492"/>
      <c r="Y269" s="492"/>
      <c r="Z269" s="492"/>
      <c r="AA269" s="492"/>
      <c r="AD269" s="492"/>
      <c r="AE269" s="492"/>
      <c r="AF269" s="492"/>
      <c r="AG269" s="492"/>
      <c r="AH269" s="492"/>
      <c r="AK269" s="492"/>
      <c r="AL269" s="492"/>
      <c r="AM269" s="492"/>
      <c r="AN269" s="492"/>
      <c r="AO269" s="492"/>
    </row>
    <row r="270" spans="3:97" ht="15.75" thickBot="1" x14ac:dyDescent="0.3">
      <c r="P270" s="492"/>
      <c r="Q270" s="492"/>
      <c r="R270" s="492"/>
      <c r="S270" s="492"/>
      <c r="T270" s="492"/>
      <c r="W270" s="492"/>
      <c r="X270" s="492"/>
      <c r="Y270" s="492"/>
      <c r="Z270" s="492"/>
      <c r="AA270" s="492"/>
      <c r="AD270" s="492"/>
      <c r="AE270" s="492"/>
      <c r="AF270" s="492"/>
      <c r="AG270" s="492"/>
      <c r="AH270" s="492"/>
      <c r="AK270" s="492"/>
      <c r="AL270" s="492"/>
      <c r="AM270" s="492"/>
      <c r="AN270" s="492"/>
      <c r="AO270" s="492"/>
    </row>
    <row r="271" spans="3:97" ht="15.75" thickBot="1" x14ac:dyDescent="0.3">
      <c r="C271" s="784" t="s">
        <v>3729</v>
      </c>
      <c r="D271" s="785"/>
      <c r="E271" s="785"/>
      <c r="F271" s="785"/>
      <c r="G271" s="785"/>
      <c r="H271" s="785"/>
      <c r="I271" s="785"/>
      <c r="J271" s="785"/>
      <c r="K271" s="785"/>
      <c r="L271" s="785"/>
      <c r="M271" s="786"/>
      <c r="O271" s="493" t="s">
        <v>3730</v>
      </c>
    </row>
    <row r="272" spans="3:97" ht="15.75" customHeight="1" thickBot="1" x14ac:dyDescent="0.3">
      <c r="C272" s="780" t="s">
        <v>3720</v>
      </c>
      <c r="D272" s="781" t="s">
        <v>3721</v>
      </c>
      <c r="E272" s="782"/>
      <c r="F272" s="782"/>
      <c r="G272" s="782"/>
      <c r="H272" s="782"/>
      <c r="I272" s="782"/>
      <c r="J272" s="782"/>
      <c r="K272" s="782"/>
      <c r="L272" s="782"/>
      <c r="M272" s="783"/>
      <c r="O272" s="777" t="str">
        <f>O271&amp;" - Janurary"</f>
        <v>ADELAIDE - Janurary</v>
      </c>
      <c r="P272" s="778"/>
      <c r="Q272" s="778"/>
      <c r="R272" s="778"/>
      <c r="S272" s="778"/>
      <c r="T272" s="779"/>
      <c r="V272" s="777" t="str">
        <f>O271&amp;" - February"</f>
        <v>ADELAIDE - February</v>
      </c>
      <c r="W272" s="778"/>
      <c r="X272" s="778"/>
      <c r="Y272" s="778"/>
      <c r="Z272" s="778"/>
      <c r="AA272" s="779"/>
      <c r="AC272" s="777" t="str">
        <f>O271&amp;" - March"</f>
        <v>ADELAIDE - March</v>
      </c>
      <c r="AD272" s="778"/>
      <c r="AE272" s="778"/>
      <c r="AF272" s="778"/>
      <c r="AG272" s="778"/>
      <c r="AH272" s="779"/>
      <c r="AJ272" s="777" t="str">
        <f>O271&amp;" - April"</f>
        <v>ADELAIDE - April</v>
      </c>
      <c r="AK272" s="778"/>
      <c r="AL272" s="778"/>
      <c r="AM272" s="778"/>
      <c r="AN272" s="778"/>
      <c r="AO272" s="779"/>
      <c r="AQ272" s="777" t="str">
        <f>O271&amp;" - May"</f>
        <v>ADELAIDE - May</v>
      </c>
      <c r="AR272" s="778"/>
      <c r="AS272" s="778"/>
      <c r="AT272" s="778"/>
      <c r="AU272" s="778"/>
      <c r="AV272" s="779"/>
      <c r="AX272" s="777" t="str">
        <f>O271&amp;" - June"</f>
        <v>ADELAIDE - June</v>
      </c>
      <c r="AY272" s="778"/>
      <c r="AZ272" s="778"/>
      <c r="BA272" s="778"/>
      <c r="BB272" s="778"/>
      <c r="BC272" s="779"/>
      <c r="BE272" s="777" t="str">
        <f>O271&amp;" - July"</f>
        <v>ADELAIDE - July</v>
      </c>
      <c r="BF272" s="778"/>
      <c r="BG272" s="778"/>
      <c r="BH272" s="778"/>
      <c r="BI272" s="778"/>
      <c r="BJ272" s="779"/>
      <c r="BL272" s="777" t="str">
        <f>O271&amp;" - August"</f>
        <v>ADELAIDE - August</v>
      </c>
      <c r="BM272" s="778"/>
      <c r="BN272" s="778"/>
      <c r="BO272" s="778"/>
      <c r="BP272" s="778"/>
      <c r="BQ272" s="779"/>
      <c r="BS272" s="777" t="str">
        <f>O271&amp;" - September"</f>
        <v>ADELAIDE - September</v>
      </c>
      <c r="BT272" s="778"/>
      <c r="BU272" s="778"/>
      <c r="BV272" s="778"/>
      <c r="BW272" s="778"/>
      <c r="BX272" s="779"/>
      <c r="BZ272" s="777" t="str">
        <f>O271&amp;" - October"</f>
        <v>ADELAIDE - October</v>
      </c>
      <c r="CA272" s="778"/>
      <c r="CB272" s="778"/>
      <c r="CC272" s="778"/>
      <c r="CD272" s="778"/>
      <c r="CE272" s="779"/>
      <c r="CG272" s="777" t="str">
        <f>O271&amp;" - November"</f>
        <v>ADELAIDE - November</v>
      </c>
      <c r="CH272" s="778"/>
      <c r="CI272" s="778"/>
      <c r="CJ272" s="778"/>
      <c r="CK272" s="778"/>
      <c r="CL272" s="779"/>
      <c r="CN272" s="777" t="str">
        <f>O271&amp;" - December"</f>
        <v>ADELAIDE - December</v>
      </c>
      <c r="CO272" s="778"/>
      <c r="CP272" s="778"/>
      <c r="CQ272" s="778"/>
      <c r="CR272" s="778"/>
      <c r="CS272" s="779"/>
    </row>
    <row r="273" spans="3:97" ht="15.75" customHeight="1" thickBot="1" x14ac:dyDescent="0.3">
      <c r="C273" s="773"/>
      <c r="D273" s="488">
        <v>0</v>
      </c>
      <c r="E273" s="488">
        <v>10</v>
      </c>
      <c r="F273" s="488">
        <v>20</v>
      </c>
      <c r="G273" s="488">
        <v>30</v>
      </c>
      <c r="H273" s="488">
        <v>40</v>
      </c>
      <c r="I273" s="488">
        <v>50</v>
      </c>
      <c r="J273" s="488">
        <v>60</v>
      </c>
      <c r="K273" s="488">
        <v>70</v>
      </c>
      <c r="L273" s="488">
        <v>80</v>
      </c>
      <c r="M273" s="488">
        <v>90</v>
      </c>
      <c r="O273" s="787" t="s">
        <v>3720</v>
      </c>
      <c r="P273" s="774" t="s">
        <v>3721</v>
      </c>
      <c r="Q273" s="775"/>
      <c r="R273" s="775"/>
      <c r="S273" s="775"/>
      <c r="T273" s="776"/>
      <c r="V273" s="787" t="s">
        <v>3720</v>
      </c>
      <c r="W273" s="774" t="s">
        <v>3721</v>
      </c>
      <c r="X273" s="775"/>
      <c r="Y273" s="775"/>
      <c r="Z273" s="775"/>
      <c r="AA273" s="776"/>
      <c r="AC273" s="787" t="s">
        <v>3720</v>
      </c>
      <c r="AD273" s="774" t="s">
        <v>3721</v>
      </c>
      <c r="AE273" s="775"/>
      <c r="AF273" s="775"/>
      <c r="AG273" s="775"/>
      <c r="AH273" s="776"/>
      <c r="AJ273" s="787" t="s">
        <v>3720</v>
      </c>
      <c r="AK273" s="774" t="s">
        <v>3721</v>
      </c>
      <c r="AL273" s="775"/>
      <c r="AM273" s="775"/>
      <c r="AN273" s="775"/>
      <c r="AO273" s="776"/>
      <c r="AQ273" s="787" t="s">
        <v>3720</v>
      </c>
      <c r="AR273" s="774" t="s">
        <v>3721</v>
      </c>
      <c r="AS273" s="775"/>
      <c r="AT273" s="775"/>
      <c r="AU273" s="775"/>
      <c r="AV273" s="776"/>
      <c r="AX273" s="787" t="s">
        <v>3720</v>
      </c>
      <c r="AY273" s="774" t="s">
        <v>3721</v>
      </c>
      <c r="AZ273" s="775"/>
      <c r="BA273" s="775"/>
      <c r="BB273" s="775"/>
      <c r="BC273" s="776"/>
      <c r="BE273" s="787" t="s">
        <v>3720</v>
      </c>
      <c r="BF273" s="774" t="s">
        <v>3721</v>
      </c>
      <c r="BG273" s="775"/>
      <c r="BH273" s="775"/>
      <c r="BI273" s="775"/>
      <c r="BJ273" s="776"/>
      <c r="BL273" s="787" t="s">
        <v>3720</v>
      </c>
      <c r="BM273" s="774" t="s">
        <v>3721</v>
      </c>
      <c r="BN273" s="775"/>
      <c r="BO273" s="775"/>
      <c r="BP273" s="775"/>
      <c r="BQ273" s="776"/>
      <c r="BS273" s="787" t="s">
        <v>3720</v>
      </c>
      <c r="BT273" s="774" t="s">
        <v>3721</v>
      </c>
      <c r="BU273" s="775"/>
      <c r="BV273" s="775"/>
      <c r="BW273" s="775"/>
      <c r="BX273" s="776"/>
      <c r="BZ273" s="787" t="s">
        <v>3720</v>
      </c>
      <c r="CA273" s="774" t="s">
        <v>3721</v>
      </c>
      <c r="CB273" s="775"/>
      <c r="CC273" s="775"/>
      <c r="CD273" s="775"/>
      <c r="CE273" s="776"/>
      <c r="CG273" s="787" t="s">
        <v>3720</v>
      </c>
      <c r="CH273" s="774" t="s">
        <v>3721</v>
      </c>
      <c r="CI273" s="775"/>
      <c r="CJ273" s="775"/>
      <c r="CK273" s="775"/>
      <c r="CL273" s="776"/>
      <c r="CN273" s="787" t="s">
        <v>3720</v>
      </c>
      <c r="CO273" s="774" t="s">
        <v>3721</v>
      </c>
      <c r="CP273" s="775"/>
      <c r="CQ273" s="775"/>
      <c r="CR273" s="775"/>
      <c r="CS273" s="776"/>
    </row>
    <row r="274" spans="3:97" ht="15.75" thickBot="1" x14ac:dyDescent="0.3">
      <c r="C274" s="489">
        <v>0</v>
      </c>
      <c r="D274" s="490">
        <v>0.87</v>
      </c>
      <c r="E274" s="490">
        <v>0.94</v>
      </c>
      <c r="F274" s="490">
        <v>0.98</v>
      </c>
      <c r="G274" s="490">
        <v>1</v>
      </c>
      <c r="H274" s="490">
        <v>0.99</v>
      </c>
      <c r="I274" s="490">
        <v>0.96</v>
      </c>
      <c r="J274" s="490">
        <v>0.91</v>
      </c>
      <c r="K274" s="490">
        <v>0.83</v>
      </c>
      <c r="L274" s="490">
        <v>0.74</v>
      </c>
      <c r="M274" s="490">
        <v>0.63</v>
      </c>
      <c r="O274" s="788"/>
      <c r="P274" s="488">
        <v>0</v>
      </c>
      <c r="Q274" s="488">
        <v>10</v>
      </c>
      <c r="R274" s="488">
        <v>20</v>
      </c>
      <c r="S274" s="488">
        <v>30</v>
      </c>
      <c r="T274" s="488">
        <v>40</v>
      </c>
      <c r="V274" s="788"/>
      <c r="W274" s="488">
        <v>0</v>
      </c>
      <c r="X274" s="488">
        <v>10</v>
      </c>
      <c r="Y274" s="488">
        <v>20</v>
      </c>
      <c r="Z274" s="488">
        <v>30</v>
      </c>
      <c r="AA274" s="488">
        <v>40</v>
      </c>
      <c r="AC274" s="788"/>
      <c r="AD274" s="488">
        <v>0</v>
      </c>
      <c r="AE274" s="488">
        <v>10</v>
      </c>
      <c r="AF274" s="488">
        <v>20</v>
      </c>
      <c r="AG274" s="488">
        <v>30</v>
      </c>
      <c r="AH274" s="488">
        <v>40</v>
      </c>
      <c r="AJ274" s="788"/>
      <c r="AK274" s="488">
        <v>0</v>
      </c>
      <c r="AL274" s="488">
        <v>10</v>
      </c>
      <c r="AM274" s="488">
        <v>20</v>
      </c>
      <c r="AN274" s="488">
        <v>30</v>
      </c>
      <c r="AO274" s="488">
        <v>40</v>
      </c>
      <c r="AQ274" s="788"/>
      <c r="AR274" s="488">
        <v>0</v>
      </c>
      <c r="AS274" s="488">
        <v>10</v>
      </c>
      <c r="AT274" s="488">
        <v>20</v>
      </c>
      <c r="AU274" s="488">
        <v>30</v>
      </c>
      <c r="AV274" s="488">
        <v>40</v>
      </c>
      <c r="AX274" s="788"/>
      <c r="AY274" s="488">
        <v>0</v>
      </c>
      <c r="AZ274" s="488">
        <v>10</v>
      </c>
      <c r="BA274" s="488">
        <v>20</v>
      </c>
      <c r="BB274" s="488">
        <v>30</v>
      </c>
      <c r="BC274" s="488">
        <v>40</v>
      </c>
      <c r="BE274" s="788"/>
      <c r="BF274" s="488">
        <v>0</v>
      </c>
      <c r="BG274" s="488">
        <v>10</v>
      </c>
      <c r="BH274" s="488">
        <v>20</v>
      </c>
      <c r="BI274" s="488">
        <v>30</v>
      </c>
      <c r="BJ274" s="488">
        <v>40</v>
      </c>
      <c r="BL274" s="788"/>
      <c r="BM274" s="488">
        <v>0</v>
      </c>
      <c r="BN274" s="488">
        <v>10</v>
      </c>
      <c r="BO274" s="488">
        <v>20</v>
      </c>
      <c r="BP274" s="488">
        <v>30</v>
      </c>
      <c r="BQ274" s="488">
        <v>40</v>
      </c>
      <c r="BS274" s="788"/>
      <c r="BT274" s="488">
        <v>0</v>
      </c>
      <c r="BU274" s="488">
        <v>10</v>
      </c>
      <c r="BV274" s="488">
        <v>20</v>
      </c>
      <c r="BW274" s="488">
        <v>30</v>
      </c>
      <c r="BX274" s="488">
        <v>40</v>
      </c>
      <c r="BZ274" s="788"/>
      <c r="CA274" s="488">
        <v>0</v>
      </c>
      <c r="CB274" s="488">
        <v>10</v>
      </c>
      <c r="CC274" s="488">
        <v>20</v>
      </c>
      <c r="CD274" s="488">
        <v>30</v>
      </c>
      <c r="CE274" s="488">
        <v>40</v>
      </c>
      <c r="CG274" s="788"/>
      <c r="CH274" s="488">
        <v>0</v>
      </c>
      <c r="CI274" s="488">
        <v>10</v>
      </c>
      <c r="CJ274" s="488">
        <v>20</v>
      </c>
      <c r="CK274" s="488">
        <v>30</v>
      </c>
      <c r="CL274" s="488">
        <v>40</v>
      </c>
      <c r="CN274" s="788"/>
      <c r="CO274" s="488">
        <v>0</v>
      </c>
      <c r="CP274" s="488">
        <v>10</v>
      </c>
      <c r="CQ274" s="488">
        <v>20</v>
      </c>
      <c r="CR274" s="488">
        <v>30</v>
      </c>
      <c r="CS274" s="488">
        <v>40</v>
      </c>
    </row>
    <row r="275" spans="3:97" ht="15.75" thickBot="1" x14ac:dyDescent="0.3">
      <c r="C275" s="489">
        <v>10</v>
      </c>
      <c r="D275" s="490">
        <v>0.87</v>
      </c>
      <c r="E275" s="490">
        <v>0.94</v>
      </c>
      <c r="F275" s="490">
        <v>0.98</v>
      </c>
      <c r="G275" s="490">
        <v>1</v>
      </c>
      <c r="H275" s="490">
        <v>0.99</v>
      </c>
      <c r="I275" s="490">
        <v>0.96</v>
      </c>
      <c r="J275" s="490">
        <v>0.9</v>
      </c>
      <c r="K275" s="490">
        <v>0.83</v>
      </c>
      <c r="L275" s="490">
        <v>0.74</v>
      </c>
      <c r="M275" s="490">
        <v>0.63</v>
      </c>
      <c r="O275" s="489">
        <v>270</v>
      </c>
      <c r="P275" s="490">
        <v>1</v>
      </c>
      <c r="Q275" s="490">
        <v>1.01</v>
      </c>
      <c r="R275" s="490">
        <v>1</v>
      </c>
      <c r="S275" s="490">
        <v>0.97</v>
      </c>
      <c r="T275" s="490">
        <v>0.93</v>
      </c>
      <c r="V275" s="489">
        <v>270</v>
      </c>
      <c r="W275" s="490">
        <v>1</v>
      </c>
      <c r="X275" s="490">
        <v>1.01</v>
      </c>
      <c r="Y275" s="490">
        <v>1</v>
      </c>
      <c r="Z275" s="490">
        <v>0.97</v>
      </c>
      <c r="AA275" s="490">
        <v>0.94</v>
      </c>
      <c r="AC275" s="489">
        <v>270</v>
      </c>
      <c r="AD275" s="490">
        <v>1</v>
      </c>
      <c r="AE275" s="490">
        <v>1.01</v>
      </c>
      <c r="AF275" s="490">
        <v>1.01</v>
      </c>
      <c r="AG275" s="490">
        <v>1</v>
      </c>
      <c r="AH275" s="490">
        <v>0.97</v>
      </c>
      <c r="AJ275" s="489">
        <v>270</v>
      </c>
      <c r="AK275" s="490">
        <v>1</v>
      </c>
      <c r="AL275" s="490">
        <v>1.01</v>
      </c>
      <c r="AM275" s="490">
        <v>1.01</v>
      </c>
      <c r="AN275" s="490">
        <v>1.01</v>
      </c>
      <c r="AO275" s="490">
        <v>0.99</v>
      </c>
      <c r="AQ275" s="489">
        <v>270</v>
      </c>
      <c r="AR275" s="490">
        <v>1</v>
      </c>
      <c r="AS275" s="490">
        <v>1.01</v>
      </c>
      <c r="AT275" s="490">
        <v>1.02</v>
      </c>
      <c r="AU275" s="490">
        <v>1.02</v>
      </c>
      <c r="AV275" s="490">
        <v>1</v>
      </c>
      <c r="AX275" s="489">
        <v>270</v>
      </c>
      <c r="AY275" s="490">
        <v>1</v>
      </c>
      <c r="AZ275" s="490">
        <v>1.01</v>
      </c>
      <c r="BA275" s="490">
        <v>1.02</v>
      </c>
      <c r="BB275" s="490">
        <v>1.02</v>
      </c>
      <c r="BC275" s="490">
        <v>1</v>
      </c>
      <c r="BE275" s="489">
        <v>270</v>
      </c>
      <c r="BF275" s="490">
        <v>1</v>
      </c>
      <c r="BG275" s="490">
        <v>1.02</v>
      </c>
      <c r="BH275" s="490">
        <v>1.03</v>
      </c>
      <c r="BI275" s="490">
        <v>1.03</v>
      </c>
      <c r="BJ275" s="490">
        <v>1.01</v>
      </c>
      <c r="BL275" s="489">
        <v>270</v>
      </c>
      <c r="BM275" s="490">
        <v>1</v>
      </c>
      <c r="BN275" s="490">
        <v>1.02</v>
      </c>
      <c r="BO275" s="490">
        <v>1.02</v>
      </c>
      <c r="BP275" s="490">
        <v>1.02</v>
      </c>
      <c r="BQ275" s="490">
        <v>1</v>
      </c>
      <c r="BS275" s="489">
        <v>270</v>
      </c>
      <c r="BT275" s="490">
        <v>1</v>
      </c>
      <c r="BU275" s="490">
        <v>1.01</v>
      </c>
      <c r="BV275" s="490">
        <v>1.02</v>
      </c>
      <c r="BW275" s="490">
        <v>1.01</v>
      </c>
      <c r="BX275" s="490">
        <v>0.98</v>
      </c>
      <c r="BZ275" s="489">
        <v>270</v>
      </c>
      <c r="CA275" s="490">
        <v>1</v>
      </c>
      <c r="CB275" s="490">
        <v>1.01</v>
      </c>
      <c r="CC275" s="490">
        <v>1</v>
      </c>
      <c r="CD275" s="490">
        <v>0.99</v>
      </c>
      <c r="CE275" s="490">
        <v>0.96</v>
      </c>
      <c r="CG275" s="489">
        <v>270</v>
      </c>
      <c r="CH275" s="490">
        <v>1</v>
      </c>
      <c r="CI275" s="490">
        <v>1.01</v>
      </c>
      <c r="CJ275" s="490">
        <v>1</v>
      </c>
      <c r="CK275" s="490">
        <v>0.98</v>
      </c>
      <c r="CL275" s="490">
        <v>0.94</v>
      </c>
      <c r="CN275" s="489">
        <v>270</v>
      </c>
      <c r="CO275" s="490">
        <v>1</v>
      </c>
      <c r="CP275" s="490">
        <v>1.01</v>
      </c>
      <c r="CQ275" s="490">
        <v>1</v>
      </c>
      <c r="CR275" s="490">
        <v>0.98</v>
      </c>
      <c r="CS275" s="490">
        <v>0.94</v>
      </c>
    </row>
    <row r="276" spans="3:97" ht="15.75" thickBot="1" x14ac:dyDescent="0.3">
      <c r="C276" s="489">
        <v>20</v>
      </c>
      <c r="D276" s="490">
        <v>0.87</v>
      </c>
      <c r="E276" s="490">
        <v>0.94</v>
      </c>
      <c r="F276" s="490">
        <v>0.97</v>
      </c>
      <c r="G276" s="490">
        <v>0.99</v>
      </c>
      <c r="H276" s="490">
        <v>0.98</v>
      </c>
      <c r="I276" s="490">
        <v>0.94</v>
      </c>
      <c r="J276" s="490">
        <v>0.89</v>
      </c>
      <c r="K276" s="490">
        <v>0.82</v>
      </c>
      <c r="L276" s="490">
        <v>0.73</v>
      </c>
      <c r="M276" s="490">
        <v>0.63</v>
      </c>
      <c r="O276" s="489">
        <v>280</v>
      </c>
      <c r="P276" s="490">
        <v>1</v>
      </c>
      <c r="Q276" s="490">
        <v>1.01</v>
      </c>
      <c r="R276" s="490">
        <v>1</v>
      </c>
      <c r="S276" s="490">
        <v>0.98</v>
      </c>
      <c r="T276" s="490">
        <v>0.94</v>
      </c>
      <c r="V276" s="489">
        <v>280</v>
      </c>
      <c r="W276" s="490">
        <v>1</v>
      </c>
      <c r="X276" s="490">
        <v>1.02</v>
      </c>
      <c r="Y276" s="490">
        <v>1.01</v>
      </c>
      <c r="Z276" s="490">
        <v>0.99</v>
      </c>
      <c r="AA276" s="490">
        <v>0.96</v>
      </c>
      <c r="AC276" s="489">
        <v>280</v>
      </c>
      <c r="AD276" s="490">
        <v>1</v>
      </c>
      <c r="AE276" s="490">
        <v>1.03</v>
      </c>
      <c r="AF276" s="490">
        <v>1.04</v>
      </c>
      <c r="AG276" s="490">
        <v>1.04</v>
      </c>
      <c r="AH276" s="490">
        <v>1.02</v>
      </c>
      <c r="AJ276" s="489">
        <v>280</v>
      </c>
      <c r="AK276" s="490">
        <v>1</v>
      </c>
      <c r="AL276" s="490">
        <v>1.04</v>
      </c>
      <c r="AM276" s="490">
        <v>1.06</v>
      </c>
      <c r="AN276" s="490">
        <v>1.07</v>
      </c>
      <c r="AO276" s="490">
        <v>1.07</v>
      </c>
      <c r="AQ276" s="489">
        <v>280</v>
      </c>
      <c r="AR276" s="490">
        <v>1</v>
      </c>
      <c r="AS276" s="490">
        <v>1.04</v>
      </c>
      <c r="AT276" s="490">
        <v>1.08</v>
      </c>
      <c r="AU276" s="490">
        <v>1.1000000000000001</v>
      </c>
      <c r="AV276" s="490">
        <v>1.1100000000000001</v>
      </c>
      <c r="AX276" s="489">
        <v>280</v>
      </c>
      <c r="AY276" s="490">
        <v>1</v>
      </c>
      <c r="AZ276" s="490">
        <v>1.05</v>
      </c>
      <c r="BA276" s="490">
        <v>1.1000000000000001</v>
      </c>
      <c r="BB276" s="490">
        <v>1.1200000000000001</v>
      </c>
      <c r="BC276" s="490">
        <v>1.1299999999999999</v>
      </c>
      <c r="BE276" s="489">
        <v>280</v>
      </c>
      <c r="BF276" s="490">
        <v>1</v>
      </c>
      <c r="BG276" s="490">
        <v>1.06</v>
      </c>
      <c r="BH276" s="490">
        <v>1.1000000000000001</v>
      </c>
      <c r="BI276" s="490">
        <v>1.1200000000000001</v>
      </c>
      <c r="BJ276" s="490">
        <v>1.1299999999999999</v>
      </c>
      <c r="BL276" s="489">
        <v>280</v>
      </c>
      <c r="BM276" s="490">
        <v>1</v>
      </c>
      <c r="BN276" s="490">
        <v>1.05</v>
      </c>
      <c r="BO276" s="490">
        <v>1.08</v>
      </c>
      <c r="BP276" s="490">
        <v>1.0900000000000001</v>
      </c>
      <c r="BQ276" s="490">
        <v>1.0900000000000001</v>
      </c>
      <c r="BS276" s="489">
        <v>280</v>
      </c>
      <c r="BT276" s="490">
        <v>1</v>
      </c>
      <c r="BU276" s="490">
        <v>1.03</v>
      </c>
      <c r="BV276" s="490">
        <v>1.05</v>
      </c>
      <c r="BW276" s="490">
        <v>1.05</v>
      </c>
      <c r="BX276" s="490">
        <v>1.04</v>
      </c>
      <c r="BZ276" s="489">
        <v>280</v>
      </c>
      <c r="CA276" s="490">
        <v>1</v>
      </c>
      <c r="CB276" s="490">
        <v>1.02</v>
      </c>
      <c r="CC276" s="490">
        <v>1.02</v>
      </c>
      <c r="CD276" s="490">
        <v>1.01</v>
      </c>
      <c r="CE276" s="490">
        <v>0.99</v>
      </c>
      <c r="CG276" s="489">
        <v>280</v>
      </c>
      <c r="CH276" s="490">
        <v>1</v>
      </c>
      <c r="CI276" s="490">
        <v>1.01</v>
      </c>
      <c r="CJ276" s="490">
        <v>1.01</v>
      </c>
      <c r="CK276" s="490">
        <v>0.99</v>
      </c>
      <c r="CL276" s="490">
        <v>0.96</v>
      </c>
      <c r="CN276" s="489">
        <v>280</v>
      </c>
      <c r="CO276" s="490">
        <v>1</v>
      </c>
      <c r="CP276" s="490">
        <v>1.01</v>
      </c>
      <c r="CQ276" s="490">
        <v>1</v>
      </c>
      <c r="CR276" s="490">
        <v>0.98</v>
      </c>
      <c r="CS276" s="490">
        <v>0.94</v>
      </c>
    </row>
    <row r="277" spans="3:97" ht="15.75" thickBot="1" x14ac:dyDescent="0.3">
      <c r="C277" s="489">
        <v>30</v>
      </c>
      <c r="D277" s="490">
        <v>0.87</v>
      </c>
      <c r="E277" s="490">
        <v>0.93</v>
      </c>
      <c r="F277" s="490">
        <v>0.96</v>
      </c>
      <c r="G277" s="490">
        <v>0.97</v>
      </c>
      <c r="H277" s="490">
        <v>0.96</v>
      </c>
      <c r="I277" s="490">
        <v>0.93</v>
      </c>
      <c r="J277" s="490">
        <v>0.87</v>
      </c>
      <c r="K277" s="490">
        <v>0.8</v>
      </c>
      <c r="L277" s="490">
        <v>0.72</v>
      </c>
      <c r="M277" s="490">
        <v>0.62</v>
      </c>
      <c r="O277" s="489">
        <v>290</v>
      </c>
      <c r="P277" s="490">
        <v>1</v>
      </c>
      <c r="Q277" s="490">
        <v>1.01</v>
      </c>
      <c r="R277" s="490">
        <v>1</v>
      </c>
      <c r="S277" s="490">
        <v>0.98</v>
      </c>
      <c r="T277" s="490">
        <v>0.95</v>
      </c>
      <c r="V277" s="489">
        <v>290</v>
      </c>
      <c r="W277" s="490">
        <v>1</v>
      </c>
      <c r="X277" s="490">
        <v>1.02</v>
      </c>
      <c r="Y277" s="490">
        <v>1.02</v>
      </c>
      <c r="Z277" s="490">
        <v>1.01</v>
      </c>
      <c r="AA277" s="490">
        <v>0.98</v>
      </c>
      <c r="AC277" s="489">
        <v>290</v>
      </c>
      <c r="AD277" s="490">
        <v>1</v>
      </c>
      <c r="AE277" s="490">
        <v>1.04</v>
      </c>
      <c r="AF277" s="490">
        <v>1.07</v>
      </c>
      <c r="AG277" s="490">
        <v>1.07</v>
      </c>
      <c r="AH277" s="490">
        <v>1.06</v>
      </c>
      <c r="AJ277" s="489">
        <v>290</v>
      </c>
      <c r="AK277" s="490">
        <v>1</v>
      </c>
      <c r="AL277" s="490">
        <v>1.06</v>
      </c>
      <c r="AM277" s="490">
        <v>1.1000000000000001</v>
      </c>
      <c r="AN277" s="490">
        <v>1.1299999999999999</v>
      </c>
      <c r="AO277" s="490">
        <v>1.1399999999999999</v>
      </c>
      <c r="AQ277" s="489">
        <v>290</v>
      </c>
      <c r="AR277" s="490">
        <v>1</v>
      </c>
      <c r="AS277" s="490">
        <v>1.08</v>
      </c>
      <c r="AT277" s="490">
        <v>1.1399999999999999</v>
      </c>
      <c r="AU277" s="490">
        <v>1.19</v>
      </c>
      <c r="AV277" s="490">
        <v>1.21</v>
      </c>
      <c r="AX277" s="489">
        <v>290</v>
      </c>
      <c r="AY277" s="490">
        <v>1</v>
      </c>
      <c r="AZ277" s="490">
        <v>1.0900000000000001</v>
      </c>
      <c r="BA277" s="490">
        <v>1.1599999999999999</v>
      </c>
      <c r="BB277" s="490">
        <v>1.21</v>
      </c>
      <c r="BC277" s="490">
        <v>1.24</v>
      </c>
      <c r="BE277" s="489">
        <v>290</v>
      </c>
      <c r="BF277" s="490">
        <v>1</v>
      </c>
      <c r="BG277" s="490">
        <v>1.0900000000000001</v>
      </c>
      <c r="BH277" s="490">
        <v>1.1599999999999999</v>
      </c>
      <c r="BI277" s="490">
        <v>1.21</v>
      </c>
      <c r="BJ277" s="490">
        <v>1.24</v>
      </c>
      <c r="BL277" s="489">
        <v>290</v>
      </c>
      <c r="BM277" s="490">
        <v>1</v>
      </c>
      <c r="BN277" s="490">
        <v>1.08</v>
      </c>
      <c r="BO277" s="490">
        <v>1.1299999999999999</v>
      </c>
      <c r="BP277" s="490">
        <v>1.1599999999999999</v>
      </c>
      <c r="BQ277" s="490">
        <v>1.17</v>
      </c>
      <c r="BS277" s="489">
        <v>290</v>
      </c>
      <c r="BT277" s="490">
        <v>1</v>
      </c>
      <c r="BU277" s="490">
        <v>1.05</v>
      </c>
      <c r="BV277" s="490">
        <v>1.08</v>
      </c>
      <c r="BW277" s="490">
        <v>1.0900000000000001</v>
      </c>
      <c r="BX277" s="490">
        <v>1.0900000000000001</v>
      </c>
      <c r="BZ277" s="489">
        <v>290</v>
      </c>
      <c r="CA277" s="490">
        <v>1</v>
      </c>
      <c r="CB277" s="490">
        <v>1.03</v>
      </c>
      <c r="CC277" s="490">
        <v>1.04</v>
      </c>
      <c r="CD277" s="490">
        <v>1.04</v>
      </c>
      <c r="CE277" s="490">
        <v>1.02</v>
      </c>
      <c r="CG277" s="489">
        <v>290</v>
      </c>
      <c r="CH277" s="490">
        <v>1</v>
      </c>
      <c r="CI277" s="490">
        <v>1.01</v>
      </c>
      <c r="CJ277" s="490">
        <v>1.01</v>
      </c>
      <c r="CK277" s="490">
        <v>1</v>
      </c>
      <c r="CL277" s="490">
        <v>0.97</v>
      </c>
      <c r="CN277" s="489">
        <v>290</v>
      </c>
      <c r="CO277" s="490">
        <v>1</v>
      </c>
      <c r="CP277" s="490">
        <v>1.01</v>
      </c>
      <c r="CQ277" s="490">
        <v>1</v>
      </c>
      <c r="CR277" s="490">
        <v>0.98</v>
      </c>
      <c r="CS277" s="490">
        <v>0.94</v>
      </c>
    </row>
    <row r="278" spans="3:97" ht="15.75" thickBot="1" x14ac:dyDescent="0.3">
      <c r="C278" s="489">
        <v>40</v>
      </c>
      <c r="D278" s="490">
        <v>0.87</v>
      </c>
      <c r="E278" s="490">
        <v>0.92</v>
      </c>
      <c r="F278" s="490">
        <v>0.95</v>
      </c>
      <c r="G278" s="490">
        <v>0.95</v>
      </c>
      <c r="H278" s="490">
        <v>0.94</v>
      </c>
      <c r="I278" s="490">
        <v>0.91</v>
      </c>
      <c r="J278" s="490">
        <v>0.85</v>
      </c>
      <c r="K278" s="490">
        <v>0.78</v>
      </c>
      <c r="L278" s="490">
        <v>0.71</v>
      </c>
      <c r="M278" s="490">
        <v>0.61</v>
      </c>
      <c r="O278" s="489">
        <v>300</v>
      </c>
      <c r="P278" s="490">
        <v>1</v>
      </c>
      <c r="Q278" s="490">
        <v>1.01</v>
      </c>
      <c r="R278" s="491">
        <v>1.01</v>
      </c>
      <c r="S278" s="490">
        <v>0.98</v>
      </c>
      <c r="T278" s="490">
        <v>0.95</v>
      </c>
      <c r="V278" s="489">
        <v>300</v>
      </c>
      <c r="W278" s="490">
        <v>1</v>
      </c>
      <c r="X278" s="490">
        <v>1.03</v>
      </c>
      <c r="Y278" s="491">
        <v>1.03</v>
      </c>
      <c r="Z278" s="490">
        <v>1.02</v>
      </c>
      <c r="AA278" s="490">
        <v>1</v>
      </c>
      <c r="AC278" s="489">
        <v>300</v>
      </c>
      <c r="AD278" s="490">
        <v>1</v>
      </c>
      <c r="AE278" s="490">
        <v>1.05</v>
      </c>
      <c r="AF278" s="491">
        <v>1.0900000000000001</v>
      </c>
      <c r="AG278" s="490">
        <v>1.1000000000000001</v>
      </c>
      <c r="AH278" s="490">
        <v>1.1000000000000001</v>
      </c>
      <c r="AJ278" s="489">
        <v>300</v>
      </c>
      <c r="AK278" s="490">
        <v>1</v>
      </c>
      <c r="AL278" s="490">
        <v>1.08</v>
      </c>
      <c r="AM278" s="491">
        <v>1.1399999999999999</v>
      </c>
      <c r="AN278" s="490">
        <v>1.19</v>
      </c>
      <c r="AO278" s="490">
        <v>1.21</v>
      </c>
      <c r="AQ278" s="489">
        <v>300</v>
      </c>
      <c r="AR278" s="490">
        <v>1</v>
      </c>
      <c r="AS278" s="490">
        <v>1.1100000000000001</v>
      </c>
      <c r="AT278" s="491">
        <v>1.2</v>
      </c>
      <c r="AU278" s="490">
        <v>1.27</v>
      </c>
      <c r="AV278" s="490">
        <v>1.3</v>
      </c>
      <c r="AX278" s="489">
        <v>300</v>
      </c>
      <c r="AY278" s="490">
        <v>1</v>
      </c>
      <c r="AZ278" s="490">
        <v>1.1299999999999999</v>
      </c>
      <c r="BA278" s="491">
        <v>1.23</v>
      </c>
      <c r="BB278" s="490">
        <v>1.31</v>
      </c>
      <c r="BC278" s="490">
        <v>1.36</v>
      </c>
      <c r="BE278" s="489">
        <v>300</v>
      </c>
      <c r="BF278" s="490">
        <v>1</v>
      </c>
      <c r="BG278" s="490">
        <v>1.1200000000000001</v>
      </c>
      <c r="BH278" s="491">
        <v>1.22</v>
      </c>
      <c r="BI278" s="490">
        <v>1.3</v>
      </c>
      <c r="BJ278" s="490">
        <v>1.34</v>
      </c>
      <c r="BL278" s="489">
        <v>300</v>
      </c>
      <c r="BM278" s="490">
        <v>1</v>
      </c>
      <c r="BN278" s="490">
        <v>1.1000000000000001</v>
      </c>
      <c r="BO278" s="491">
        <v>1.17</v>
      </c>
      <c r="BP278" s="490">
        <v>1.23</v>
      </c>
      <c r="BQ278" s="490">
        <v>1.25</v>
      </c>
      <c r="BS278" s="489">
        <v>300</v>
      </c>
      <c r="BT278" s="490">
        <v>1</v>
      </c>
      <c r="BU278" s="490">
        <v>1.06</v>
      </c>
      <c r="BV278" s="491">
        <v>1.1100000000000001</v>
      </c>
      <c r="BW278" s="490">
        <v>1.1299999999999999</v>
      </c>
      <c r="BX278" s="490">
        <v>1.1399999999999999</v>
      </c>
      <c r="BZ278" s="489">
        <v>300</v>
      </c>
      <c r="CA278" s="490">
        <v>1</v>
      </c>
      <c r="CB278" s="490">
        <v>1.04</v>
      </c>
      <c r="CC278" s="491">
        <v>1.05</v>
      </c>
      <c r="CD278" s="490">
        <v>1.06</v>
      </c>
      <c r="CE278" s="490">
        <v>1.04</v>
      </c>
      <c r="CG278" s="489">
        <v>300</v>
      </c>
      <c r="CH278" s="490">
        <v>1</v>
      </c>
      <c r="CI278" s="490">
        <v>1.02</v>
      </c>
      <c r="CJ278" s="491">
        <v>1.02</v>
      </c>
      <c r="CK278" s="490">
        <v>1</v>
      </c>
      <c r="CL278" s="490">
        <v>0.97</v>
      </c>
      <c r="CN278" s="489">
        <v>300</v>
      </c>
      <c r="CO278" s="490">
        <v>1</v>
      </c>
      <c r="CP278" s="490">
        <v>1.01</v>
      </c>
      <c r="CQ278" s="491">
        <v>1</v>
      </c>
      <c r="CR278" s="490">
        <v>0.98</v>
      </c>
      <c r="CS278" s="490">
        <v>0.93</v>
      </c>
    </row>
    <row r="279" spans="3:97" ht="15.75" thickBot="1" x14ac:dyDescent="0.3">
      <c r="C279" s="489">
        <v>50</v>
      </c>
      <c r="D279" s="490">
        <v>0.87</v>
      </c>
      <c r="E279" s="490">
        <v>0.91</v>
      </c>
      <c r="F279" s="490">
        <v>0.93</v>
      </c>
      <c r="G279" s="490">
        <v>0.93</v>
      </c>
      <c r="H279" s="490">
        <v>0.91</v>
      </c>
      <c r="I279" s="490">
        <v>0.88</v>
      </c>
      <c r="J279" s="490">
        <v>0.83</v>
      </c>
      <c r="K279" s="490">
        <v>0.76</v>
      </c>
      <c r="L279" s="490">
        <v>0.69</v>
      </c>
      <c r="M279" s="490">
        <v>0.6</v>
      </c>
      <c r="O279" s="489">
        <v>310</v>
      </c>
      <c r="P279" s="490">
        <v>1</v>
      </c>
      <c r="Q279" s="490">
        <v>1.01</v>
      </c>
      <c r="R279" s="491">
        <v>1.01</v>
      </c>
      <c r="S279" s="490">
        <v>0.98</v>
      </c>
      <c r="T279" s="490">
        <v>0.94</v>
      </c>
      <c r="V279" s="489">
        <v>310</v>
      </c>
      <c r="W279" s="490">
        <v>1</v>
      </c>
      <c r="X279" s="490">
        <v>1.03</v>
      </c>
      <c r="Y279" s="491">
        <v>1.04</v>
      </c>
      <c r="Z279" s="490">
        <v>1.03</v>
      </c>
      <c r="AA279" s="490">
        <v>1.01</v>
      </c>
      <c r="AC279" s="489">
        <v>310</v>
      </c>
      <c r="AD279" s="490">
        <v>1</v>
      </c>
      <c r="AE279" s="490">
        <v>1.07</v>
      </c>
      <c r="AF279" s="491">
        <v>1.1100000000000001</v>
      </c>
      <c r="AG279" s="490">
        <v>1.1299999999999999</v>
      </c>
      <c r="AH279" s="490">
        <v>1.1299999999999999</v>
      </c>
      <c r="AJ279" s="489">
        <v>310</v>
      </c>
      <c r="AK279" s="490">
        <v>1</v>
      </c>
      <c r="AL279" s="490">
        <v>1.1000000000000001</v>
      </c>
      <c r="AM279" s="491">
        <v>1.18</v>
      </c>
      <c r="AN279" s="490">
        <v>1.24</v>
      </c>
      <c r="AO279" s="490">
        <v>1.27</v>
      </c>
      <c r="AQ279" s="489">
        <v>310</v>
      </c>
      <c r="AR279" s="490">
        <v>1</v>
      </c>
      <c r="AS279" s="490">
        <v>1.1299999999999999</v>
      </c>
      <c r="AT279" s="491">
        <v>1.25</v>
      </c>
      <c r="AU279" s="490">
        <v>1.33</v>
      </c>
      <c r="AV279" s="490">
        <v>1.39</v>
      </c>
      <c r="AX279" s="489">
        <v>310</v>
      </c>
      <c r="AY279" s="490">
        <v>1</v>
      </c>
      <c r="AZ279" s="490">
        <v>1.1599999999999999</v>
      </c>
      <c r="BA279" s="491">
        <v>1.29</v>
      </c>
      <c r="BB279" s="490">
        <v>1.39</v>
      </c>
      <c r="BC279" s="490">
        <v>1.47</v>
      </c>
      <c r="BE279" s="489">
        <v>310</v>
      </c>
      <c r="BF279" s="490">
        <v>1</v>
      </c>
      <c r="BG279" s="490">
        <v>1.1499999999999999</v>
      </c>
      <c r="BH279" s="491">
        <v>1.28</v>
      </c>
      <c r="BI279" s="490">
        <v>1.37</v>
      </c>
      <c r="BJ279" s="490">
        <v>1.44</v>
      </c>
      <c r="BL279" s="489">
        <v>310</v>
      </c>
      <c r="BM279" s="490">
        <v>1</v>
      </c>
      <c r="BN279" s="490">
        <v>1.1200000000000001</v>
      </c>
      <c r="BO279" s="491">
        <v>1.21</v>
      </c>
      <c r="BP279" s="490">
        <v>1.28</v>
      </c>
      <c r="BQ279" s="490">
        <v>1.32</v>
      </c>
      <c r="BS279" s="489">
        <v>310</v>
      </c>
      <c r="BT279" s="490">
        <v>1</v>
      </c>
      <c r="BU279" s="490">
        <v>1.08</v>
      </c>
      <c r="BV279" s="491">
        <v>1.1299999999999999</v>
      </c>
      <c r="BW279" s="490">
        <v>1.17</v>
      </c>
      <c r="BX279" s="490">
        <v>1.17</v>
      </c>
      <c r="BZ279" s="489">
        <v>310</v>
      </c>
      <c r="CA279" s="490">
        <v>1</v>
      </c>
      <c r="CB279" s="490">
        <v>1.04</v>
      </c>
      <c r="CC279" s="491">
        <v>1.07</v>
      </c>
      <c r="CD279" s="490">
        <v>1.07</v>
      </c>
      <c r="CE279" s="490">
        <v>1.05</v>
      </c>
      <c r="CG279" s="489">
        <v>310</v>
      </c>
      <c r="CH279" s="490">
        <v>1</v>
      </c>
      <c r="CI279" s="490">
        <v>1.02</v>
      </c>
      <c r="CJ279" s="491">
        <v>1.02</v>
      </c>
      <c r="CK279" s="490">
        <v>1</v>
      </c>
      <c r="CL279" s="490">
        <v>0.97</v>
      </c>
      <c r="CN279" s="489">
        <v>310</v>
      </c>
      <c r="CO279" s="490">
        <v>1</v>
      </c>
      <c r="CP279" s="490">
        <v>1.01</v>
      </c>
      <c r="CQ279" s="491">
        <v>1</v>
      </c>
      <c r="CR279" s="490">
        <v>0.97</v>
      </c>
      <c r="CS279" s="490">
        <v>0.93</v>
      </c>
    </row>
    <row r="280" spans="3:97" ht="15.75" thickBot="1" x14ac:dyDescent="0.3">
      <c r="C280" s="489">
        <v>60</v>
      </c>
      <c r="D280" s="490">
        <v>0.87</v>
      </c>
      <c r="E280" s="490">
        <v>0.91</v>
      </c>
      <c r="F280" s="490">
        <v>0.92</v>
      </c>
      <c r="G280" s="490">
        <v>0.91</v>
      </c>
      <c r="H280" s="490">
        <v>0.89</v>
      </c>
      <c r="I280" s="490">
        <v>0.85</v>
      </c>
      <c r="J280" s="490">
        <v>0.79</v>
      </c>
      <c r="K280" s="490">
        <v>0.74</v>
      </c>
      <c r="L280" s="490">
        <v>0.66</v>
      </c>
      <c r="M280" s="490">
        <v>0.57999999999999996</v>
      </c>
      <c r="O280" s="489">
        <v>320</v>
      </c>
      <c r="P280" s="490">
        <v>1</v>
      </c>
      <c r="Q280" s="490">
        <v>1.01</v>
      </c>
      <c r="R280" s="491">
        <v>1.01</v>
      </c>
      <c r="S280" s="490">
        <v>0.98</v>
      </c>
      <c r="T280" s="490">
        <v>0.93</v>
      </c>
      <c r="V280" s="489">
        <v>320</v>
      </c>
      <c r="W280" s="490">
        <v>1</v>
      </c>
      <c r="X280" s="490">
        <v>1.04</v>
      </c>
      <c r="Y280" s="491">
        <v>1.05</v>
      </c>
      <c r="Z280" s="490">
        <v>1.05</v>
      </c>
      <c r="AA280" s="490">
        <v>1.02</v>
      </c>
      <c r="AC280" s="489">
        <v>320</v>
      </c>
      <c r="AD280" s="490">
        <v>1</v>
      </c>
      <c r="AE280" s="490">
        <v>1.08</v>
      </c>
      <c r="AF280" s="491">
        <v>1.1299999999999999</v>
      </c>
      <c r="AG280" s="490">
        <v>1.1599999999999999</v>
      </c>
      <c r="AH280" s="490">
        <v>1.1599999999999999</v>
      </c>
      <c r="AJ280" s="489">
        <v>320</v>
      </c>
      <c r="AK280" s="490">
        <v>1</v>
      </c>
      <c r="AL280" s="490">
        <v>1.1200000000000001</v>
      </c>
      <c r="AM280" s="491">
        <v>1.22</v>
      </c>
      <c r="AN280" s="490">
        <v>1.28</v>
      </c>
      <c r="AO280" s="490">
        <v>1.31</v>
      </c>
      <c r="AQ280" s="489">
        <v>320</v>
      </c>
      <c r="AR280" s="490">
        <v>1</v>
      </c>
      <c r="AS280" s="490">
        <v>1.1599999999999999</v>
      </c>
      <c r="AT280" s="491">
        <v>1.29</v>
      </c>
      <c r="AU280" s="490">
        <v>1.4</v>
      </c>
      <c r="AV280" s="490">
        <v>1.46</v>
      </c>
      <c r="AX280" s="489">
        <v>320</v>
      </c>
      <c r="AY280" s="490">
        <v>1</v>
      </c>
      <c r="AZ280" s="490">
        <v>1.18</v>
      </c>
      <c r="BA280" s="491">
        <v>1.34</v>
      </c>
      <c r="BB280" s="490">
        <v>1.47</v>
      </c>
      <c r="BC280" s="490">
        <v>1.56</v>
      </c>
      <c r="BE280" s="489">
        <v>320</v>
      </c>
      <c r="BF280" s="490">
        <v>1</v>
      </c>
      <c r="BG280" s="490">
        <v>1.18</v>
      </c>
      <c r="BH280" s="491">
        <v>1.33</v>
      </c>
      <c r="BI280" s="490">
        <v>1.44</v>
      </c>
      <c r="BJ280" s="490">
        <v>1.52</v>
      </c>
      <c r="BL280" s="489">
        <v>320</v>
      </c>
      <c r="BM280" s="490">
        <v>1</v>
      </c>
      <c r="BN280" s="490">
        <v>1.1399999999999999</v>
      </c>
      <c r="BO280" s="491">
        <v>1.25</v>
      </c>
      <c r="BP280" s="490">
        <v>1.33</v>
      </c>
      <c r="BQ280" s="490">
        <v>1.38</v>
      </c>
      <c r="BS280" s="489">
        <v>320</v>
      </c>
      <c r="BT280" s="490">
        <v>1</v>
      </c>
      <c r="BU280" s="490">
        <v>1.0900000000000001</v>
      </c>
      <c r="BV280" s="491">
        <v>1.1599999999999999</v>
      </c>
      <c r="BW280" s="490">
        <v>1.2</v>
      </c>
      <c r="BX280" s="490">
        <v>1.21</v>
      </c>
      <c r="BZ280" s="489">
        <v>320</v>
      </c>
      <c r="CA280" s="490">
        <v>1</v>
      </c>
      <c r="CB280" s="490">
        <v>1.05</v>
      </c>
      <c r="CC280" s="491">
        <v>1.08</v>
      </c>
      <c r="CD280" s="490">
        <v>1.08</v>
      </c>
      <c r="CE280" s="490">
        <v>1.07</v>
      </c>
      <c r="CG280" s="489">
        <v>320</v>
      </c>
      <c r="CH280" s="490">
        <v>1</v>
      </c>
      <c r="CI280" s="490">
        <v>1.02</v>
      </c>
      <c r="CJ280" s="491">
        <v>1.02</v>
      </c>
      <c r="CK280" s="490">
        <v>1</v>
      </c>
      <c r="CL280" s="490">
        <v>0.97</v>
      </c>
      <c r="CN280" s="489">
        <v>320</v>
      </c>
      <c r="CO280" s="490">
        <v>1</v>
      </c>
      <c r="CP280" s="490">
        <v>1.01</v>
      </c>
      <c r="CQ280" s="491">
        <v>1</v>
      </c>
      <c r="CR280" s="490">
        <v>0.96</v>
      </c>
      <c r="CS280" s="490">
        <v>0.92</v>
      </c>
    </row>
    <row r="281" spans="3:97" ht="15.75" thickBot="1" x14ac:dyDescent="0.3">
      <c r="C281" s="489">
        <v>70</v>
      </c>
      <c r="D281" s="490">
        <v>0.87</v>
      </c>
      <c r="E281" s="490">
        <v>0.89</v>
      </c>
      <c r="F281" s="490">
        <v>0.9</v>
      </c>
      <c r="G281" s="490">
        <v>0.88</v>
      </c>
      <c r="H281" s="490">
        <v>0.85</v>
      </c>
      <c r="I281" s="490">
        <v>0.81</v>
      </c>
      <c r="J281" s="490">
        <v>0.76</v>
      </c>
      <c r="K281" s="490">
        <v>0.7</v>
      </c>
      <c r="L281" s="490">
        <v>0.63</v>
      </c>
      <c r="M281" s="490">
        <v>0.56000000000000005</v>
      </c>
      <c r="O281" s="489">
        <v>330</v>
      </c>
      <c r="P281" s="490">
        <v>1</v>
      </c>
      <c r="Q281" s="490">
        <v>1.01</v>
      </c>
      <c r="R281" s="491">
        <v>1.01</v>
      </c>
      <c r="S281" s="490">
        <v>0.98</v>
      </c>
      <c r="T281" s="490">
        <v>0.93</v>
      </c>
      <c r="V281" s="489">
        <v>330</v>
      </c>
      <c r="W281" s="490">
        <v>1</v>
      </c>
      <c r="X281" s="490">
        <v>1.04</v>
      </c>
      <c r="Y281" s="491">
        <v>1.06</v>
      </c>
      <c r="Z281" s="490">
        <v>1.05</v>
      </c>
      <c r="AA281" s="490">
        <v>1.02</v>
      </c>
      <c r="AC281" s="489">
        <v>330</v>
      </c>
      <c r="AD281" s="490">
        <v>1</v>
      </c>
      <c r="AE281" s="490">
        <v>1.0900000000000001</v>
      </c>
      <c r="AF281" s="491">
        <v>1.1399999999999999</v>
      </c>
      <c r="AG281" s="490">
        <v>1.18</v>
      </c>
      <c r="AH281" s="490">
        <v>1.18</v>
      </c>
      <c r="AJ281" s="489">
        <v>330</v>
      </c>
      <c r="AK281" s="490">
        <v>1</v>
      </c>
      <c r="AL281" s="490">
        <v>1.1299999999999999</v>
      </c>
      <c r="AM281" s="491">
        <v>1.24</v>
      </c>
      <c r="AN281" s="490">
        <v>1.31</v>
      </c>
      <c r="AO281" s="490">
        <v>1.36</v>
      </c>
      <c r="AQ281" s="489">
        <v>330</v>
      </c>
      <c r="AR281" s="490">
        <v>1</v>
      </c>
      <c r="AS281" s="490">
        <v>1.18</v>
      </c>
      <c r="AT281" s="491">
        <v>1.33</v>
      </c>
      <c r="AU281" s="490">
        <v>1.45</v>
      </c>
      <c r="AV281" s="490">
        <v>1.54</v>
      </c>
      <c r="AX281" s="489">
        <v>330</v>
      </c>
      <c r="AY281" s="490">
        <v>1</v>
      </c>
      <c r="AZ281" s="490">
        <v>1.21</v>
      </c>
      <c r="BA281" s="491">
        <v>1.39</v>
      </c>
      <c r="BB281" s="490">
        <v>1.54</v>
      </c>
      <c r="BC281" s="490">
        <v>1.65</v>
      </c>
      <c r="BE281" s="489">
        <v>330</v>
      </c>
      <c r="BF281" s="490">
        <v>1</v>
      </c>
      <c r="BG281" s="490">
        <v>1.2</v>
      </c>
      <c r="BH281" s="491">
        <v>1.37</v>
      </c>
      <c r="BI281" s="490">
        <v>1.5</v>
      </c>
      <c r="BJ281" s="490">
        <v>1.6</v>
      </c>
      <c r="BL281" s="489">
        <v>330</v>
      </c>
      <c r="BM281" s="490">
        <v>1</v>
      </c>
      <c r="BN281" s="490">
        <v>1.1499999999999999</v>
      </c>
      <c r="BO281" s="491">
        <v>1.28</v>
      </c>
      <c r="BP281" s="490">
        <v>1.38</v>
      </c>
      <c r="BQ281" s="490">
        <v>1.44</v>
      </c>
      <c r="BS281" s="489">
        <v>330</v>
      </c>
      <c r="BT281" s="490">
        <v>1</v>
      </c>
      <c r="BU281" s="490">
        <v>1.1000000000000001</v>
      </c>
      <c r="BV281" s="491">
        <v>1.17</v>
      </c>
      <c r="BW281" s="490">
        <v>1.21</v>
      </c>
      <c r="BX281" s="490">
        <v>1.23</v>
      </c>
      <c r="BZ281" s="489">
        <v>330</v>
      </c>
      <c r="CA281" s="490">
        <v>1</v>
      </c>
      <c r="CB281" s="490">
        <v>1.06</v>
      </c>
      <c r="CC281" s="491">
        <v>1.0900000000000001</v>
      </c>
      <c r="CD281" s="490">
        <v>1.0900000000000001</v>
      </c>
      <c r="CE281" s="490">
        <v>1.07</v>
      </c>
      <c r="CG281" s="489">
        <v>330</v>
      </c>
      <c r="CH281" s="490">
        <v>1</v>
      </c>
      <c r="CI281" s="490">
        <v>1.02</v>
      </c>
      <c r="CJ281" s="491">
        <v>1.02</v>
      </c>
      <c r="CK281" s="490">
        <v>1</v>
      </c>
      <c r="CL281" s="490">
        <v>0.96</v>
      </c>
      <c r="CN281" s="489">
        <v>330</v>
      </c>
      <c r="CO281" s="490">
        <v>1</v>
      </c>
      <c r="CP281" s="490">
        <v>1.01</v>
      </c>
      <c r="CQ281" s="491">
        <v>0.99</v>
      </c>
      <c r="CR281" s="490">
        <v>0.96</v>
      </c>
      <c r="CS281" s="490">
        <v>0.9</v>
      </c>
    </row>
    <row r="282" spans="3:97" ht="15.75" thickBot="1" x14ac:dyDescent="0.3">
      <c r="C282" s="489">
        <v>80</v>
      </c>
      <c r="D282" s="490">
        <v>0.87</v>
      </c>
      <c r="E282" s="490">
        <v>0.88</v>
      </c>
      <c r="F282" s="490">
        <v>0.87</v>
      </c>
      <c r="G282" s="490">
        <v>0.85</v>
      </c>
      <c r="H282" s="490">
        <v>0.82</v>
      </c>
      <c r="I282" s="490">
        <v>0.77</v>
      </c>
      <c r="J282" s="490">
        <v>0.73</v>
      </c>
      <c r="K282" s="490">
        <v>0.67</v>
      </c>
      <c r="L282" s="490">
        <v>0.6</v>
      </c>
      <c r="M282" s="490">
        <v>0.53</v>
      </c>
      <c r="O282" s="489">
        <v>340</v>
      </c>
      <c r="P282" s="490">
        <v>1</v>
      </c>
      <c r="Q282" s="490">
        <v>1.01</v>
      </c>
      <c r="R282" s="491">
        <v>1</v>
      </c>
      <c r="S282" s="490">
        <v>0.97</v>
      </c>
      <c r="T282" s="490">
        <v>0.92</v>
      </c>
      <c r="V282" s="489">
        <v>340</v>
      </c>
      <c r="W282" s="490">
        <v>1</v>
      </c>
      <c r="X282" s="490">
        <v>1.04</v>
      </c>
      <c r="Y282" s="491">
        <v>1.06</v>
      </c>
      <c r="Z282" s="490">
        <v>1.05</v>
      </c>
      <c r="AA282" s="490">
        <v>1.02</v>
      </c>
      <c r="AC282" s="489">
        <v>340</v>
      </c>
      <c r="AD282" s="490">
        <v>1</v>
      </c>
      <c r="AE282" s="490">
        <v>1.0900000000000001</v>
      </c>
      <c r="AF282" s="491">
        <v>1.1499999999999999</v>
      </c>
      <c r="AG282" s="490">
        <v>1.19</v>
      </c>
      <c r="AH282" s="490">
        <v>1.2</v>
      </c>
      <c r="AJ282" s="489">
        <v>340</v>
      </c>
      <c r="AK282" s="490">
        <v>1</v>
      </c>
      <c r="AL282" s="490">
        <v>1.1399999999999999</v>
      </c>
      <c r="AM282" s="491">
        <v>1.25</v>
      </c>
      <c r="AN282" s="490">
        <v>1.34</v>
      </c>
      <c r="AO282" s="490">
        <v>1.39</v>
      </c>
      <c r="AQ282" s="489">
        <v>340</v>
      </c>
      <c r="AR282" s="490">
        <v>1</v>
      </c>
      <c r="AS282" s="490">
        <v>1.2</v>
      </c>
      <c r="AT282" s="491">
        <v>1.36</v>
      </c>
      <c r="AU282" s="490">
        <v>1.49</v>
      </c>
      <c r="AV282" s="490">
        <v>1.59</v>
      </c>
      <c r="AX282" s="489">
        <v>340</v>
      </c>
      <c r="AY282" s="490">
        <v>1</v>
      </c>
      <c r="AZ282" s="490">
        <v>1.22</v>
      </c>
      <c r="BA282" s="491">
        <v>1.43</v>
      </c>
      <c r="BB282" s="490">
        <v>1.59</v>
      </c>
      <c r="BC282" s="490">
        <v>1.71</v>
      </c>
      <c r="BE282" s="489">
        <v>340</v>
      </c>
      <c r="BF282" s="490">
        <v>1</v>
      </c>
      <c r="BG282" s="490">
        <v>1.22</v>
      </c>
      <c r="BH282" s="491">
        <v>1.4</v>
      </c>
      <c r="BI282" s="490">
        <v>1.55</v>
      </c>
      <c r="BJ282" s="490">
        <v>1.65</v>
      </c>
      <c r="BL282" s="489">
        <v>340</v>
      </c>
      <c r="BM282" s="490">
        <v>1</v>
      </c>
      <c r="BN282" s="490">
        <v>1.17</v>
      </c>
      <c r="BO282" s="491">
        <v>1.3</v>
      </c>
      <c r="BP282" s="490">
        <v>1.41</v>
      </c>
      <c r="BQ282" s="490">
        <v>1.47</v>
      </c>
      <c r="BS282" s="489">
        <v>340</v>
      </c>
      <c r="BT282" s="490">
        <v>1</v>
      </c>
      <c r="BU282" s="490">
        <v>1.1000000000000001</v>
      </c>
      <c r="BV282" s="491">
        <v>1.18</v>
      </c>
      <c r="BW282" s="490">
        <v>1.23</v>
      </c>
      <c r="BX282" s="490">
        <v>1.25</v>
      </c>
      <c r="BZ282" s="489">
        <v>340</v>
      </c>
      <c r="CA282" s="490">
        <v>1</v>
      </c>
      <c r="CB282" s="490">
        <v>1.06</v>
      </c>
      <c r="CC282" s="491">
        <v>1.0900000000000001</v>
      </c>
      <c r="CD282" s="490">
        <v>1.1000000000000001</v>
      </c>
      <c r="CE282" s="490">
        <v>1.08</v>
      </c>
      <c r="CG282" s="489">
        <v>340</v>
      </c>
      <c r="CH282" s="490">
        <v>1</v>
      </c>
      <c r="CI282" s="490">
        <v>1.02</v>
      </c>
      <c r="CJ282" s="491">
        <v>1.02</v>
      </c>
      <c r="CK282" s="490">
        <v>1</v>
      </c>
      <c r="CL282" s="490">
        <v>0.95</v>
      </c>
      <c r="CN282" s="489">
        <v>340</v>
      </c>
      <c r="CO282" s="490">
        <v>1</v>
      </c>
      <c r="CP282" s="490">
        <v>1.01</v>
      </c>
      <c r="CQ282" s="491">
        <v>0.99</v>
      </c>
      <c r="CR282" s="490">
        <v>0.95</v>
      </c>
      <c r="CS282" s="490">
        <v>0.89</v>
      </c>
    </row>
    <row r="283" spans="3:97" ht="15.75" thickBot="1" x14ac:dyDescent="0.3">
      <c r="C283" s="489">
        <v>90</v>
      </c>
      <c r="D283" s="490">
        <v>0.87</v>
      </c>
      <c r="E283" s="490">
        <v>0.87</v>
      </c>
      <c r="F283" s="490">
        <v>0.85</v>
      </c>
      <c r="G283" s="490">
        <v>0.82</v>
      </c>
      <c r="H283" s="490">
        <v>0.78</v>
      </c>
      <c r="I283" s="490">
        <v>0.74</v>
      </c>
      <c r="J283" s="490">
        <v>0.69</v>
      </c>
      <c r="K283" s="490">
        <v>0.63</v>
      </c>
      <c r="L283" s="490">
        <v>0.56999999999999995</v>
      </c>
      <c r="M283" s="490">
        <v>0.5</v>
      </c>
      <c r="O283" s="489">
        <v>350</v>
      </c>
      <c r="P283" s="490">
        <v>1</v>
      </c>
      <c r="Q283" s="490">
        <v>1.01</v>
      </c>
      <c r="R283" s="491">
        <v>1</v>
      </c>
      <c r="S283" s="490">
        <v>0.97</v>
      </c>
      <c r="T283" s="490">
        <v>0.91</v>
      </c>
      <c r="V283" s="489">
        <v>350</v>
      </c>
      <c r="W283" s="490">
        <v>1</v>
      </c>
      <c r="X283" s="490">
        <v>1.04</v>
      </c>
      <c r="Y283" s="491">
        <v>1.06</v>
      </c>
      <c r="Z283" s="490">
        <v>1.05</v>
      </c>
      <c r="AA283" s="490">
        <v>1.02</v>
      </c>
      <c r="AC283" s="489">
        <v>350</v>
      </c>
      <c r="AD283" s="490">
        <v>1</v>
      </c>
      <c r="AE283" s="490">
        <v>1.0900000000000001</v>
      </c>
      <c r="AF283" s="491">
        <v>1.1599999999999999</v>
      </c>
      <c r="AG283" s="490">
        <v>1.2</v>
      </c>
      <c r="AH283" s="490">
        <v>1.2</v>
      </c>
      <c r="AJ283" s="489">
        <v>350</v>
      </c>
      <c r="AK283" s="490">
        <v>1</v>
      </c>
      <c r="AL283" s="490">
        <v>1.1399999999999999</v>
      </c>
      <c r="AM283" s="491">
        <v>1.27</v>
      </c>
      <c r="AN283" s="490">
        <v>1.36</v>
      </c>
      <c r="AO283" s="490">
        <v>1.41</v>
      </c>
      <c r="AQ283" s="489">
        <v>350</v>
      </c>
      <c r="AR283" s="490">
        <v>1</v>
      </c>
      <c r="AS283" s="490">
        <v>1.2</v>
      </c>
      <c r="AT283" s="491">
        <v>1.38</v>
      </c>
      <c r="AU283" s="490">
        <v>1.52</v>
      </c>
      <c r="AV283" s="490">
        <v>1.62</v>
      </c>
      <c r="AX283" s="489">
        <v>350</v>
      </c>
      <c r="AY283" s="490">
        <v>1</v>
      </c>
      <c r="AZ283" s="490">
        <v>1.23</v>
      </c>
      <c r="BA283" s="491">
        <v>1.45</v>
      </c>
      <c r="BB283" s="490">
        <v>1.62</v>
      </c>
      <c r="BC283" s="490">
        <v>1.74</v>
      </c>
      <c r="BE283" s="489">
        <v>350</v>
      </c>
      <c r="BF283" s="490">
        <v>1</v>
      </c>
      <c r="BG283" s="490">
        <v>1.22</v>
      </c>
      <c r="BH283" s="491">
        <v>1.42</v>
      </c>
      <c r="BI283" s="490">
        <v>1.57</v>
      </c>
      <c r="BJ283" s="490">
        <v>1.69</v>
      </c>
      <c r="BL283" s="489">
        <v>350</v>
      </c>
      <c r="BM283" s="490">
        <v>1</v>
      </c>
      <c r="BN283" s="490">
        <v>1.17</v>
      </c>
      <c r="BO283" s="491">
        <v>1.32</v>
      </c>
      <c r="BP283" s="490">
        <v>1.42</v>
      </c>
      <c r="BQ283" s="490">
        <v>1.5</v>
      </c>
      <c r="BS283" s="489">
        <v>350</v>
      </c>
      <c r="BT283" s="490">
        <v>1</v>
      </c>
      <c r="BU283" s="490">
        <v>1.1000000000000001</v>
      </c>
      <c r="BV283" s="491">
        <v>1.18</v>
      </c>
      <c r="BW283" s="490">
        <v>1.24</v>
      </c>
      <c r="BX283" s="490">
        <v>1.26</v>
      </c>
      <c r="BZ283" s="489">
        <v>350</v>
      </c>
      <c r="CA283" s="490">
        <v>1</v>
      </c>
      <c r="CB283" s="490">
        <v>1.06</v>
      </c>
      <c r="CC283" s="491">
        <v>1.0900000000000001</v>
      </c>
      <c r="CD283" s="490">
        <v>1.1000000000000001</v>
      </c>
      <c r="CE283" s="490">
        <v>1.08</v>
      </c>
      <c r="CG283" s="489">
        <v>350</v>
      </c>
      <c r="CH283" s="490">
        <v>1</v>
      </c>
      <c r="CI283" s="490">
        <v>1.02</v>
      </c>
      <c r="CJ283" s="491">
        <v>1.02</v>
      </c>
      <c r="CK283" s="490">
        <v>0.99</v>
      </c>
      <c r="CL283" s="490">
        <v>0.94</v>
      </c>
      <c r="CN283" s="489">
        <v>350</v>
      </c>
      <c r="CO283" s="490">
        <v>1</v>
      </c>
      <c r="CP283" s="490">
        <v>1</v>
      </c>
      <c r="CQ283" s="491">
        <v>0.99</v>
      </c>
      <c r="CR283" s="490">
        <v>0.94</v>
      </c>
      <c r="CS283" s="490">
        <v>0.88</v>
      </c>
    </row>
    <row r="284" spans="3:97" ht="15.75" thickBot="1" x14ac:dyDescent="0.3">
      <c r="C284" s="489">
        <v>100</v>
      </c>
      <c r="D284" s="490">
        <v>0.87</v>
      </c>
      <c r="E284" s="490">
        <v>0.86</v>
      </c>
      <c r="F284" s="490">
        <v>0.83</v>
      </c>
      <c r="G284" s="490">
        <v>0.79</v>
      </c>
      <c r="H284" s="490">
        <v>0.75</v>
      </c>
      <c r="I284" s="490">
        <v>0.7</v>
      </c>
      <c r="J284" s="490">
        <v>0.64</v>
      </c>
      <c r="K284" s="490">
        <v>0.59</v>
      </c>
      <c r="L284" s="490">
        <v>0.53</v>
      </c>
      <c r="M284" s="490">
        <v>0.47</v>
      </c>
      <c r="O284" s="489">
        <v>0</v>
      </c>
      <c r="P284" s="490">
        <v>1</v>
      </c>
      <c r="Q284" s="490">
        <v>1.01</v>
      </c>
      <c r="R284" s="491">
        <v>1</v>
      </c>
      <c r="S284" s="490">
        <v>0.96</v>
      </c>
      <c r="T284" s="490">
        <v>0.9</v>
      </c>
      <c r="V284" s="489">
        <v>0</v>
      </c>
      <c r="W284" s="490">
        <v>1</v>
      </c>
      <c r="X284" s="490">
        <v>1.05</v>
      </c>
      <c r="Y284" s="491">
        <v>1.06</v>
      </c>
      <c r="Z284" s="490">
        <v>1.05</v>
      </c>
      <c r="AA284" s="490">
        <v>1.02</v>
      </c>
      <c r="AC284" s="489">
        <v>0</v>
      </c>
      <c r="AD284" s="490">
        <v>1</v>
      </c>
      <c r="AE284" s="490">
        <v>1.0900000000000001</v>
      </c>
      <c r="AF284" s="491">
        <v>1.1599999999999999</v>
      </c>
      <c r="AG284" s="490">
        <v>1.2</v>
      </c>
      <c r="AH284" s="490">
        <v>1.2</v>
      </c>
      <c r="AJ284" s="489">
        <v>0</v>
      </c>
      <c r="AK284" s="490">
        <v>1</v>
      </c>
      <c r="AL284" s="490">
        <v>1.1499999999999999</v>
      </c>
      <c r="AM284" s="491">
        <v>1.27</v>
      </c>
      <c r="AN284" s="490">
        <v>1.36</v>
      </c>
      <c r="AO284" s="490">
        <v>1.42</v>
      </c>
      <c r="AQ284" s="489">
        <v>0</v>
      </c>
      <c r="AR284" s="490">
        <v>1</v>
      </c>
      <c r="AS284" s="490">
        <v>1.21</v>
      </c>
      <c r="AT284" s="491">
        <v>1.38</v>
      </c>
      <c r="AU284" s="490">
        <v>1.52</v>
      </c>
      <c r="AV284" s="490">
        <v>1.63</v>
      </c>
      <c r="AX284" s="489">
        <v>0</v>
      </c>
      <c r="AY284" s="490">
        <v>1</v>
      </c>
      <c r="AZ284" s="490">
        <v>1.23</v>
      </c>
      <c r="BA284" s="491">
        <v>1.45</v>
      </c>
      <c r="BB284" s="490">
        <v>1.63</v>
      </c>
      <c r="BC284" s="490">
        <v>1.76</v>
      </c>
      <c r="BE284" s="489">
        <v>0</v>
      </c>
      <c r="BF284" s="490">
        <v>1</v>
      </c>
      <c r="BG284" s="490">
        <v>1.23</v>
      </c>
      <c r="BH284" s="491">
        <v>1.42</v>
      </c>
      <c r="BI284" s="490">
        <v>1.58</v>
      </c>
      <c r="BJ284" s="490">
        <v>1.7</v>
      </c>
      <c r="BL284" s="489">
        <v>0</v>
      </c>
      <c r="BM284" s="490">
        <v>1</v>
      </c>
      <c r="BN284" s="490">
        <v>1.17</v>
      </c>
      <c r="BO284" s="491">
        <v>1.32</v>
      </c>
      <c r="BP284" s="490">
        <v>1.43</v>
      </c>
      <c r="BQ284" s="490">
        <v>1.5</v>
      </c>
      <c r="BS284" s="489">
        <v>0</v>
      </c>
      <c r="BT284" s="490">
        <v>1</v>
      </c>
      <c r="BU284" s="490">
        <v>1.1100000000000001</v>
      </c>
      <c r="BV284" s="491">
        <v>1.19</v>
      </c>
      <c r="BW284" s="490">
        <v>1.24</v>
      </c>
      <c r="BX284" s="490">
        <v>1.26</v>
      </c>
      <c r="BZ284" s="489">
        <v>0</v>
      </c>
      <c r="CA284" s="490">
        <v>1</v>
      </c>
      <c r="CB284" s="490">
        <v>1.06</v>
      </c>
      <c r="CC284" s="491">
        <v>1.0900000000000001</v>
      </c>
      <c r="CD284" s="490">
        <v>1.1000000000000001</v>
      </c>
      <c r="CE284" s="490">
        <v>1.07</v>
      </c>
      <c r="CG284" s="489">
        <v>0</v>
      </c>
      <c r="CH284" s="490">
        <v>1</v>
      </c>
      <c r="CI284" s="490">
        <v>1.02</v>
      </c>
      <c r="CJ284" s="491">
        <v>1.01</v>
      </c>
      <c r="CK284" s="490">
        <v>0.99</v>
      </c>
      <c r="CL284" s="490">
        <v>0.94</v>
      </c>
      <c r="CN284" s="489">
        <v>0</v>
      </c>
      <c r="CO284" s="490">
        <v>1</v>
      </c>
      <c r="CP284" s="490">
        <v>1</v>
      </c>
      <c r="CQ284" s="491">
        <v>0.98</v>
      </c>
      <c r="CR284" s="490">
        <v>0.94</v>
      </c>
      <c r="CS284" s="490">
        <v>0.88</v>
      </c>
    </row>
    <row r="285" spans="3:97" ht="15.75" thickBot="1" x14ac:dyDescent="0.3">
      <c r="C285" s="489">
        <v>110</v>
      </c>
      <c r="D285" s="490">
        <v>0.87</v>
      </c>
      <c r="E285" s="490">
        <v>0.85</v>
      </c>
      <c r="F285" s="490">
        <v>0.81</v>
      </c>
      <c r="G285" s="490">
        <v>0.76</v>
      </c>
      <c r="H285" s="490">
        <v>0.71</v>
      </c>
      <c r="I285" s="490">
        <v>0.65</v>
      </c>
      <c r="J285" s="490">
        <v>0.6</v>
      </c>
      <c r="K285" s="490">
        <v>0.54</v>
      </c>
      <c r="L285" s="490">
        <v>0.49</v>
      </c>
      <c r="M285" s="490">
        <v>0.44</v>
      </c>
      <c r="O285" s="489">
        <v>10</v>
      </c>
      <c r="P285" s="490">
        <v>1</v>
      </c>
      <c r="Q285" s="490">
        <v>1.01</v>
      </c>
      <c r="R285" s="491">
        <v>1</v>
      </c>
      <c r="S285" s="490">
        <v>0.96</v>
      </c>
      <c r="T285" s="490">
        <v>0.9</v>
      </c>
      <c r="V285" s="489">
        <v>10</v>
      </c>
      <c r="W285" s="490">
        <v>1</v>
      </c>
      <c r="X285" s="490">
        <v>1.04</v>
      </c>
      <c r="Y285" s="491">
        <v>1.06</v>
      </c>
      <c r="Z285" s="490">
        <v>1.05</v>
      </c>
      <c r="AA285" s="490">
        <v>1.02</v>
      </c>
      <c r="AC285" s="489">
        <v>10</v>
      </c>
      <c r="AD285" s="490">
        <v>1</v>
      </c>
      <c r="AE285" s="490">
        <v>1.0900000000000001</v>
      </c>
      <c r="AF285" s="491">
        <v>1.1599999999999999</v>
      </c>
      <c r="AG285" s="490">
        <v>1.19</v>
      </c>
      <c r="AH285" s="490">
        <v>1.2</v>
      </c>
      <c r="AJ285" s="489">
        <v>10</v>
      </c>
      <c r="AK285" s="490">
        <v>1</v>
      </c>
      <c r="AL285" s="490">
        <v>1.1399999999999999</v>
      </c>
      <c r="AM285" s="491">
        <v>1.26</v>
      </c>
      <c r="AN285" s="490">
        <v>1.35</v>
      </c>
      <c r="AO285" s="490">
        <v>1.41</v>
      </c>
      <c r="AQ285" s="489">
        <v>10</v>
      </c>
      <c r="AR285" s="490">
        <v>1</v>
      </c>
      <c r="AS285" s="490">
        <v>1.2</v>
      </c>
      <c r="AT285" s="491">
        <v>1.38</v>
      </c>
      <c r="AU285" s="490">
        <v>1.51</v>
      </c>
      <c r="AV285" s="490">
        <v>1.61</v>
      </c>
      <c r="AX285" s="489">
        <v>10</v>
      </c>
      <c r="AY285" s="490">
        <v>1</v>
      </c>
      <c r="AZ285" s="490">
        <v>1.23</v>
      </c>
      <c r="BA285" s="491">
        <v>1.45</v>
      </c>
      <c r="BB285" s="490">
        <v>1.62</v>
      </c>
      <c r="BC285" s="490">
        <v>1.74</v>
      </c>
      <c r="BE285" s="489">
        <v>10</v>
      </c>
      <c r="BF285" s="490">
        <v>1</v>
      </c>
      <c r="BG285" s="490">
        <v>1.22</v>
      </c>
      <c r="BH285" s="491">
        <v>1.41</v>
      </c>
      <c r="BI285" s="490">
        <v>1.57</v>
      </c>
      <c r="BJ285" s="490">
        <v>1.68</v>
      </c>
      <c r="BL285" s="489">
        <v>10</v>
      </c>
      <c r="BM285" s="490">
        <v>1</v>
      </c>
      <c r="BN285" s="490">
        <v>1.17</v>
      </c>
      <c r="BO285" s="491">
        <v>1.31</v>
      </c>
      <c r="BP285" s="490">
        <v>1.41</v>
      </c>
      <c r="BQ285" s="490">
        <v>1.49</v>
      </c>
      <c r="BS285" s="489">
        <v>10</v>
      </c>
      <c r="BT285" s="490">
        <v>1</v>
      </c>
      <c r="BU285" s="490">
        <v>1.1000000000000001</v>
      </c>
      <c r="BV285" s="491">
        <v>1.18</v>
      </c>
      <c r="BW285" s="490">
        <v>1.23</v>
      </c>
      <c r="BX285" s="490">
        <v>1.25</v>
      </c>
      <c r="BZ285" s="489">
        <v>10</v>
      </c>
      <c r="CA285" s="490">
        <v>1</v>
      </c>
      <c r="CB285" s="490">
        <v>1.06</v>
      </c>
      <c r="CC285" s="491">
        <v>1.0900000000000001</v>
      </c>
      <c r="CD285" s="490">
        <v>1.1000000000000001</v>
      </c>
      <c r="CE285" s="490">
        <v>1.07</v>
      </c>
      <c r="CG285" s="489">
        <v>10</v>
      </c>
      <c r="CH285" s="490">
        <v>1</v>
      </c>
      <c r="CI285" s="490">
        <v>1.02</v>
      </c>
      <c r="CJ285" s="491">
        <v>1.01</v>
      </c>
      <c r="CK285" s="490">
        <v>0.99</v>
      </c>
      <c r="CL285" s="490">
        <v>0.94</v>
      </c>
      <c r="CN285" s="489">
        <v>10</v>
      </c>
      <c r="CO285" s="490">
        <v>1</v>
      </c>
      <c r="CP285" s="490">
        <v>1</v>
      </c>
      <c r="CQ285" s="491">
        <v>0.98</v>
      </c>
      <c r="CR285" s="490">
        <v>0.94</v>
      </c>
      <c r="CS285" s="490">
        <v>0.88</v>
      </c>
    </row>
    <row r="286" spans="3:97" ht="15.75" thickBot="1" x14ac:dyDescent="0.3">
      <c r="C286" s="489">
        <v>120</v>
      </c>
      <c r="D286" s="490">
        <v>0.87</v>
      </c>
      <c r="E286" s="490">
        <v>0.84</v>
      </c>
      <c r="F286" s="490">
        <v>0.79</v>
      </c>
      <c r="G286" s="490">
        <v>0.74</v>
      </c>
      <c r="H286" s="490">
        <v>0.67</v>
      </c>
      <c r="I286" s="490">
        <v>0.61</v>
      </c>
      <c r="J286" s="490">
        <v>0.55000000000000004</v>
      </c>
      <c r="K286" s="490">
        <v>0.5</v>
      </c>
      <c r="L286" s="490">
        <v>0.45</v>
      </c>
      <c r="M286" s="490">
        <v>0.4</v>
      </c>
      <c r="O286" s="489">
        <v>20</v>
      </c>
      <c r="P286" s="490">
        <v>1</v>
      </c>
      <c r="Q286" s="490">
        <v>1.01</v>
      </c>
      <c r="R286" s="491">
        <v>1</v>
      </c>
      <c r="S286" s="490">
        <v>0.96</v>
      </c>
      <c r="T286" s="490">
        <v>0.9</v>
      </c>
      <c r="V286" s="489">
        <v>20</v>
      </c>
      <c r="W286" s="490">
        <v>1</v>
      </c>
      <c r="X286" s="490">
        <v>1.04</v>
      </c>
      <c r="Y286" s="491">
        <v>1.06</v>
      </c>
      <c r="Z286" s="490">
        <v>1.05</v>
      </c>
      <c r="AA286" s="490">
        <v>1.02</v>
      </c>
      <c r="AC286" s="489">
        <v>20</v>
      </c>
      <c r="AD286" s="490">
        <v>1</v>
      </c>
      <c r="AE286" s="490">
        <v>1.0900000000000001</v>
      </c>
      <c r="AF286" s="491">
        <v>1.1499999999999999</v>
      </c>
      <c r="AG286" s="490">
        <v>1.18</v>
      </c>
      <c r="AH286" s="490">
        <v>1.19</v>
      </c>
      <c r="AJ286" s="489">
        <v>20</v>
      </c>
      <c r="AK286" s="490">
        <v>1</v>
      </c>
      <c r="AL286" s="490">
        <v>1.1399999999999999</v>
      </c>
      <c r="AM286" s="491">
        <v>1.25</v>
      </c>
      <c r="AN286" s="490">
        <v>1.33</v>
      </c>
      <c r="AO286" s="490">
        <v>1.38</v>
      </c>
      <c r="AQ286" s="489">
        <v>20</v>
      </c>
      <c r="AR286" s="490">
        <v>1</v>
      </c>
      <c r="AS286" s="490">
        <v>1.19</v>
      </c>
      <c r="AT286" s="491">
        <v>1.36</v>
      </c>
      <c r="AU286" s="490">
        <v>1.48</v>
      </c>
      <c r="AV286" s="490">
        <v>1.58</v>
      </c>
      <c r="AX286" s="489">
        <v>20</v>
      </c>
      <c r="AY286" s="490">
        <v>1</v>
      </c>
      <c r="AZ286" s="490">
        <v>1.22</v>
      </c>
      <c r="BA286" s="491">
        <v>1.43</v>
      </c>
      <c r="BB286" s="490">
        <v>1.59</v>
      </c>
      <c r="BC286" s="490">
        <v>1.7</v>
      </c>
      <c r="BE286" s="489">
        <v>20</v>
      </c>
      <c r="BF286" s="490">
        <v>1</v>
      </c>
      <c r="BG286" s="490">
        <v>1.21</v>
      </c>
      <c r="BH286" s="491">
        <v>1.39</v>
      </c>
      <c r="BI286" s="490">
        <v>1.54</v>
      </c>
      <c r="BJ286" s="490">
        <v>1.65</v>
      </c>
      <c r="BL286" s="489">
        <v>20</v>
      </c>
      <c r="BM286" s="490">
        <v>1</v>
      </c>
      <c r="BN286" s="490">
        <v>1.1599999999999999</v>
      </c>
      <c r="BO286" s="491">
        <v>1.29</v>
      </c>
      <c r="BP286" s="490">
        <v>1.39</v>
      </c>
      <c r="BQ286" s="490">
        <v>1.46</v>
      </c>
      <c r="BS286" s="489">
        <v>20</v>
      </c>
      <c r="BT286" s="490">
        <v>1</v>
      </c>
      <c r="BU286" s="490">
        <v>1.1000000000000001</v>
      </c>
      <c r="BV286" s="491">
        <v>1.17</v>
      </c>
      <c r="BW286" s="490">
        <v>1.21</v>
      </c>
      <c r="BX286" s="490">
        <v>1.23</v>
      </c>
      <c r="BZ286" s="489">
        <v>20</v>
      </c>
      <c r="CA286" s="490">
        <v>1</v>
      </c>
      <c r="CB286" s="490">
        <v>1.05</v>
      </c>
      <c r="CC286" s="491">
        <v>1.08</v>
      </c>
      <c r="CD286" s="490">
        <v>1.0900000000000001</v>
      </c>
      <c r="CE286" s="490">
        <v>1.07</v>
      </c>
      <c r="CG286" s="489">
        <v>20</v>
      </c>
      <c r="CH286" s="490">
        <v>1</v>
      </c>
      <c r="CI286" s="490">
        <v>1.01</v>
      </c>
      <c r="CJ286" s="491">
        <v>1.01</v>
      </c>
      <c r="CK286" s="490">
        <v>0.99</v>
      </c>
      <c r="CL286" s="490">
        <v>0.93</v>
      </c>
      <c r="CN286" s="489">
        <v>20</v>
      </c>
      <c r="CO286" s="490">
        <v>1</v>
      </c>
      <c r="CP286" s="490">
        <v>1</v>
      </c>
      <c r="CQ286" s="491">
        <v>0.98</v>
      </c>
      <c r="CR286" s="490">
        <v>0.94</v>
      </c>
      <c r="CS286" s="490">
        <v>0.88</v>
      </c>
    </row>
    <row r="287" spans="3:97" ht="15.75" thickBot="1" x14ac:dyDescent="0.3">
      <c r="C287" s="489">
        <v>130</v>
      </c>
      <c r="D287" s="490">
        <v>0.87</v>
      </c>
      <c r="E287" s="490">
        <v>0.83</v>
      </c>
      <c r="F287" s="490">
        <v>0.77</v>
      </c>
      <c r="G287" s="490">
        <v>0.71</v>
      </c>
      <c r="H287" s="490">
        <v>0.64</v>
      </c>
      <c r="I287" s="490">
        <v>0.56999999999999995</v>
      </c>
      <c r="J287" s="490">
        <v>0.51</v>
      </c>
      <c r="K287" s="490">
        <v>0.46</v>
      </c>
      <c r="L287" s="490">
        <v>0.41</v>
      </c>
      <c r="M287" s="490">
        <v>0.36</v>
      </c>
      <c r="O287" s="489">
        <v>30</v>
      </c>
      <c r="P287" s="490">
        <v>1</v>
      </c>
      <c r="Q287" s="490">
        <v>1.01</v>
      </c>
      <c r="R287" s="491">
        <v>1</v>
      </c>
      <c r="S287" s="490">
        <v>0.96</v>
      </c>
      <c r="T287" s="490">
        <v>0.91</v>
      </c>
      <c r="V287" s="489">
        <v>30</v>
      </c>
      <c r="W287" s="490">
        <v>1</v>
      </c>
      <c r="X287" s="490">
        <v>1.04</v>
      </c>
      <c r="Y287" s="491">
        <v>1.05</v>
      </c>
      <c r="Z287" s="490">
        <v>1.05</v>
      </c>
      <c r="AA287" s="490">
        <v>1.02</v>
      </c>
      <c r="AC287" s="489">
        <v>30</v>
      </c>
      <c r="AD287" s="490">
        <v>1</v>
      </c>
      <c r="AE287" s="490">
        <v>1.08</v>
      </c>
      <c r="AF287" s="491">
        <v>1.1399999999999999</v>
      </c>
      <c r="AG287" s="490">
        <v>1.17</v>
      </c>
      <c r="AH287" s="490">
        <v>1.1599999999999999</v>
      </c>
      <c r="AJ287" s="489">
        <v>30</v>
      </c>
      <c r="AK287" s="490">
        <v>1</v>
      </c>
      <c r="AL287" s="490">
        <v>1.1200000000000001</v>
      </c>
      <c r="AM287" s="491">
        <v>1.23</v>
      </c>
      <c r="AN287" s="490">
        <v>1.3</v>
      </c>
      <c r="AO287" s="490">
        <v>1.33</v>
      </c>
      <c r="AQ287" s="489">
        <v>30</v>
      </c>
      <c r="AR287" s="490">
        <v>1</v>
      </c>
      <c r="AS287" s="490">
        <v>1.18</v>
      </c>
      <c r="AT287" s="491">
        <v>1.32</v>
      </c>
      <c r="AU287" s="490">
        <v>1.44</v>
      </c>
      <c r="AV287" s="490">
        <v>1.52</v>
      </c>
      <c r="AX287" s="489">
        <v>30</v>
      </c>
      <c r="AY287" s="490">
        <v>1</v>
      </c>
      <c r="AZ287" s="490">
        <v>1.2</v>
      </c>
      <c r="BA287" s="491">
        <v>1.38</v>
      </c>
      <c r="BB287" s="490">
        <v>1.53</v>
      </c>
      <c r="BC287" s="490">
        <v>1.64</v>
      </c>
      <c r="BE287" s="489">
        <v>30</v>
      </c>
      <c r="BF287" s="490">
        <v>1</v>
      </c>
      <c r="BG287" s="490">
        <v>1.2</v>
      </c>
      <c r="BH287" s="491">
        <v>1.36</v>
      </c>
      <c r="BI287" s="490">
        <v>1.49</v>
      </c>
      <c r="BJ287" s="490">
        <v>1.59</v>
      </c>
      <c r="BL287" s="489">
        <v>30</v>
      </c>
      <c r="BM287" s="490">
        <v>1</v>
      </c>
      <c r="BN287" s="490">
        <v>1.1499999999999999</v>
      </c>
      <c r="BO287" s="491">
        <v>1.26</v>
      </c>
      <c r="BP287" s="490">
        <v>1.35</v>
      </c>
      <c r="BQ287" s="490">
        <v>1.41</v>
      </c>
      <c r="BS287" s="489">
        <v>30</v>
      </c>
      <c r="BT287" s="490">
        <v>1</v>
      </c>
      <c r="BU287" s="490">
        <v>1.0900000000000001</v>
      </c>
      <c r="BV287" s="491">
        <v>1.1599999999999999</v>
      </c>
      <c r="BW287" s="490">
        <v>1.19</v>
      </c>
      <c r="BX287" s="490">
        <v>1.2</v>
      </c>
      <c r="BZ287" s="489">
        <v>30</v>
      </c>
      <c r="CA287" s="490">
        <v>1</v>
      </c>
      <c r="CB287" s="490">
        <v>1.05</v>
      </c>
      <c r="CC287" s="491">
        <v>1.08</v>
      </c>
      <c r="CD287" s="490">
        <v>1.08</v>
      </c>
      <c r="CE287" s="490">
        <v>1.06</v>
      </c>
      <c r="CG287" s="489">
        <v>30</v>
      </c>
      <c r="CH287" s="490">
        <v>1</v>
      </c>
      <c r="CI287" s="490">
        <v>1.01</v>
      </c>
      <c r="CJ287" s="491">
        <v>1.01</v>
      </c>
      <c r="CK287" s="490">
        <v>0.98</v>
      </c>
      <c r="CL287" s="490">
        <v>0.93</v>
      </c>
      <c r="CN287" s="489">
        <v>30</v>
      </c>
      <c r="CO287" s="490">
        <v>1</v>
      </c>
      <c r="CP287" s="490">
        <v>1</v>
      </c>
      <c r="CQ287" s="491">
        <v>0.98</v>
      </c>
      <c r="CR287" s="490">
        <v>0.94</v>
      </c>
      <c r="CS287" s="490">
        <v>0.88</v>
      </c>
    </row>
    <row r="288" spans="3:97" ht="15.75" thickBot="1" x14ac:dyDescent="0.3">
      <c r="C288" s="489">
        <v>140</v>
      </c>
      <c r="D288" s="490">
        <v>0.87</v>
      </c>
      <c r="E288" s="490">
        <v>0.82</v>
      </c>
      <c r="F288" s="490">
        <v>0.76</v>
      </c>
      <c r="G288" s="490">
        <v>0.68</v>
      </c>
      <c r="H288" s="490">
        <v>0.6</v>
      </c>
      <c r="I288" s="490">
        <v>0.53</v>
      </c>
      <c r="J288" s="490">
        <v>0.47</v>
      </c>
      <c r="K288" s="490">
        <v>0.41</v>
      </c>
      <c r="L288" s="490">
        <v>0.37</v>
      </c>
      <c r="M288" s="490">
        <v>0.33</v>
      </c>
      <c r="O288" s="489">
        <v>40</v>
      </c>
      <c r="P288" s="490">
        <v>1</v>
      </c>
      <c r="Q288" s="490">
        <v>1.01</v>
      </c>
      <c r="R288" s="491">
        <v>0.99</v>
      </c>
      <c r="S288" s="490">
        <v>0.96</v>
      </c>
      <c r="T288" s="490">
        <v>0.91</v>
      </c>
      <c r="V288" s="489">
        <v>40</v>
      </c>
      <c r="W288" s="490">
        <v>1</v>
      </c>
      <c r="X288" s="490">
        <v>1.03</v>
      </c>
      <c r="Y288" s="491">
        <v>1.05</v>
      </c>
      <c r="Z288" s="490">
        <v>1.04</v>
      </c>
      <c r="AA288" s="490">
        <v>1.01</v>
      </c>
      <c r="AC288" s="489">
        <v>40</v>
      </c>
      <c r="AD288" s="490">
        <v>1</v>
      </c>
      <c r="AE288" s="490">
        <v>1.07</v>
      </c>
      <c r="AF288" s="491">
        <v>1.1200000000000001</v>
      </c>
      <c r="AG288" s="490">
        <v>1.1399999999999999</v>
      </c>
      <c r="AH288" s="490">
        <v>1.1399999999999999</v>
      </c>
      <c r="AJ288" s="489">
        <v>40</v>
      </c>
      <c r="AK288" s="490">
        <v>1</v>
      </c>
      <c r="AL288" s="490">
        <v>1.1100000000000001</v>
      </c>
      <c r="AM288" s="491">
        <v>1.2</v>
      </c>
      <c r="AN288" s="490">
        <v>1.26</v>
      </c>
      <c r="AO288" s="490">
        <v>1.29</v>
      </c>
      <c r="AQ288" s="489">
        <v>40</v>
      </c>
      <c r="AR288" s="490">
        <v>1</v>
      </c>
      <c r="AS288" s="490">
        <v>1.1499999999999999</v>
      </c>
      <c r="AT288" s="491">
        <v>1.29</v>
      </c>
      <c r="AU288" s="490">
        <v>1.38</v>
      </c>
      <c r="AV288" s="490">
        <v>1.46</v>
      </c>
      <c r="AX288" s="489">
        <v>40</v>
      </c>
      <c r="AY288" s="490">
        <v>1</v>
      </c>
      <c r="AZ288" s="490">
        <v>1.18</v>
      </c>
      <c r="BA288" s="491">
        <v>1.34</v>
      </c>
      <c r="BB288" s="490">
        <v>1.47</v>
      </c>
      <c r="BC288" s="490">
        <v>1.56</v>
      </c>
      <c r="BE288" s="489">
        <v>40</v>
      </c>
      <c r="BF288" s="490">
        <v>1</v>
      </c>
      <c r="BG288" s="490">
        <v>1.18</v>
      </c>
      <c r="BH288" s="491">
        <v>1.32</v>
      </c>
      <c r="BI288" s="490">
        <v>1.43</v>
      </c>
      <c r="BJ288" s="490">
        <v>1.51</v>
      </c>
      <c r="BL288" s="489">
        <v>40</v>
      </c>
      <c r="BM288" s="490">
        <v>1</v>
      </c>
      <c r="BN288" s="490">
        <v>1.1299999999999999</v>
      </c>
      <c r="BO288" s="491">
        <v>1.23</v>
      </c>
      <c r="BP288" s="490">
        <v>1.31</v>
      </c>
      <c r="BQ288" s="490">
        <v>1.35</v>
      </c>
      <c r="BS288" s="489">
        <v>40</v>
      </c>
      <c r="BT288" s="490">
        <v>1</v>
      </c>
      <c r="BU288" s="490">
        <v>1.08</v>
      </c>
      <c r="BV288" s="491">
        <v>1.1299999999999999</v>
      </c>
      <c r="BW288" s="490">
        <v>1.17</v>
      </c>
      <c r="BX288" s="490">
        <v>1.17</v>
      </c>
      <c r="BZ288" s="489">
        <v>40</v>
      </c>
      <c r="CA288" s="490">
        <v>1</v>
      </c>
      <c r="CB288" s="490">
        <v>1.04</v>
      </c>
      <c r="CC288" s="491">
        <v>1.07</v>
      </c>
      <c r="CD288" s="490">
        <v>1.07</v>
      </c>
      <c r="CE288" s="490">
        <v>1.04</v>
      </c>
      <c r="CG288" s="489">
        <v>40</v>
      </c>
      <c r="CH288" s="490">
        <v>1</v>
      </c>
      <c r="CI288" s="490">
        <v>1.01</v>
      </c>
      <c r="CJ288" s="491">
        <v>1</v>
      </c>
      <c r="CK288" s="490">
        <v>0.98</v>
      </c>
      <c r="CL288" s="490">
        <v>0.94</v>
      </c>
      <c r="CN288" s="489">
        <v>40</v>
      </c>
      <c r="CO288" s="490">
        <v>1</v>
      </c>
      <c r="CP288" s="490">
        <v>1</v>
      </c>
      <c r="CQ288" s="491">
        <v>0.98</v>
      </c>
      <c r="CR288" s="490">
        <v>0.94</v>
      </c>
      <c r="CS288" s="490">
        <v>0.89</v>
      </c>
    </row>
    <row r="289" spans="3:97" ht="15.75" thickBot="1" x14ac:dyDescent="0.3">
      <c r="C289" s="489">
        <v>150</v>
      </c>
      <c r="D289" s="490">
        <v>0.87</v>
      </c>
      <c r="E289" s="490">
        <v>0.82</v>
      </c>
      <c r="F289" s="490">
        <v>0.75</v>
      </c>
      <c r="G289" s="490">
        <v>0.67</v>
      </c>
      <c r="H289" s="490">
        <v>0.57999999999999996</v>
      </c>
      <c r="I289" s="490">
        <v>0.5</v>
      </c>
      <c r="J289" s="490">
        <v>0.43</v>
      </c>
      <c r="K289" s="490">
        <v>0.37</v>
      </c>
      <c r="L289" s="490">
        <v>0.33</v>
      </c>
      <c r="M289" s="490">
        <v>0.3</v>
      </c>
      <c r="O289" s="489">
        <v>50</v>
      </c>
      <c r="P289" s="490">
        <v>1</v>
      </c>
      <c r="Q289" s="490">
        <v>1.01</v>
      </c>
      <c r="R289" s="491">
        <v>0.99</v>
      </c>
      <c r="S289" s="490">
        <v>0.96</v>
      </c>
      <c r="T289" s="490">
        <v>0.91</v>
      </c>
      <c r="V289" s="489">
        <v>50</v>
      </c>
      <c r="W289" s="490">
        <v>1</v>
      </c>
      <c r="X289" s="490">
        <v>1.03</v>
      </c>
      <c r="Y289" s="491">
        <v>1.04</v>
      </c>
      <c r="Z289" s="490">
        <v>1.03</v>
      </c>
      <c r="AA289" s="490">
        <v>1</v>
      </c>
      <c r="AC289" s="489">
        <v>50</v>
      </c>
      <c r="AD289" s="490">
        <v>1</v>
      </c>
      <c r="AE289" s="490">
        <v>1.06</v>
      </c>
      <c r="AF289" s="491">
        <v>1.1000000000000001</v>
      </c>
      <c r="AG289" s="490">
        <v>1.1100000000000001</v>
      </c>
      <c r="AH289" s="490">
        <v>1.1100000000000001</v>
      </c>
      <c r="AJ289" s="489">
        <v>50</v>
      </c>
      <c r="AK289" s="490">
        <v>1</v>
      </c>
      <c r="AL289" s="490">
        <v>1.0900000000000001</v>
      </c>
      <c r="AM289" s="491">
        <v>1.1599999999999999</v>
      </c>
      <c r="AN289" s="490">
        <v>1.22</v>
      </c>
      <c r="AO289" s="490">
        <v>1.24</v>
      </c>
      <c r="AQ289" s="489">
        <v>50</v>
      </c>
      <c r="AR289" s="490">
        <v>1</v>
      </c>
      <c r="AS289" s="490">
        <v>1.1299999999999999</v>
      </c>
      <c r="AT289" s="491">
        <v>1.24</v>
      </c>
      <c r="AU289" s="490">
        <v>1.32</v>
      </c>
      <c r="AV289" s="490">
        <v>1.37</v>
      </c>
      <c r="AX289" s="489">
        <v>50</v>
      </c>
      <c r="AY289" s="490">
        <v>1</v>
      </c>
      <c r="AZ289" s="490">
        <v>1.1599999999999999</v>
      </c>
      <c r="BA289" s="491">
        <v>1.29</v>
      </c>
      <c r="BB289" s="490">
        <v>1.39</v>
      </c>
      <c r="BC289" s="490">
        <v>1.46</v>
      </c>
      <c r="BE289" s="489">
        <v>50</v>
      </c>
      <c r="BF289" s="490">
        <v>1</v>
      </c>
      <c r="BG289" s="490">
        <v>1.1499999999999999</v>
      </c>
      <c r="BH289" s="491">
        <v>1.27</v>
      </c>
      <c r="BI289" s="490">
        <v>1.36</v>
      </c>
      <c r="BJ289" s="490">
        <v>1.42</v>
      </c>
      <c r="BL289" s="489">
        <v>50</v>
      </c>
      <c r="BM289" s="490">
        <v>1</v>
      </c>
      <c r="BN289" s="490">
        <v>1.1100000000000001</v>
      </c>
      <c r="BO289" s="491">
        <v>1.2</v>
      </c>
      <c r="BP289" s="490">
        <v>1.26</v>
      </c>
      <c r="BQ289" s="490">
        <v>1.29</v>
      </c>
      <c r="BS289" s="489">
        <v>50</v>
      </c>
      <c r="BT289" s="490">
        <v>1</v>
      </c>
      <c r="BU289" s="490">
        <v>1.06</v>
      </c>
      <c r="BV289" s="491">
        <v>1.1100000000000001</v>
      </c>
      <c r="BW289" s="490">
        <v>1.1299999999999999</v>
      </c>
      <c r="BX289" s="490">
        <v>1.1299999999999999</v>
      </c>
      <c r="BZ289" s="489">
        <v>50</v>
      </c>
      <c r="CA289" s="490">
        <v>1</v>
      </c>
      <c r="CB289" s="490">
        <v>1.04</v>
      </c>
      <c r="CC289" s="491">
        <v>1.05</v>
      </c>
      <c r="CD289" s="490">
        <v>1.05</v>
      </c>
      <c r="CE289" s="490">
        <v>1.03</v>
      </c>
      <c r="CG289" s="489">
        <v>50</v>
      </c>
      <c r="CH289" s="490">
        <v>1</v>
      </c>
      <c r="CI289" s="490">
        <v>1.01</v>
      </c>
      <c r="CJ289" s="491">
        <v>1</v>
      </c>
      <c r="CK289" s="490">
        <v>0.97</v>
      </c>
      <c r="CL289" s="490">
        <v>0.93</v>
      </c>
      <c r="CN289" s="489">
        <v>50</v>
      </c>
      <c r="CO289" s="490">
        <v>1</v>
      </c>
      <c r="CP289" s="490">
        <v>1</v>
      </c>
      <c r="CQ289" s="491">
        <v>0.98</v>
      </c>
      <c r="CR289" s="490">
        <v>0.95</v>
      </c>
      <c r="CS289" s="490">
        <v>0.9</v>
      </c>
    </row>
    <row r="290" spans="3:97" ht="15.75" thickBot="1" x14ac:dyDescent="0.3">
      <c r="C290" s="489">
        <v>160</v>
      </c>
      <c r="D290" s="490">
        <v>0.87</v>
      </c>
      <c r="E290" s="490">
        <v>0.81</v>
      </c>
      <c r="F290" s="490">
        <v>0.74</v>
      </c>
      <c r="G290" s="490">
        <v>0.65</v>
      </c>
      <c r="H290" s="490">
        <v>0.56000000000000005</v>
      </c>
      <c r="I290" s="490">
        <v>0.48</v>
      </c>
      <c r="J290" s="490">
        <v>0.4</v>
      </c>
      <c r="K290" s="490">
        <v>0.34</v>
      </c>
      <c r="L290" s="490">
        <v>0.3</v>
      </c>
      <c r="M290" s="490">
        <v>0.27</v>
      </c>
      <c r="O290" s="489">
        <v>60</v>
      </c>
      <c r="P290" s="490">
        <v>1</v>
      </c>
      <c r="Q290" s="490">
        <v>1</v>
      </c>
      <c r="R290" s="491">
        <v>0.99</v>
      </c>
      <c r="S290" s="490">
        <v>0.96</v>
      </c>
      <c r="T290" s="490">
        <v>0.92</v>
      </c>
      <c r="V290" s="489">
        <v>60</v>
      </c>
      <c r="W290" s="490">
        <v>1</v>
      </c>
      <c r="X290" s="490">
        <v>1.02</v>
      </c>
      <c r="Y290" s="491">
        <v>1.03</v>
      </c>
      <c r="Z290" s="490">
        <v>1.02</v>
      </c>
      <c r="AA290" s="490">
        <v>0.99</v>
      </c>
      <c r="AC290" s="489">
        <v>60</v>
      </c>
      <c r="AD290" s="490">
        <v>1</v>
      </c>
      <c r="AE290" s="490">
        <v>1.05</v>
      </c>
      <c r="AF290" s="491">
        <v>1.08</v>
      </c>
      <c r="AG290" s="490">
        <v>1.0900000000000001</v>
      </c>
      <c r="AH290" s="490">
        <v>1.07</v>
      </c>
      <c r="AJ290" s="489">
        <v>60</v>
      </c>
      <c r="AK290" s="490">
        <v>1</v>
      </c>
      <c r="AL290" s="490">
        <v>1.07</v>
      </c>
      <c r="AM290" s="491">
        <v>1.1200000000000001</v>
      </c>
      <c r="AN290" s="490">
        <v>1.1599999999999999</v>
      </c>
      <c r="AO290" s="490">
        <v>1.17</v>
      </c>
      <c r="AQ290" s="489">
        <v>60</v>
      </c>
      <c r="AR290" s="490">
        <v>1</v>
      </c>
      <c r="AS290" s="490">
        <v>1.1000000000000001</v>
      </c>
      <c r="AT290" s="491">
        <v>1.19</v>
      </c>
      <c r="AU290" s="490">
        <v>1.24</v>
      </c>
      <c r="AV290" s="490">
        <v>1.28</v>
      </c>
      <c r="AX290" s="489">
        <v>60</v>
      </c>
      <c r="AY290" s="490">
        <v>1</v>
      </c>
      <c r="AZ290" s="490">
        <v>1.1299999999999999</v>
      </c>
      <c r="BA290" s="491">
        <v>1.22</v>
      </c>
      <c r="BB290" s="490">
        <v>1.3</v>
      </c>
      <c r="BC290" s="490">
        <v>1.35</v>
      </c>
      <c r="BE290" s="489">
        <v>60</v>
      </c>
      <c r="BF290" s="490">
        <v>1</v>
      </c>
      <c r="BG290" s="490">
        <v>1.1200000000000001</v>
      </c>
      <c r="BH290" s="491">
        <v>1.21</v>
      </c>
      <c r="BI290" s="490">
        <v>1.28</v>
      </c>
      <c r="BJ290" s="490">
        <v>1.32</v>
      </c>
      <c r="BL290" s="489">
        <v>60</v>
      </c>
      <c r="BM290" s="490">
        <v>1</v>
      </c>
      <c r="BN290" s="490">
        <v>1.08</v>
      </c>
      <c r="BO290" s="491">
        <v>1.1499999999999999</v>
      </c>
      <c r="BP290" s="490">
        <v>1.2</v>
      </c>
      <c r="BQ290" s="490">
        <v>1.21</v>
      </c>
      <c r="BS290" s="489">
        <v>60</v>
      </c>
      <c r="BT290" s="490">
        <v>1</v>
      </c>
      <c r="BU290" s="490">
        <v>1.05</v>
      </c>
      <c r="BV290" s="491">
        <v>1.08</v>
      </c>
      <c r="BW290" s="490">
        <v>1.1000000000000001</v>
      </c>
      <c r="BX290" s="490">
        <v>1.0900000000000001</v>
      </c>
      <c r="BZ290" s="489">
        <v>60</v>
      </c>
      <c r="CA290" s="490">
        <v>1</v>
      </c>
      <c r="CB290" s="490">
        <v>1.03</v>
      </c>
      <c r="CC290" s="491">
        <v>1.04</v>
      </c>
      <c r="CD290" s="490">
        <v>1.03</v>
      </c>
      <c r="CE290" s="490">
        <v>1.01</v>
      </c>
      <c r="CG290" s="489">
        <v>60</v>
      </c>
      <c r="CH290" s="490">
        <v>1</v>
      </c>
      <c r="CI290" s="490">
        <v>1</v>
      </c>
      <c r="CJ290" s="491">
        <v>1</v>
      </c>
      <c r="CK290" s="490">
        <v>0.97</v>
      </c>
      <c r="CL290" s="490">
        <v>0.93</v>
      </c>
      <c r="CN290" s="489">
        <v>60</v>
      </c>
      <c r="CO290" s="490">
        <v>1</v>
      </c>
      <c r="CP290" s="490">
        <v>1</v>
      </c>
      <c r="CQ290" s="491">
        <v>0.98</v>
      </c>
      <c r="CR290" s="490">
        <v>0.95</v>
      </c>
      <c r="CS290" s="490">
        <v>0.9</v>
      </c>
    </row>
    <row r="291" spans="3:97" ht="15.75" thickBot="1" x14ac:dyDescent="0.3">
      <c r="C291" s="489">
        <v>170</v>
      </c>
      <c r="D291" s="490">
        <v>0.87</v>
      </c>
      <c r="E291" s="490">
        <v>0.81</v>
      </c>
      <c r="F291" s="490">
        <v>0.74</v>
      </c>
      <c r="G291" s="490">
        <v>0.64</v>
      </c>
      <c r="H291" s="490">
        <v>0.55000000000000004</v>
      </c>
      <c r="I291" s="490">
        <v>0.47</v>
      </c>
      <c r="J291" s="490">
        <v>0.39</v>
      </c>
      <c r="K291" s="490">
        <v>0.32</v>
      </c>
      <c r="L291" s="490">
        <v>0.28000000000000003</v>
      </c>
      <c r="M291" s="490">
        <v>0.26</v>
      </c>
      <c r="O291" s="489">
        <v>70</v>
      </c>
      <c r="P291" s="490">
        <v>1</v>
      </c>
      <c r="Q291" s="490">
        <v>1</v>
      </c>
      <c r="R291" s="491">
        <v>0.99</v>
      </c>
      <c r="S291" s="490">
        <v>0.96</v>
      </c>
      <c r="T291" s="490">
        <v>0.91</v>
      </c>
      <c r="V291" s="489">
        <v>70</v>
      </c>
      <c r="W291" s="490">
        <v>1</v>
      </c>
      <c r="X291" s="490">
        <v>1.02</v>
      </c>
      <c r="Y291" s="491">
        <v>1.02</v>
      </c>
      <c r="Z291" s="490">
        <v>1</v>
      </c>
      <c r="AA291" s="490">
        <v>0.97</v>
      </c>
      <c r="AC291" s="489">
        <v>70</v>
      </c>
      <c r="AD291" s="490">
        <v>1</v>
      </c>
      <c r="AE291" s="490">
        <v>1.03</v>
      </c>
      <c r="AF291" s="491">
        <v>1.05</v>
      </c>
      <c r="AG291" s="490">
        <v>1.05</v>
      </c>
      <c r="AH291" s="490">
        <v>1.03</v>
      </c>
      <c r="AJ291" s="489">
        <v>70</v>
      </c>
      <c r="AK291" s="490">
        <v>1</v>
      </c>
      <c r="AL291" s="490">
        <v>1.05</v>
      </c>
      <c r="AM291" s="491">
        <v>1.08</v>
      </c>
      <c r="AN291" s="490">
        <v>1.1000000000000001</v>
      </c>
      <c r="AO291" s="490">
        <v>1.1000000000000001</v>
      </c>
      <c r="AQ291" s="489">
        <v>70</v>
      </c>
      <c r="AR291" s="490">
        <v>1</v>
      </c>
      <c r="AS291" s="490">
        <v>1.07</v>
      </c>
      <c r="AT291" s="491">
        <v>1.1299999999999999</v>
      </c>
      <c r="AU291" s="490">
        <v>1.17</v>
      </c>
      <c r="AV291" s="490">
        <v>1.19</v>
      </c>
      <c r="AX291" s="489">
        <v>70</v>
      </c>
      <c r="AY291" s="490">
        <v>1</v>
      </c>
      <c r="AZ291" s="490">
        <v>1.0900000000000001</v>
      </c>
      <c r="BA291" s="491">
        <v>1.1599999999999999</v>
      </c>
      <c r="BB291" s="490">
        <v>1.21</v>
      </c>
      <c r="BC291" s="490">
        <v>1.23</v>
      </c>
      <c r="BE291" s="489">
        <v>70</v>
      </c>
      <c r="BF291" s="490">
        <v>1</v>
      </c>
      <c r="BG291" s="490">
        <v>1.0900000000000001</v>
      </c>
      <c r="BH291" s="491">
        <v>1.1499999999999999</v>
      </c>
      <c r="BI291" s="490">
        <v>1.19</v>
      </c>
      <c r="BJ291" s="490">
        <v>1.22</v>
      </c>
      <c r="BL291" s="489">
        <v>70</v>
      </c>
      <c r="BM291" s="490">
        <v>1</v>
      </c>
      <c r="BN291" s="490">
        <v>1.06</v>
      </c>
      <c r="BO291" s="491">
        <v>1.1100000000000001</v>
      </c>
      <c r="BP291" s="490">
        <v>1.1200000000000001</v>
      </c>
      <c r="BQ291" s="490">
        <v>1.1399999999999999</v>
      </c>
      <c r="BS291" s="489">
        <v>70</v>
      </c>
      <c r="BT291" s="490">
        <v>1</v>
      </c>
      <c r="BU291" s="490">
        <v>1.03</v>
      </c>
      <c r="BV291" s="491">
        <v>1.05</v>
      </c>
      <c r="BW291" s="490">
        <v>1.05</v>
      </c>
      <c r="BX291" s="490">
        <v>1.05</v>
      </c>
      <c r="BZ291" s="489">
        <v>70</v>
      </c>
      <c r="CA291" s="490">
        <v>1</v>
      </c>
      <c r="CB291" s="490">
        <v>1.02</v>
      </c>
      <c r="CC291" s="491">
        <v>1.02</v>
      </c>
      <c r="CD291" s="490">
        <v>1.01</v>
      </c>
      <c r="CE291" s="490">
        <v>0.98</v>
      </c>
      <c r="CG291" s="489">
        <v>70</v>
      </c>
      <c r="CH291" s="490">
        <v>1</v>
      </c>
      <c r="CI291" s="490">
        <v>1</v>
      </c>
      <c r="CJ291" s="491">
        <v>0.99</v>
      </c>
      <c r="CK291" s="490">
        <v>0.96</v>
      </c>
      <c r="CL291" s="490">
        <v>0.92</v>
      </c>
      <c r="CN291" s="489">
        <v>70</v>
      </c>
      <c r="CO291" s="490">
        <v>1</v>
      </c>
      <c r="CP291" s="490">
        <v>1</v>
      </c>
      <c r="CQ291" s="491">
        <v>0.98</v>
      </c>
      <c r="CR291" s="490">
        <v>0.95</v>
      </c>
      <c r="CS291" s="490">
        <v>0.9</v>
      </c>
    </row>
    <row r="292" spans="3:97" ht="15.75" thickBot="1" x14ac:dyDescent="0.3">
      <c r="C292" s="489">
        <v>180</v>
      </c>
      <c r="D292" s="490">
        <v>0.87</v>
      </c>
      <c r="E292" s="490">
        <v>0.81</v>
      </c>
      <c r="F292" s="490">
        <v>0.74</v>
      </c>
      <c r="G292" s="490">
        <v>0.64</v>
      </c>
      <c r="H292" s="490">
        <v>0.55000000000000004</v>
      </c>
      <c r="I292" s="490">
        <v>0.47</v>
      </c>
      <c r="J292" s="490">
        <v>0.39</v>
      </c>
      <c r="K292" s="490">
        <v>0.32</v>
      </c>
      <c r="L292" s="490">
        <v>0.27</v>
      </c>
      <c r="M292" s="490">
        <v>0.25</v>
      </c>
      <c r="O292" s="489">
        <v>80</v>
      </c>
      <c r="P292" s="490">
        <v>1</v>
      </c>
      <c r="Q292" s="490">
        <v>1</v>
      </c>
      <c r="R292" s="491">
        <v>0.98</v>
      </c>
      <c r="S292" s="490">
        <v>0.95</v>
      </c>
      <c r="T292" s="490">
        <v>0.91</v>
      </c>
      <c r="V292" s="489">
        <v>80</v>
      </c>
      <c r="W292" s="490">
        <v>1</v>
      </c>
      <c r="X292" s="490">
        <v>1.01</v>
      </c>
      <c r="Y292" s="491">
        <v>1</v>
      </c>
      <c r="Z292" s="490">
        <v>0.98</v>
      </c>
      <c r="AA292" s="490">
        <v>0.95</v>
      </c>
      <c r="AC292" s="489">
        <v>80</v>
      </c>
      <c r="AD292" s="490">
        <v>1</v>
      </c>
      <c r="AE292" s="490">
        <v>1.02</v>
      </c>
      <c r="AF292" s="491">
        <v>1.02</v>
      </c>
      <c r="AG292" s="490">
        <v>1.01</v>
      </c>
      <c r="AH292" s="490">
        <v>1</v>
      </c>
      <c r="AJ292" s="489">
        <v>80</v>
      </c>
      <c r="AK292" s="490">
        <v>1</v>
      </c>
      <c r="AL292" s="490">
        <v>1.03</v>
      </c>
      <c r="AM292" s="491">
        <v>1.04</v>
      </c>
      <c r="AN292" s="490">
        <v>1.05</v>
      </c>
      <c r="AO292" s="490">
        <v>1.03</v>
      </c>
      <c r="AQ292" s="489">
        <v>80</v>
      </c>
      <c r="AR292" s="490">
        <v>1</v>
      </c>
      <c r="AS292" s="490">
        <v>1.04</v>
      </c>
      <c r="AT292" s="491">
        <v>1.06</v>
      </c>
      <c r="AU292" s="490">
        <v>1.0900000000000001</v>
      </c>
      <c r="AV292" s="490">
        <v>1.08</v>
      </c>
      <c r="AX292" s="489">
        <v>80</v>
      </c>
      <c r="AY292" s="490">
        <v>1</v>
      </c>
      <c r="AZ292" s="490">
        <v>1.05</v>
      </c>
      <c r="BA292" s="491">
        <v>1.0900000000000001</v>
      </c>
      <c r="BB292" s="490">
        <v>1.1200000000000001</v>
      </c>
      <c r="BC292" s="490">
        <v>1.1200000000000001</v>
      </c>
      <c r="BE292" s="489">
        <v>80</v>
      </c>
      <c r="BF292" s="490">
        <v>1</v>
      </c>
      <c r="BG292" s="490">
        <v>1.05</v>
      </c>
      <c r="BH292" s="491">
        <v>1.08</v>
      </c>
      <c r="BI292" s="490">
        <v>1.1100000000000001</v>
      </c>
      <c r="BJ292" s="490">
        <v>1.1100000000000001</v>
      </c>
      <c r="BL292" s="489">
        <v>80</v>
      </c>
      <c r="BM292" s="490">
        <v>1</v>
      </c>
      <c r="BN292" s="490">
        <v>1.03</v>
      </c>
      <c r="BO292" s="491">
        <v>1.05</v>
      </c>
      <c r="BP292" s="490">
        <v>1.06</v>
      </c>
      <c r="BQ292" s="490">
        <v>1.05</v>
      </c>
      <c r="BS292" s="489">
        <v>80</v>
      </c>
      <c r="BT292" s="490">
        <v>1</v>
      </c>
      <c r="BU292" s="490">
        <v>1.02</v>
      </c>
      <c r="BV292" s="491">
        <v>1.02</v>
      </c>
      <c r="BW292" s="490">
        <v>1.01</v>
      </c>
      <c r="BX292" s="490">
        <v>0.99</v>
      </c>
      <c r="BZ292" s="489">
        <v>80</v>
      </c>
      <c r="CA292" s="490">
        <v>1</v>
      </c>
      <c r="CB292" s="490">
        <v>1.01</v>
      </c>
      <c r="CC292" s="491">
        <v>1</v>
      </c>
      <c r="CD292" s="490">
        <v>0.99</v>
      </c>
      <c r="CE292" s="490">
        <v>0.96</v>
      </c>
      <c r="CG292" s="489">
        <v>80</v>
      </c>
      <c r="CH292" s="490">
        <v>1</v>
      </c>
      <c r="CI292" s="490">
        <v>1</v>
      </c>
      <c r="CJ292" s="491">
        <v>0.98</v>
      </c>
      <c r="CK292" s="490">
        <v>0.95</v>
      </c>
      <c r="CL292" s="490">
        <v>0.91</v>
      </c>
      <c r="CN292" s="489">
        <v>80</v>
      </c>
      <c r="CO292" s="490">
        <v>1</v>
      </c>
      <c r="CP292" s="490">
        <v>1</v>
      </c>
      <c r="CQ292" s="491">
        <v>0.98</v>
      </c>
      <c r="CR292" s="490">
        <v>0.95</v>
      </c>
      <c r="CS292" s="490">
        <v>0.9</v>
      </c>
    </row>
    <row r="293" spans="3:97" ht="15.75" thickBot="1" x14ac:dyDescent="0.3">
      <c r="C293" s="489">
        <v>190</v>
      </c>
      <c r="D293" s="490">
        <v>0.87</v>
      </c>
      <c r="E293" s="490">
        <v>0.81</v>
      </c>
      <c r="F293" s="490">
        <v>0.74</v>
      </c>
      <c r="G293" s="490">
        <v>0.65</v>
      </c>
      <c r="H293" s="490">
        <v>0.55000000000000004</v>
      </c>
      <c r="I293" s="490">
        <v>0.47</v>
      </c>
      <c r="J293" s="490">
        <v>0.39</v>
      </c>
      <c r="K293" s="490">
        <v>0.33</v>
      </c>
      <c r="L293" s="490">
        <v>0.28000000000000003</v>
      </c>
      <c r="M293" s="490">
        <v>0.26</v>
      </c>
      <c r="O293" s="489">
        <v>90</v>
      </c>
      <c r="P293" s="490">
        <v>1</v>
      </c>
      <c r="Q293" s="490">
        <v>1</v>
      </c>
      <c r="R293" s="491">
        <v>0.98</v>
      </c>
      <c r="S293" s="490">
        <v>0.94</v>
      </c>
      <c r="T293" s="490">
        <v>0.9</v>
      </c>
      <c r="V293" s="489">
        <v>90</v>
      </c>
      <c r="W293" s="490">
        <v>1</v>
      </c>
      <c r="X293" s="490">
        <v>1</v>
      </c>
      <c r="Y293" s="491">
        <v>0.99</v>
      </c>
      <c r="Z293" s="490">
        <v>0.96</v>
      </c>
      <c r="AA293" s="490">
        <v>0.93</v>
      </c>
      <c r="AC293" s="489">
        <v>90</v>
      </c>
      <c r="AD293" s="490">
        <v>1</v>
      </c>
      <c r="AE293" s="490">
        <v>1</v>
      </c>
      <c r="AF293" s="491">
        <v>1</v>
      </c>
      <c r="AG293" s="490">
        <v>0.97</v>
      </c>
      <c r="AH293" s="490">
        <v>0.95</v>
      </c>
      <c r="AJ293" s="489">
        <v>90</v>
      </c>
      <c r="AK293" s="490">
        <v>1</v>
      </c>
      <c r="AL293" s="490">
        <v>1</v>
      </c>
      <c r="AM293" s="491">
        <v>0.99</v>
      </c>
      <c r="AN293" s="490">
        <v>0.98</v>
      </c>
      <c r="AO293" s="490">
        <v>0.96</v>
      </c>
      <c r="AQ293" s="489">
        <v>90</v>
      </c>
      <c r="AR293" s="490">
        <v>1</v>
      </c>
      <c r="AS293" s="490">
        <v>1.01</v>
      </c>
      <c r="AT293" s="491">
        <v>1.01</v>
      </c>
      <c r="AU293" s="490">
        <v>1</v>
      </c>
      <c r="AV293" s="490">
        <v>0.98</v>
      </c>
      <c r="AX293" s="489">
        <v>90</v>
      </c>
      <c r="AY293" s="490">
        <v>1</v>
      </c>
      <c r="AZ293" s="490">
        <v>1.01</v>
      </c>
      <c r="BA293" s="491">
        <v>1.01</v>
      </c>
      <c r="BB293" s="490">
        <v>1.01</v>
      </c>
      <c r="BC293" s="490">
        <v>1</v>
      </c>
      <c r="BE293" s="489">
        <v>90</v>
      </c>
      <c r="BF293" s="490">
        <v>1</v>
      </c>
      <c r="BG293" s="490">
        <v>1.02</v>
      </c>
      <c r="BH293" s="491">
        <v>1.02</v>
      </c>
      <c r="BI293" s="490">
        <v>1.01</v>
      </c>
      <c r="BJ293" s="490">
        <v>1</v>
      </c>
      <c r="BL293" s="489">
        <v>90</v>
      </c>
      <c r="BM293" s="490">
        <v>1</v>
      </c>
      <c r="BN293" s="490">
        <v>1</v>
      </c>
      <c r="BO293" s="491">
        <v>1</v>
      </c>
      <c r="BP293" s="490">
        <v>0.98</v>
      </c>
      <c r="BQ293" s="490">
        <v>0.96</v>
      </c>
      <c r="BS293" s="489">
        <v>90</v>
      </c>
      <c r="BT293" s="490">
        <v>1</v>
      </c>
      <c r="BU293" s="490">
        <v>1</v>
      </c>
      <c r="BV293" s="491">
        <v>0.99</v>
      </c>
      <c r="BW293" s="490">
        <v>0.97</v>
      </c>
      <c r="BX293" s="490">
        <v>0.94</v>
      </c>
      <c r="BZ293" s="489">
        <v>90</v>
      </c>
      <c r="CA293" s="490">
        <v>1</v>
      </c>
      <c r="CB293" s="490">
        <v>1</v>
      </c>
      <c r="CC293" s="491">
        <v>0.99</v>
      </c>
      <c r="CD293" s="490">
        <v>0.96</v>
      </c>
      <c r="CE293" s="490">
        <v>0.93</v>
      </c>
      <c r="CG293" s="489">
        <v>90</v>
      </c>
      <c r="CH293" s="490">
        <v>1</v>
      </c>
      <c r="CI293" s="490">
        <v>0.99</v>
      </c>
      <c r="CJ293" s="491">
        <v>0.97</v>
      </c>
      <c r="CK293" s="490">
        <v>0.94</v>
      </c>
      <c r="CL293" s="490">
        <v>0.9</v>
      </c>
      <c r="CN293" s="489">
        <v>90</v>
      </c>
      <c r="CO293" s="490">
        <v>1</v>
      </c>
      <c r="CP293" s="490">
        <v>1</v>
      </c>
      <c r="CQ293" s="491">
        <v>0.98</v>
      </c>
      <c r="CR293" s="490">
        <v>0.94</v>
      </c>
      <c r="CS293" s="490">
        <v>0.9</v>
      </c>
    </row>
    <row r="294" spans="3:97" ht="15.75" thickBot="1" x14ac:dyDescent="0.3">
      <c r="C294" s="489">
        <v>200</v>
      </c>
      <c r="D294" s="490">
        <v>0.87</v>
      </c>
      <c r="E294" s="490">
        <v>0.82</v>
      </c>
      <c r="F294" s="490">
        <v>0.75</v>
      </c>
      <c r="G294" s="490">
        <v>0.66</v>
      </c>
      <c r="H294" s="490">
        <v>0.56999999999999995</v>
      </c>
      <c r="I294" s="490">
        <v>0.49</v>
      </c>
      <c r="J294" s="490">
        <v>0.41</v>
      </c>
      <c r="K294" s="490">
        <v>0.35</v>
      </c>
      <c r="L294" s="490">
        <v>0.31</v>
      </c>
      <c r="M294" s="490">
        <v>0.28000000000000003</v>
      </c>
      <c r="W294" s="492"/>
      <c r="X294" s="492"/>
      <c r="Y294" s="492"/>
      <c r="Z294" s="492"/>
      <c r="AA294" s="492"/>
    </row>
    <row r="295" spans="3:97" ht="15.75" thickBot="1" x14ac:dyDescent="0.3">
      <c r="C295" s="489">
        <v>210</v>
      </c>
      <c r="D295" s="490">
        <v>0.87</v>
      </c>
      <c r="E295" s="490">
        <v>0.82</v>
      </c>
      <c r="F295" s="490">
        <v>0.75</v>
      </c>
      <c r="G295" s="490">
        <v>0.68</v>
      </c>
      <c r="H295" s="490">
        <v>0.59</v>
      </c>
      <c r="I295" s="490">
        <v>0.51</v>
      </c>
      <c r="J295" s="490">
        <v>0.44</v>
      </c>
      <c r="K295" s="490">
        <v>0.39</v>
      </c>
      <c r="L295" s="490">
        <v>0.34</v>
      </c>
      <c r="M295" s="490">
        <v>0.31</v>
      </c>
      <c r="W295" s="492"/>
      <c r="X295" s="492"/>
      <c r="Y295" s="492"/>
      <c r="Z295" s="492"/>
      <c r="AA295" s="492"/>
    </row>
    <row r="296" spans="3:97" ht="15.75" thickBot="1" x14ac:dyDescent="0.3">
      <c r="C296" s="489">
        <v>220</v>
      </c>
      <c r="D296" s="490">
        <v>0.87</v>
      </c>
      <c r="E296" s="490">
        <v>0.83</v>
      </c>
      <c r="F296" s="490">
        <v>0.77</v>
      </c>
      <c r="G296" s="490">
        <v>0.7</v>
      </c>
      <c r="H296" s="490">
        <v>0.62</v>
      </c>
      <c r="I296" s="490">
        <v>0.55000000000000004</v>
      </c>
      <c r="J296" s="490">
        <v>0.49</v>
      </c>
      <c r="K296" s="490">
        <v>0.43</v>
      </c>
      <c r="L296" s="490">
        <v>0.38</v>
      </c>
      <c r="M296" s="490">
        <v>0.34</v>
      </c>
      <c r="W296" s="492"/>
      <c r="X296" s="492"/>
      <c r="Y296" s="492"/>
      <c r="Z296" s="492"/>
      <c r="AA296" s="492"/>
    </row>
    <row r="297" spans="3:97" ht="15.75" thickBot="1" x14ac:dyDescent="0.3">
      <c r="C297" s="489">
        <v>230</v>
      </c>
      <c r="D297" s="490">
        <v>0.87</v>
      </c>
      <c r="E297" s="490">
        <v>0.84</v>
      </c>
      <c r="F297" s="490">
        <v>0.78</v>
      </c>
      <c r="G297" s="490">
        <v>0.73</v>
      </c>
      <c r="H297" s="490">
        <v>0.66</v>
      </c>
      <c r="I297" s="490">
        <v>0.59</v>
      </c>
      <c r="J297" s="490">
        <v>0.53</v>
      </c>
      <c r="K297" s="490">
        <v>0.48</v>
      </c>
      <c r="L297" s="490">
        <v>0.42</v>
      </c>
      <c r="M297" s="490">
        <v>0.38</v>
      </c>
      <c r="W297" s="492"/>
      <c r="X297" s="492"/>
      <c r="Y297" s="492"/>
      <c r="Z297" s="492"/>
      <c r="AA297" s="492"/>
    </row>
    <row r="298" spans="3:97" ht="15.75" thickBot="1" x14ac:dyDescent="0.3">
      <c r="C298" s="489">
        <v>240</v>
      </c>
      <c r="D298" s="490">
        <v>0.87</v>
      </c>
      <c r="E298" s="490">
        <v>0.85</v>
      </c>
      <c r="F298" s="490">
        <v>0.8</v>
      </c>
      <c r="G298" s="490">
        <v>0.75</v>
      </c>
      <c r="H298" s="490">
        <v>0.7</v>
      </c>
      <c r="I298" s="490">
        <v>0.64</v>
      </c>
      <c r="J298" s="490">
        <v>0.57999999999999996</v>
      </c>
      <c r="K298" s="490">
        <v>0.52</v>
      </c>
      <c r="L298" s="490">
        <v>0.47</v>
      </c>
      <c r="M298" s="490">
        <v>0.42</v>
      </c>
      <c r="W298" s="492"/>
      <c r="X298" s="492"/>
      <c r="Y298" s="492"/>
      <c r="Z298" s="492"/>
      <c r="AA298" s="492"/>
    </row>
    <row r="299" spans="3:97" ht="15.75" thickBot="1" x14ac:dyDescent="0.3">
      <c r="C299" s="489">
        <v>250</v>
      </c>
      <c r="D299" s="490">
        <v>0.87</v>
      </c>
      <c r="E299" s="490">
        <v>0.86</v>
      </c>
      <c r="F299" s="490">
        <v>0.83</v>
      </c>
      <c r="G299" s="490">
        <v>0.78</v>
      </c>
      <c r="H299" s="490">
        <v>0.74</v>
      </c>
      <c r="I299" s="490">
        <v>0.68</v>
      </c>
      <c r="J299" s="490">
        <v>0.63</v>
      </c>
      <c r="K299" s="490">
        <v>0.56999999999999995</v>
      </c>
      <c r="L299" s="490">
        <v>0.51</v>
      </c>
      <c r="M299" s="490">
        <v>0.46</v>
      </c>
      <c r="W299" s="492"/>
      <c r="X299" s="492"/>
      <c r="Y299" s="492"/>
      <c r="Z299" s="492"/>
      <c r="AA299" s="492"/>
    </row>
    <row r="300" spans="3:97" ht="15.75" thickBot="1" x14ac:dyDescent="0.3">
      <c r="C300" s="489">
        <v>260</v>
      </c>
      <c r="D300" s="490">
        <v>0.87</v>
      </c>
      <c r="E300" s="490">
        <v>0.87</v>
      </c>
      <c r="F300" s="490">
        <v>0.85</v>
      </c>
      <c r="G300" s="490">
        <v>0.81</v>
      </c>
      <c r="H300" s="490">
        <v>0.77</v>
      </c>
      <c r="I300" s="490">
        <v>0.73</v>
      </c>
      <c r="J300" s="490">
        <v>0.67</v>
      </c>
      <c r="K300" s="490">
        <v>0.61</v>
      </c>
      <c r="L300" s="490">
        <v>0.55000000000000004</v>
      </c>
      <c r="M300" s="490">
        <v>0.49</v>
      </c>
      <c r="W300" s="492"/>
      <c r="X300" s="492"/>
      <c r="Y300" s="492"/>
      <c r="Z300" s="492"/>
      <c r="AA300" s="492"/>
    </row>
    <row r="301" spans="3:97" ht="15.75" thickBot="1" x14ac:dyDescent="0.3">
      <c r="C301" s="489">
        <v>270</v>
      </c>
      <c r="D301" s="490">
        <v>0.87</v>
      </c>
      <c r="E301" s="490">
        <v>0.88</v>
      </c>
      <c r="F301" s="490">
        <v>0.87</v>
      </c>
      <c r="G301" s="490">
        <v>0.84</v>
      </c>
      <c r="H301" s="490">
        <v>0.81</v>
      </c>
      <c r="I301" s="490">
        <v>0.76</v>
      </c>
      <c r="J301" s="490">
        <v>0.72</v>
      </c>
      <c r="K301" s="490">
        <v>0.66</v>
      </c>
      <c r="L301" s="490">
        <v>0.59</v>
      </c>
      <c r="M301" s="490">
        <v>0.53</v>
      </c>
      <c r="W301" s="492"/>
      <c r="X301" s="492"/>
      <c r="Y301" s="492"/>
      <c r="Z301" s="492"/>
      <c r="AA301" s="492"/>
    </row>
    <row r="302" spans="3:97" ht="15.75" thickBot="1" x14ac:dyDescent="0.3">
      <c r="C302" s="489">
        <v>280</v>
      </c>
      <c r="D302" s="490">
        <v>0.87</v>
      </c>
      <c r="E302" s="490">
        <v>0.89</v>
      </c>
      <c r="F302" s="490">
        <v>0.89</v>
      </c>
      <c r="G302" s="490">
        <v>0.87</v>
      </c>
      <c r="H302" s="490">
        <v>0.85</v>
      </c>
      <c r="I302" s="490">
        <v>0.8</v>
      </c>
      <c r="J302" s="490">
        <v>0.75</v>
      </c>
      <c r="K302" s="490">
        <v>0.7</v>
      </c>
      <c r="L302" s="490">
        <v>0.63</v>
      </c>
      <c r="M302" s="490">
        <v>0.56000000000000005</v>
      </c>
      <c r="W302" s="492"/>
      <c r="X302" s="492"/>
      <c r="Y302" s="492"/>
      <c r="Z302" s="492"/>
      <c r="AA302" s="492"/>
    </row>
    <row r="303" spans="3:97" ht="15.75" thickBot="1" x14ac:dyDescent="0.3">
      <c r="C303" s="489">
        <v>290</v>
      </c>
      <c r="D303" s="490">
        <v>0.87</v>
      </c>
      <c r="E303" s="490">
        <v>0.9</v>
      </c>
      <c r="F303" s="490">
        <v>0.91</v>
      </c>
      <c r="G303" s="490">
        <v>0.9</v>
      </c>
      <c r="H303" s="490">
        <v>0.88</v>
      </c>
      <c r="I303" s="490">
        <v>0.84</v>
      </c>
      <c r="J303" s="490">
        <v>0.79</v>
      </c>
      <c r="K303" s="490">
        <v>0.73</v>
      </c>
      <c r="L303" s="490">
        <v>0.66</v>
      </c>
      <c r="M303" s="490">
        <v>0.59</v>
      </c>
      <c r="W303" s="492"/>
      <c r="X303" s="492"/>
      <c r="Y303" s="492"/>
      <c r="Z303" s="492"/>
      <c r="AA303" s="492"/>
    </row>
    <row r="304" spans="3:97" ht="15.75" thickBot="1" x14ac:dyDescent="0.3">
      <c r="C304" s="489">
        <v>300</v>
      </c>
      <c r="D304" s="490">
        <v>0.87</v>
      </c>
      <c r="E304" s="490">
        <v>0.91</v>
      </c>
      <c r="F304" s="490">
        <v>0.93</v>
      </c>
      <c r="G304" s="490">
        <v>0.93</v>
      </c>
      <c r="H304" s="490">
        <v>0.91</v>
      </c>
      <c r="I304" s="490">
        <v>0.87</v>
      </c>
      <c r="J304" s="490">
        <v>0.82</v>
      </c>
      <c r="K304" s="490">
        <v>0.76</v>
      </c>
      <c r="L304" s="490">
        <v>0.69</v>
      </c>
      <c r="M304" s="490">
        <v>0.61</v>
      </c>
      <c r="W304" s="492"/>
      <c r="X304" s="492"/>
      <c r="Y304" s="492"/>
      <c r="Z304" s="492"/>
      <c r="AA304" s="492"/>
    </row>
    <row r="305" spans="3:97" ht="15.75" thickBot="1" x14ac:dyDescent="0.3">
      <c r="C305" s="489">
        <v>310</v>
      </c>
      <c r="D305" s="490">
        <v>0.87</v>
      </c>
      <c r="E305" s="490">
        <v>0.92</v>
      </c>
      <c r="F305" s="490">
        <v>0.95</v>
      </c>
      <c r="G305" s="490">
        <v>0.95</v>
      </c>
      <c r="H305" s="490">
        <v>0.94</v>
      </c>
      <c r="I305" s="490">
        <v>0.9</v>
      </c>
      <c r="J305" s="490">
        <v>0.85</v>
      </c>
      <c r="K305" s="490">
        <v>0.79</v>
      </c>
      <c r="L305" s="490">
        <v>0.71</v>
      </c>
      <c r="M305" s="490">
        <v>0.62</v>
      </c>
      <c r="W305" s="492"/>
      <c r="X305" s="492"/>
      <c r="Y305" s="492"/>
      <c r="Z305" s="492"/>
      <c r="AA305" s="492"/>
    </row>
    <row r="306" spans="3:97" ht="15.75" thickBot="1" x14ac:dyDescent="0.3">
      <c r="C306" s="489">
        <v>320</v>
      </c>
      <c r="D306" s="490">
        <v>0.87</v>
      </c>
      <c r="E306" s="490">
        <v>0.93</v>
      </c>
      <c r="F306" s="490">
        <v>0.96</v>
      </c>
      <c r="G306" s="490">
        <v>0.97</v>
      </c>
      <c r="H306" s="490">
        <v>0.96</v>
      </c>
      <c r="I306" s="490">
        <v>0.93</v>
      </c>
      <c r="J306" s="490">
        <v>0.88</v>
      </c>
      <c r="K306" s="490">
        <v>0.81</v>
      </c>
      <c r="L306" s="490">
        <v>0.73</v>
      </c>
      <c r="M306" s="490">
        <v>0.64</v>
      </c>
      <c r="W306" s="492"/>
      <c r="X306" s="492"/>
      <c r="Y306" s="492"/>
      <c r="Z306" s="492"/>
      <c r="AA306" s="492"/>
    </row>
    <row r="307" spans="3:97" ht="15.75" thickBot="1" x14ac:dyDescent="0.3">
      <c r="C307" s="489">
        <v>330</v>
      </c>
      <c r="D307" s="490">
        <v>0.87</v>
      </c>
      <c r="E307" s="490">
        <v>0.93</v>
      </c>
      <c r="F307" s="490">
        <v>0.97</v>
      </c>
      <c r="G307" s="490">
        <v>0.98</v>
      </c>
      <c r="H307" s="490">
        <v>0.98</v>
      </c>
      <c r="I307" s="490">
        <v>0.94</v>
      </c>
      <c r="J307" s="490">
        <v>0.89</v>
      </c>
      <c r="K307" s="490">
        <v>0.82</v>
      </c>
      <c r="L307" s="490">
        <v>0.74</v>
      </c>
      <c r="M307" s="490">
        <v>0.64</v>
      </c>
      <c r="W307" s="492"/>
      <c r="X307" s="492"/>
      <c r="Y307" s="492"/>
      <c r="Z307" s="492"/>
      <c r="AA307" s="492"/>
    </row>
    <row r="308" spans="3:97" ht="15.75" thickBot="1" x14ac:dyDescent="0.3">
      <c r="C308" s="489">
        <v>340</v>
      </c>
      <c r="D308" s="490">
        <v>0.87</v>
      </c>
      <c r="E308" s="490">
        <v>0.94</v>
      </c>
      <c r="F308" s="490">
        <v>0.98</v>
      </c>
      <c r="G308" s="490">
        <v>1</v>
      </c>
      <c r="H308" s="490">
        <v>0.99</v>
      </c>
      <c r="I308" s="490">
        <v>0.96</v>
      </c>
      <c r="J308" s="490">
        <v>0.9</v>
      </c>
      <c r="K308" s="490">
        <v>0.83</v>
      </c>
      <c r="L308" s="490">
        <v>0.74</v>
      </c>
      <c r="M308" s="490">
        <v>0.64</v>
      </c>
      <c r="W308" s="492"/>
      <c r="X308" s="492"/>
      <c r="Y308" s="492"/>
      <c r="Z308" s="492"/>
      <c r="AA308" s="492"/>
    </row>
    <row r="309" spans="3:97" ht="15.75" thickBot="1" x14ac:dyDescent="0.3">
      <c r="C309" s="489">
        <v>350</v>
      </c>
      <c r="D309" s="490">
        <v>0.87</v>
      </c>
      <c r="E309" s="490">
        <v>0.94</v>
      </c>
      <c r="F309" s="490">
        <v>0.98</v>
      </c>
      <c r="G309" s="490">
        <v>1</v>
      </c>
      <c r="H309" s="490">
        <v>0.99</v>
      </c>
      <c r="I309" s="490">
        <v>0.96</v>
      </c>
      <c r="J309" s="490">
        <v>0.91</v>
      </c>
      <c r="K309" s="490">
        <v>0.83</v>
      </c>
      <c r="L309" s="490">
        <v>0.74</v>
      </c>
      <c r="M309" s="490">
        <v>0.64</v>
      </c>
      <c r="W309" s="492"/>
      <c r="X309" s="492"/>
      <c r="Y309" s="492"/>
      <c r="Z309" s="492"/>
      <c r="AA309" s="492"/>
    </row>
    <row r="310" spans="3:97" x14ac:dyDescent="0.25">
      <c r="W310" s="492"/>
      <c r="X310" s="492"/>
      <c r="Y310" s="492"/>
      <c r="Z310" s="492"/>
      <c r="AA310" s="492"/>
    </row>
    <row r="311" spans="3:97" ht="15.75" thickBot="1" x14ac:dyDescent="0.3">
      <c r="W311" s="492"/>
      <c r="X311" s="492"/>
      <c r="Y311" s="492"/>
      <c r="Z311" s="492"/>
      <c r="AA311" s="492"/>
    </row>
    <row r="312" spans="3:97" ht="15.75" thickBot="1" x14ac:dyDescent="0.3">
      <c r="C312" s="784" t="s">
        <v>3731</v>
      </c>
      <c r="D312" s="785"/>
      <c r="E312" s="785"/>
      <c r="F312" s="785"/>
      <c r="G312" s="785"/>
      <c r="H312" s="785"/>
      <c r="I312" s="785"/>
      <c r="J312" s="785"/>
      <c r="K312" s="785"/>
      <c r="L312" s="785"/>
      <c r="M312" s="786"/>
      <c r="O312" s="493" t="s">
        <v>3554</v>
      </c>
      <c r="W312" s="492"/>
      <c r="X312" s="492"/>
      <c r="Y312" s="492"/>
      <c r="Z312" s="492"/>
      <c r="AA312" s="492"/>
    </row>
    <row r="313" spans="3:97" ht="15.75" customHeight="1" thickBot="1" x14ac:dyDescent="0.3">
      <c r="C313" s="780" t="s">
        <v>3720</v>
      </c>
      <c r="D313" s="781" t="s">
        <v>3721</v>
      </c>
      <c r="E313" s="782"/>
      <c r="F313" s="782"/>
      <c r="G313" s="782"/>
      <c r="H313" s="782"/>
      <c r="I313" s="782"/>
      <c r="J313" s="782"/>
      <c r="K313" s="782"/>
      <c r="L313" s="782"/>
      <c r="M313" s="783"/>
      <c r="O313" s="777" t="str">
        <f>O312&amp;" - Janurary"</f>
        <v>Alice Springs - Janurary</v>
      </c>
      <c r="P313" s="778"/>
      <c r="Q313" s="778"/>
      <c r="R313" s="778"/>
      <c r="S313" s="778"/>
      <c r="T313" s="779"/>
      <c r="V313" s="777" t="str">
        <f>O312&amp;" - February"</f>
        <v>Alice Springs - February</v>
      </c>
      <c r="W313" s="778"/>
      <c r="X313" s="778"/>
      <c r="Y313" s="778"/>
      <c r="Z313" s="778"/>
      <c r="AA313" s="779"/>
      <c r="AC313" s="777" t="str">
        <f>O312&amp;" - March"</f>
        <v>Alice Springs - March</v>
      </c>
      <c r="AD313" s="778"/>
      <c r="AE313" s="778"/>
      <c r="AF313" s="778"/>
      <c r="AG313" s="778"/>
      <c r="AH313" s="779"/>
      <c r="AJ313" s="777" t="str">
        <f>O312&amp;" - April"</f>
        <v>Alice Springs - April</v>
      </c>
      <c r="AK313" s="778"/>
      <c r="AL313" s="778"/>
      <c r="AM313" s="778"/>
      <c r="AN313" s="778"/>
      <c r="AO313" s="779"/>
      <c r="AQ313" s="777" t="str">
        <f>O312&amp;" - May"</f>
        <v>Alice Springs - May</v>
      </c>
      <c r="AR313" s="778"/>
      <c r="AS313" s="778"/>
      <c r="AT313" s="778"/>
      <c r="AU313" s="778"/>
      <c r="AV313" s="779"/>
      <c r="AX313" s="777" t="str">
        <f>O312&amp;" - June"</f>
        <v>Alice Springs - June</v>
      </c>
      <c r="AY313" s="778"/>
      <c r="AZ313" s="778"/>
      <c r="BA313" s="778"/>
      <c r="BB313" s="778"/>
      <c r="BC313" s="779"/>
      <c r="BE313" s="777" t="str">
        <f>O312&amp;" - July"</f>
        <v>Alice Springs - July</v>
      </c>
      <c r="BF313" s="778"/>
      <c r="BG313" s="778"/>
      <c r="BH313" s="778"/>
      <c r="BI313" s="778"/>
      <c r="BJ313" s="779"/>
      <c r="BL313" s="777" t="str">
        <f>O312&amp;" - August"</f>
        <v>Alice Springs - August</v>
      </c>
      <c r="BM313" s="778"/>
      <c r="BN313" s="778"/>
      <c r="BO313" s="778"/>
      <c r="BP313" s="778"/>
      <c r="BQ313" s="779"/>
      <c r="BS313" s="777" t="str">
        <f>O312&amp;" - September"</f>
        <v>Alice Springs - September</v>
      </c>
      <c r="BT313" s="778"/>
      <c r="BU313" s="778"/>
      <c r="BV313" s="778"/>
      <c r="BW313" s="778"/>
      <c r="BX313" s="779"/>
      <c r="BZ313" s="777" t="str">
        <f>O312&amp;" - October"</f>
        <v>Alice Springs - October</v>
      </c>
      <c r="CA313" s="778"/>
      <c r="CB313" s="778"/>
      <c r="CC313" s="778"/>
      <c r="CD313" s="778"/>
      <c r="CE313" s="779"/>
      <c r="CG313" s="777" t="str">
        <f>O312&amp;" - November"</f>
        <v>Alice Springs - November</v>
      </c>
      <c r="CH313" s="778"/>
      <c r="CI313" s="778"/>
      <c r="CJ313" s="778"/>
      <c r="CK313" s="778"/>
      <c r="CL313" s="779"/>
      <c r="CN313" s="777" t="str">
        <f>O312&amp;" - December"</f>
        <v>Alice Springs - December</v>
      </c>
      <c r="CO313" s="778"/>
      <c r="CP313" s="778"/>
      <c r="CQ313" s="778"/>
      <c r="CR313" s="778"/>
      <c r="CS313" s="779"/>
    </row>
    <row r="314" spans="3:97" ht="15.75" customHeight="1" thickBot="1" x14ac:dyDescent="0.3">
      <c r="C314" s="773"/>
      <c r="D314" s="488">
        <v>0</v>
      </c>
      <c r="E314" s="488">
        <v>10</v>
      </c>
      <c r="F314" s="488">
        <v>20</v>
      </c>
      <c r="G314" s="488">
        <v>30</v>
      </c>
      <c r="H314" s="488">
        <v>40</v>
      </c>
      <c r="I314" s="488">
        <v>50</v>
      </c>
      <c r="J314" s="488">
        <v>60</v>
      </c>
      <c r="K314" s="488">
        <v>70</v>
      </c>
      <c r="L314" s="488">
        <v>80</v>
      </c>
      <c r="M314" s="488">
        <v>90</v>
      </c>
      <c r="O314" s="787" t="s">
        <v>3720</v>
      </c>
      <c r="P314" s="774" t="s">
        <v>3721</v>
      </c>
      <c r="Q314" s="775"/>
      <c r="R314" s="775"/>
      <c r="S314" s="775"/>
      <c r="T314" s="776"/>
      <c r="V314" s="787" t="s">
        <v>3720</v>
      </c>
      <c r="W314" s="774" t="s">
        <v>3721</v>
      </c>
      <c r="X314" s="775"/>
      <c r="Y314" s="775"/>
      <c r="Z314" s="775"/>
      <c r="AA314" s="776"/>
      <c r="AC314" s="787" t="s">
        <v>3720</v>
      </c>
      <c r="AD314" s="774" t="s">
        <v>3721</v>
      </c>
      <c r="AE314" s="775"/>
      <c r="AF314" s="775"/>
      <c r="AG314" s="775"/>
      <c r="AH314" s="776"/>
      <c r="AJ314" s="787" t="s">
        <v>3720</v>
      </c>
      <c r="AK314" s="774" t="s">
        <v>3721</v>
      </c>
      <c r="AL314" s="775"/>
      <c r="AM314" s="775"/>
      <c r="AN314" s="775"/>
      <c r="AO314" s="776"/>
      <c r="AQ314" s="787" t="s">
        <v>3720</v>
      </c>
      <c r="AR314" s="774" t="s">
        <v>3721</v>
      </c>
      <c r="AS314" s="775"/>
      <c r="AT314" s="775"/>
      <c r="AU314" s="775"/>
      <c r="AV314" s="776"/>
      <c r="AX314" s="787" t="s">
        <v>3720</v>
      </c>
      <c r="AY314" s="774" t="s">
        <v>3721</v>
      </c>
      <c r="AZ314" s="775"/>
      <c r="BA314" s="775"/>
      <c r="BB314" s="775"/>
      <c r="BC314" s="776"/>
      <c r="BE314" s="787" t="s">
        <v>3720</v>
      </c>
      <c r="BF314" s="774" t="s">
        <v>3721</v>
      </c>
      <c r="BG314" s="775"/>
      <c r="BH314" s="775"/>
      <c r="BI314" s="775"/>
      <c r="BJ314" s="776"/>
      <c r="BL314" s="787" t="s">
        <v>3720</v>
      </c>
      <c r="BM314" s="774" t="s">
        <v>3721</v>
      </c>
      <c r="BN314" s="775"/>
      <c r="BO314" s="775"/>
      <c r="BP314" s="775"/>
      <c r="BQ314" s="776"/>
      <c r="BS314" s="787" t="s">
        <v>3720</v>
      </c>
      <c r="BT314" s="774" t="s">
        <v>3721</v>
      </c>
      <c r="BU314" s="775"/>
      <c r="BV314" s="775"/>
      <c r="BW314" s="775"/>
      <c r="BX314" s="776"/>
      <c r="BZ314" s="787" t="s">
        <v>3720</v>
      </c>
      <c r="CA314" s="774" t="s">
        <v>3721</v>
      </c>
      <c r="CB314" s="775"/>
      <c r="CC314" s="775"/>
      <c r="CD314" s="775"/>
      <c r="CE314" s="776"/>
      <c r="CG314" s="787" t="s">
        <v>3720</v>
      </c>
      <c r="CH314" s="774" t="s">
        <v>3721</v>
      </c>
      <c r="CI314" s="775"/>
      <c r="CJ314" s="775"/>
      <c r="CK314" s="775"/>
      <c r="CL314" s="776"/>
      <c r="CN314" s="787" t="s">
        <v>3720</v>
      </c>
      <c r="CO314" s="774" t="s">
        <v>3721</v>
      </c>
      <c r="CP314" s="775"/>
      <c r="CQ314" s="775"/>
      <c r="CR314" s="775"/>
      <c r="CS314" s="776"/>
    </row>
    <row r="315" spans="3:97" ht="15.75" thickBot="1" x14ac:dyDescent="0.3">
      <c r="C315" s="489">
        <v>0</v>
      </c>
      <c r="D315" s="490">
        <v>0.9</v>
      </c>
      <c r="E315" s="490">
        <v>0.96</v>
      </c>
      <c r="F315" s="490">
        <v>0.99</v>
      </c>
      <c r="G315" s="491">
        <v>1</v>
      </c>
      <c r="H315" s="490">
        <v>0.98</v>
      </c>
      <c r="I315" s="490">
        <v>0.94</v>
      </c>
      <c r="J315" s="490">
        <v>0.87</v>
      </c>
      <c r="K315" s="490">
        <v>0.78</v>
      </c>
      <c r="L315" s="490">
        <v>0.68</v>
      </c>
      <c r="M315" s="490">
        <v>0.56999999999999995</v>
      </c>
      <c r="O315" s="788"/>
      <c r="P315" s="488">
        <v>0</v>
      </c>
      <c r="Q315" s="488">
        <v>10</v>
      </c>
      <c r="R315" s="488">
        <v>20</v>
      </c>
      <c r="S315" s="488">
        <v>30</v>
      </c>
      <c r="T315" s="488">
        <v>40</v>
      </c>
      <c r="V315" s="788"/>
      <c r="W315" s="488">
        <v>0</v>
      </c>
      <c r="X315" s="488">
        <v>10</v>
      </c>
      <c r="Y315" s="488">
        <v>20</v>
      </c>
      <c r="Z315" s="488">
        <v>30</v>
      </c>
      <c r="AA315" s="488">
        <v>40</v>
      </c>
      <c r="AC315" s="788"/>
      <c r="AD315" s="488">
        <v>0</v>
      </c>
      <c r="AE315" s="488">
        <v>10</v>
      </c>
      <c r="AF315" s="488">
        <v>20</v>
      </c>
      <c r="AG315" s="488">
        <v>30</v>
      </c>
      <c r="AH315" s="488">
        <v>40</v>
      </c>
      <c r="AJ315" s="788"/>
      <c r="AK315" s="488">
        <v>0</v>
      </c>
      <c r="AL315" s="488">
        <v>10</v>
      </c>
      <c r="AM315" s="488">
        <v>20</v>
      </c>
      <c r="AN315" s="488">
        <v>30</v>
      </c>
      <c r="AO315" s="488">
        <v>40</v>
      </c>
      <c r="AQ315" s="788"/>
      <c r="AR315" s="488">
        <v>0</v>
      </c>
      <c r="AS315" s="488">
        <v>10</v>
      </c>
      <c r="AT315" s="488">
        <v>20</v>
      </c>
      <c r="AU315" s="488">
        <v>30</v>
      </c>
      <c r="AV315" s="488">
        <v>40</v>
      </c>
      <c r="AX315" s="788"/>
      <c r="AY315" s="488">
        <v>0</v>
      </c>
      <c r="AZ315" s="488">
        <v>10</v>
      </c>
      <c r="BA315" s="488">
        <v>20</v>
      </c>
      <c r="BB315" s="488">
        <v>30</v>
      </c>
      <c r="BC315" s="488">
        <v>40</v>
      </c>
      <c r="BE315" s="788"/>
      <c r="BF315" s="488">
        <v>0</v>
      </c>
      <c r="BG315" s="488">
        <v>10</v>
      </c>
      <c r="BH315" s="488">
        <v>20</v>
      </c>
      <c r="BI315" s="488">
        <v>30</v>
      </c>
      <c r="BJ315" s="488">
        <v>40</v>
      </c>
      <c r="BL315" s="788"/>
      <c r="BM315" s="488">
        <v>0</v>
      </c>
      <c r="BN315" s="488">
        <v>10</v>
      </c>
      <c r="BO315" s="488">
        <v>20</v>
      </c>
      <c r="BP315" s="488">
        <v>30</v>
      </c>
      <c r="BQ315" s="488">
        <v>40</v>
      </c>
      <c r="BS315" s="788"/>
      <c r="BT315" s="488">
        <v>0</v>
      </c>
      <c r="BU315" s="488">
        <v>10</v>
      </c>
      <c r="BV315" s="488">
        <v>20</v>
      </c>
      <c r="BW315" s="488">
        <v>30</v>
      </c>
      <c r="BX315" s="488">
        <v>40</v>
      </c>
      <c r="BZ315" s="788"/>
      <c r="CA315" s="488">
        <v>0</v>
      </c>
      <c r="CB315" s="488">
        <v>10</v>
      </c>
      <c r="CC315" s="488">
        <v>20</v>
      </c>
      <c r="CD315" s="488">
        <v>30</v>
      </c>
      <c r="CE315" s="488">
        <v>40</v>
      </c>
      <c r="CG315" s="788"/>
      <c r="CH315" s="488">
        <v>0</v>
      </c>
      <c r="CI315" s="488">
        <v>10</v>
      </c>
      <c r="CJ315" s="488">
        <v>20</v>
      </c>
      <c r="CK315" s="488">
        <v>30</v>
      </c>
      <c r="CL315" s="488">
        <v>40</v>
      </c>
      <c r="CN315" s="788"/>
      <c r="CO315" s="488">
        <v>0</v>
      </c>
      <c r="CP315" s="488">
        <v>10</v>
      </c>
      <c r="CQ315" s="488">
        <v>20</v>
      </c>
      <c r="CR315" s="488">
        <v>30</v>
      </c>
      <c r="CS315" s="488">
        <v>40</v>
      </c>
    </row>
    <row r="316" spans="3:97" ht="15.75" thickBot="1" x14ac:dyDescent="0.3">
      <c r="C316" s="489">
        <v>10</v>
      </c>
      <c r="D316" s="490">
        <v>0.9</v>
      </c>
      <c r="E316" s="490">
        <v>0.96</v>
      </c>
      <c r="F316" s="490">
        <v>0.99</v>
      </c>
      <c r="G316" s="491">
        <v>1</v>
      </c>
      <c r="H316" s="490">
        <v>0.98</v>
      </c>
      <c r="I316" s="490">
        <v>0.94</v>
      </c>
      <c r="J316" s="490">
        <v>0.87</v>
      </c>
      <c r="K316" s="490">
        <v>0.79</v>
      </c>
      <c r="L316" s="490">
        <v>0.69</v>
      </c>
      <c r="M316" s="490">
        <v>0.56999999999999995</v>
      </c>
      <c r="O316" s="489">
        <v>270</v>
      </c>
      <c r="P316" s="490">
        <v>1</v>
      </c>
      <c r="Q316" s="490">
        <v>0.99</v>
      </c>
      <c r="R316" s="490">
        <v>0.97</v>
      </c>
      <c r="S316" s="490">
        <v>0.93</v>
      </c>
      <c r="T316" s="490">
        <v>0.88</v>
      </c>
      <c r="V316" s="489">
        <v>270</v>
      </c>
      <c r="W316" s="490">
        <v>1</v>
      </c>
      <c r="X316" s="490">
        <v>1</v>
      </c>
      <c r="Y316" s="490">
        <v>0.98</v>
      </c>
      <c r="Z316" s="490">
        <v>0.94</v>
      </c>
      <c r="AA316" s="490">
        <v>0.9</v>
      </c>
      <c r="AC316" s="489">
        <v>270</v>
      </c>
      <c r="AD316" s="490">
        <v>1</v>
      </c>
      <c r="AE316" s="490">
        <v>1</v>
      </c>
      <c r="AF316" s="490">
        <v>0.99</v>
      </c>
      <c r="AG316" s="490">
        <v>0.96</v>
      </c>
      <c r="AH316" s="490">
        <v>0.92</v>
      </c>
      <c r="AJ316" s="489">
        <v>270</v>
      </c>
      <c r="AK316" s="490">
        <v>1</v>
      </c>
      <c r="AL316" s="490">
        <v>1</v>
      </c>
      <c r="AM316" s="490">
        <v>0.99</v>
      </c>
      <c r="AN316" s="490">
        <v>0.97</v>
      </c>
      <c r="AO316" s="490">
        <v>0.93</v>
      </c>
      <c r="AQ316" s="489">
        <v>270</v>
      </c>
      <c r="AR316" s="490">
        <v>1</v>
      </c>
      <c r="AS316" s="490">
        <v>1.01</v>
      </c>
      <c r="AT316" s="490">
        <v>1</v>
      </c>
      <c r="AU316" s="490">
        <v>0.98</v>
      </c>
      <c r="AV316" s="490">
        <v>0.95</v>
      </c>
      <c r="AX316" s="489">
        <v>270</v>
      </c>
      <c r="AY316" s="490">
        <v>1</v>
      </c>
      <c r="AZ316" s="490">
        <v>1.01</v>
      </c>
      <c r="BA316" s="490">
        <v>1.01</v>
      </c>
      <c r="BB316" s="490">
        <v>0.99</v>
      </c>
      <c r="BC316" s="490">
        <v>0.96</v>
      </c>
      <c r="BE316" s="489">
        <v>270</v>
      </c>
      <c r="BF316" s="490">
        <v>1</v>
      </c>
      <c r="BG316" s="490">
        <v>1.01</v>
      </c>
      <c r="BH316" s="490">
        <v>1.01</v>
      </c>
      <c r="BI316" s="490">
        <v>0.99</v>
      </c>
      <c r="BJ316" s="490">
        <v>0.96</v>
      </c>
      <c r="BL316" s="489">
        <v>270</v>
      </c>
      <c r="BM316" s="490">
        <v>1</v>
      </c>
      <c r="BN316" s="490">
        <v>1.01</v>
      </c>
      <c r="BO316" s="490">
        <v>1</v>
      </c>
      <c r="BP316" s="490">
        <v>0.98</v>
      </c>
      <c r="BQ316" s="490">
        <v>0.95</v>
      </c>
      <c r="BS316" s="489">
        <v>270</v>
      </c>
      <c r="BT316" s="490">
        <v>1</v>
      </c>
      <c r="BU316" s="490">
        <v>1</v>
      </c>
      <c r="BV316" s="490">
        <v>0.99</v>
      </c>
      <c r="BW316" s="490">
        <v>0.97</v>
      </c>
      <c r="BX316" s="490">
        <v>0.93</v>
      </c>
      <c r="BZ316" s="489">
        <v>270</v>
      </c>
      <c r="CA316" s="490">
        <v>1</v>
      </c>
      <c r="CB316" s="490">
        <v>1</v>
      </c>
      <c r="CC316" s="490">
        <v>0.98</v>
      </c>
      <c r="CD316" s="490">
        <v>0.95</v>
      </c>
      <c r="CE316" s="490">
        <v>0.91</v>
      </c>
      <c r="CG316" s="489">
        <v>270</v>
      </c>
      <c r="CH316" s="490">
        <v>1</v>
      </c>
      <c r="CI316" s="490">
        <v>1</v>
      </c>
      <c r="CJ316" s="490">
        <v>0.98</v>
      </c>
      <c r="CK316" s="490">
        <v>0.94</v>
      </c>
      <c r="CL316" s="490">
        <v>0.89</v>
      </c>
      <c r="CN316" s="489">
        <v>270</v>
      </c>
      <c r="CO316" s="490">
        <v>1</v>
      </c>
      <c r="CP316" s="490">
        <v>1</v>
      </c>
      <c r="CQ316" s="490">
        <v>0.97</v>
      </c>
      <c r="CR316" s="490">
        <v>0.94</v>
      </c>
      <c r="CS316" s="490">
        <v>0.89</v>
      </c>
    </row>
    <row r="317" spans="3:97" ht="15.75" thickBot="1" x14ac:dyDescent="0.3">
      <c r="C317" s="489">
        <v>20</v>
      </c>
      <c r="D317" s="490">
        <v>0.9</v>
      </c>
      <c r="E317" s="490">
        <v>0.96</v>
      </c>
      <c r="F317" s="490">
        <v>0.99</v>
      </c>
      <c r="G317" s="491">
        <v>1</v>
      </c>
      <c r="H317" s="490">
        <v>0.98</v>
      </c>
      <c r="I317" s="490">
        <v>0.93</v>
      </c>
      <c r="J317" s="490">
        <v>0.87</v>
      </c>
      <c r="K317" s="490">
        <v>0.79</v>
      </c>
      <c r="L317" s="490">
        <v>0.69</v>
      </c>
      <c r="M317" s="490">
        <v>0.57999999999999996</v>
      </c>
      <c r="O317" s="489">
        <v>280</v>
      </c>
      <c r="P317" s="490">
        <v>1</v>
      </c>
      <c r="Q317" s="490">
        <v>0.99</v>
      </c>
      <c r="R317" s="490">
        <v>0.97</v>
      </c>
      <c r="S317" s="490">
        <v>0.93</v>
      </c>
      <c r="T317" s="490">
        <v>0.88</v>
      </c>
      <c r="V317" s="489">
        <v>280</v>
      </c>
      <c r="W317" s="490">
        <v>1</v>
      </c>
      <c r="X317" s="490">
        <v>1</v>
      </c>
      <c r="Y317" s="490">
        <v>0.98</v>
      </c>
      <c r="Z317" s="490">
        <v>0.95</v>
      </c>
      <c r="AA317" s="490">
        <v>0.91</v>
      </c>
      <c r="AC317" s="489">
        <v>280</v>
      </c>
      <c r="AD317" s="490">
        <v>1</v>
      </c>
      <c r="AE317" s="490">
        <v>1.01</v>
      </c>
      <c r="AF317" s="490">
        <v>1.01</v>
      </c>
      <c r="AG317" s="490">
        <v>0.99</v>
      </c>
      <c r="AH317" s="490">
        <v>0.96</v>
      </c>
      <c r="AJ317" s="489">
        <v>280</v>
      </c>
      <c r="AK317" s="490">
        <v>1</v>
      </c>
      <c r="AL317" s="490">
        <v>1.02</v>
      </c>
      <c r="AM317" s="490">
        <v>1.03</v>
      </c>
      <c r="AN317" s="490">
        <v>1.02</v>
      </c>
      <c r="AO317" s="490">
        <v>1</v>
      </c>
      <c r="AQ317" s="489">
        <v>280</v>
      </c>
      <c r="AR317" s="490">
        <v>1</v>
      </c>
      <c r="AS317" s="490">
        <v>1.03</v>
      </c>
      <c r="AT317" s="490">
        <v>1.05</v>
      </c>
      <c r="AU317" s="490">
        <v>1.05</v>
      </c>
      <c r="AV317" s="490">
        <v>1.04</v>
      </c>
      <c r="AX317" s="489">
        <v>280</v>
      </c>
      <c r="AY317" s="490">
        <v>1</v>
      </c>
      <c r="AZ317" s="490">
        <v>1.04</v>
      </c>
      <c r="BA317" s="490">
        <v>1.07</v>
      </c>
      <c r="BB317" s="490">
        <v>1.07</v>
      </c>
      <c r="BC317" s="490">
        <v>1.06</v>
      </c>
      <c r="BE317" s="489">
        <v>280</v>
      </c>
      <c r="BF317" s="490">
        <v>1</v>
      </c>
      <c r="BG317" s="490">
        <v>1.04</v>
      </c>
      <c r="BH317" s="490">
        <v>1.06</v>
      </c>
      <c r="BI317" s="490">
        <v>1.07</v>
      </c>
      <c r="BJ317" s="490">
        <v>1.05</v>
      </c>
      <c r="BL317" s="489">
        <v>280</v>
      </c>
      <c r="BM317" s="490">
        <v>1</v>
      </c>
      <c r="BN317" s="490">
        <v>1.03</v>
      </c>
      <c r="BO317" s="490">
        <v>1.05</v>
      </c>
      <c r="BP317" s="490">
        <v>1.04</v>
      </c>
      <c r="BQ317" s="490">
        <v>1.02</v>
      </c>
      <c r="BS317" s="489">
        <v>280</v>
      </c>
      <c r="BT317" s="490">
        <v>1</v>
      </c>
      <c r="BU317" s="490">
        <v>1.02</v>
      </c>
      <c r="BV317" s="490">
        <v>1.02</v>
      </c>
      <c r="BW317" s="490">
        <v>1</v>
      </c>
      <c r="BX317" s="490">
        <v>0.97</v>
      </c>
      <c r="BZ317" s="489">
        <v>280</v>
      </c>
      <c r="CA317" s="490">
        <v>1</v>
      </c>
      <c r="CB317" s="490">
        <v>1</v>
      </c>
      <c r="CC317" s="490">
        <v>1</v>
      </c>
      <c r="CD317" s="490">
        <v>0.97</v>
      </c>
      <c r="CE317" s="490">
        <v>0.92</v>
      </c>
      <c r="CG317" s="489">
        <v>280</v>
      </c>
      <c r="CH317" s="490">
        <v>1</v>
      </c>
      <c r="CI317" s="490">
        <v>1</v>
      </c>
      <c r="CJ317" s="490">
        <v>0.98</v>
      </c>
      <c r="CK317" s="490">
        <v>0.94</v>
      </c>
      <c r="CL317" s="490">
        <v>0.89</v>
      </c>
      <c r="CN317" s="489">
        <v>280</v>
      </c>
      <c r="CO317" s="490">
        <v>1</v>
      </c>
      <c r="CP317" s="490">
        <v>1</v>
      </c>
      <c r="CQ317" s="490">
        <v>0.97</v>
      </c>
      <c r="CR317" s="490">
        <v>0.93</v>
      </c>
      <c r="CS317" s="490">
        <v>0.88</v>
      </c>
    </row>
    <row r="318" spans="3:97" ht="15.75" thickBot="1" x14ac:dyDescent="0.3">
      <c r="C318" s="489">
        <v>30</v>
      </c>
      <c r="D318" s="490">
        <v>0.9</v>
      </c>
      <c r="E318" s="490">
        <v>0.96</v>
      </c>
      <c r="F318" s="490">
        <v>0.98</v>
      </c>
      <c r="G318" s="491">
        <v>0.99</v>
      </c>
      <c r="H318" s="490">
        <v>0.97</v>
      </c>
      <c r="I318" s="490">
        <v>0.93</v>
      </c>
      <c r="J318" s="490">
        <v>0.87</v>
      </c>
      <c r="K318" s="490">
        <v>0.78</v>
      </c>
      <c r="L318" s="490">
        <v>0.69</v>
      </c>
      <c r="M318" s="490">
        <v>0.59</v>
      </c>
      <c r="O318" s="489">
        <v>290</v>
      </c>
      <c r="P318" s="490">
        <v>1</v>
      </c>
      <c r="Q318" s="490">
        <v>0.99</v>
      </c>
      <c r="R318" s="490">
        <v>0.96</v>
      </c>
      <c r="S318" s="490">
        <v>0.92</v>
      </c>
      <c r="T318" s="490">
        <v>0.86</v>
      </c>
      <c r="V318" s="489">
        <v>290</v>
      </c>
      <c r="W318" s="490">
        <v>1</v>
      </c>
      <c r="X318" s="490">
        <v>1</v>
      </c>
      <c r="Y318" s="490">
        <v>0.99</v>
      </c>
      <c r="Z318" s="490">
        <v>0.96</v>
      </c>
      <c r="AA318" s="490">
        <v>0.91</v>
      </c>
      <c r="AC318" s="489">
        <v>290</v>
      </c>
      <c r="AD318" s="490">
        <v>1</v>
      </c>
      <c r="AE318" s="490">
        <v>1.03</v>
      </c>
      <c r="AF318" s="490">
        <v>1.03</v>
      </c>
      <c r="AG318" s="490">
        <v>1.01</v>
      </c>
      <c r="AH318" s="490">
        <v>0.98</v>
      </c>
      <c r="AJ318" s="489">
        <v>290</v>
      </c>
      <c r="AK318" s="490">
        <v>1</v>
      </c>
      <c r="AL318" s="490">
        <v>1.04</v>
      </c>
      <c r="AM318" s="490">
        <v>1.06</v>
      </c>
      <c r="AN318" s="490">
        <v>1.07</v>
      </c>
      <c r="AO318" s="490">
        <v>1.05</v>
      </c>
      <c r="AQ318" s="489">
        <v>290</v>
      </c>
      <c r="AR318" s="490">
        <v>1</v>
      </c>
      <c r="AS318" s="490">
        <v>1.06</v>
      </c>
      <c r="AT318" s="490">
        <v>1.1000000000000001</v>
      </c>
      <c r="AU318" s="490">
        <v>1.1200000000000001</v>
      </c>
      <c r="AV318" s="490">
        <v>1.1200000000000001</v>
      </c>
      <c r="AX318" s="489">
        <v>290</v>
      </c>
      <c r="AY318" s="490">
        <v>1</v>
      </c>
      <c r="AZ318" s="490">
        <v>1.08</v>
      </c>
      <c r="BA318" s="490">
        <v>1.1299999999999999</v>
      </c>
      <c r="BB318" s="490">
        <v>1.1499999999999999</v>
      </c>
      <c r="BC318" s="490">
        <v>1.1599999999999999</v>
      </c>
      <c r="BE318" s="489">
        <v>290</v>
      </c>
      <c r="BF318" s="490">
        <v>1</v>
      </c>
      <c r="BG318" s="490">
        <v>1.07</v>
      </c>
      <c r="BH318" s="490">
        <v>1.1100000000000001</v>
      </c>
      <c r="BI318" s="490">
        <v>1.1399999999999999</v>
      </c>
      <c r="BJ318" s="490">
        <v>1.1399999999999999</v>
      </c>
      <c r="BL318" s="489">
        <v>290</v>
      </c>
      <c r="BM318" s="490">
        <v>1</v>
      </c>
      <c r="BN318" s="490">
        <v>1.05</v>
      </c>
      <c r="BO318" s="490">
        <v>1.0900000000000001</v>
      </c>
      <c r="BP318" s="490">
        <v>1.1000000000000001</v>
      </c>
      <c r="BQ318" s="490">
        <v>1.0900000000000001</v>
      </c>
      <c r="BS318" s="489">
        <v>290</v>
      </c>
      <c r="BT318" s="490">
        <v>1</v>
      </c>
      <c r="BU318" s="490">
        <v>1.03</v>
      </c>
      <c r="BV318" s="490">
        <v>1.04</v>
      </c>
      <c r="BW318" s="490">
        <v>1.04</v>
      </c>
      <c r="BX318" s="490">
        <v>1.01</v>
      </c>
      <c r="BZ318" s="489">
        <v>290</v>
      </c>
      <c r="CA318" s="490">
        <v>1</v>
      </c>
      <c r="CB318" s="490">
        <v>1.01</v>
      </c>
      <c r="CC318" s="490">
        <v>1</v>
      </c>
      <c r="CD318" s="490">
        <v>0.98</v>
      </c>
      <c r="CE318" s="490">
        <v>0.94</v>
      </c>
      <c r="CG318" s="489">
        <v>290</v>
      </c>
      <c r="CH318" s="490">
        <v>1</v>
      </c>
      <c r="CI318" s="490">
        <v>1</v>
      </c>
      <c r="CJ318" s="490">
        <v>0.97</v>
      </c>
      <c r="CK318" s="490">
        <v>0.93</v>
      </c>
      <c r="CL318" s="490">
        <v>0.88</v>
      </c>
      <c r="CN318" s="489">
        <v>290</v>
      </c>
      <c r="CO318" s="490">
        <v>1</v>
      </c>
      <c r="CP318" s="490">
        <v>0.99</v>
      </c>
      <c r="CQ318" s="490">
        <v>0.96</v>
      </c>
      <c r="CR318" s="490">
        <v>0.92</v>
      </c>
      <c r="CS318" s="490">
        <v>0.87</v>
      </c>
    </row>
    <row r="319" spans="3:97" ht="15.75" thickBot="1" x14ac:dyDescent="0.3">
      <c r="C319" s="489">
        <v>40</v>
      </c>
      <c r="D319" s="490">
        <v>0.9</v>
      </c>
      <c r="E319" s="490">
        <v>0.95</v>
      </c>
      <c r="F319" s="490">
        <v>0.98</v>
      </c>
      <c r="G319" s="491">
        <v>0.98</v>
      </c>
      <c r="H319" s="490">
        <v>0.96</v>
      </c>
      <c r="I319" s="490">
        <v>0.91</v>
      </c>
      <c r="J319" s="490">
        <v>0.86</v>
      </c>
      <c r="K319" s="490">
        <v>0.78</v>
      </c>
      <c r="L319" s="490">
        <v>0.69</v>
      </c>
      <c r="M319" s="490">
        <v>0.6</v>
      </c>
      <c r="O319" s="489">
        <v>300</v>
      </c>
      <c r="P319" s="490">
        <v>1</v>
      </c>
      <c r="Q319" s="490">
        <v>0.99</v>
      </c>
      <c r="R319" s="491">
        <v>0.96</v>
      </c>
      <c r="S319" s="490">
        <v>0.91</v>
      </c>
      <c r="T319" s="490">
        <v>0.85</v>
      </c>
      <c r="V319" s="489">
        <v>300</v>
      </c>
      <c r="W319" s="490">
        <v>1</v>
      </c>
      <c r="X319" s="490">
        <v>1</v>
      </c>
      <c r="Y319" s="491">
        <v>0.99</v>
      </c>
      <c r="Z319" s="490">
        <v>0.96</v>
      </c>
      <c r="AA319" s="490">
        <v>0.91</v>
      </c>
      <c r="AC319" s="489">
        <v>300</v>
      </c>
      <c r="AD319" s="490">
        <v>1</v>
      </c>
      <c r="AE319" s="490">
        <v>1.03</v>
      </c>
      <c r="AF319" s="491">
        <v>1.04</v>
      </c>
      <c r="AG319" s="490">
        <v>1.03</v>
      </c>
      <c r="AH319" s="490">
        <v>1</v>
      </c>
      <c r="AJ319" s="489">
        <v>300</v>
      </c>
      <c r="AK319" s="490">
        <v>1</v>
      </c>
      <c r="AL319" s="490">
        <v>1.06</v>
      </c>
      <c r="AM319" s="491">
        <v>1.1000000000000001</v>
      </c>
      <c r="AN319" s="490">
        <v>1.1100000000000001</v>
      </c>
      <c r="AO319" s="490">
        <v>1.1000000000000001</v>
      </c>
      <c r="AQ319" s="489">
        <v>300</v>
      </c>
      <c r="AR319" s="490">
        <v>1</v>
      </c>
      <c r="AS319" s="490">
        <v>1.0900000000000001</v>
      </c>
      <c r="AT319" s="491">
        <v>1.1499999999999999</v>
      </c>
      <c r="AU319" s="490">
        <v>1.19</v>
      </c>
      <c r="AV319" s="490">
        <v>1.2</v>
      </c>
      <c r="AX319" s="489">
        <v>300</v>
      </c>
      <c r="AY319" s="490">
        <v>1</v>
      </c>
      <c r="AZ319" s="490">
        <v>1.1000000000000001</v>
      </c>
      <c r="BA319" s="491">
        <v>1.18</v>
      </c>
      <c r="BB319" s="490">
        <v>1.24</v>
      </c>
      <c r="BC319" s="490">
        <v>1.26</v>
      </c>
      <c r="BE319" s="489">
        <v>300</v>
      </c>
      <c r="BF319" s="490">
        <v>1</v>
      </c>
      <c r="BG319" s="490">
        <v>1.1000000000000001</v>
      </c>
      <c r="BH319" s="491">
        <v>1.17</v>
      </c>
      <c r="BI319" s="490">
        <v>1.22</v>
      </c>
      <c r="BJ319" s="490">
        <v>1.23</v>
      </c>
      <c r="BL319" s="489">
        <v>300</v>
      </c>
      <c r="BM319" s="490">
        <v>1</v>
      </c>
      <c r="BN319" s="490">
        <v>1.08</v>
      </c>
      <c r="BO319" s="491">
        <v>1.1200000000000001</v>
      </c>
      <c r="BP319" s="490">
        <v>1.1499999999999999</v>
      </c>
      <c r="BQ319" s="490">
        <v>1.1499999999999999</v>
      </c>
      <c r="BS319" s="489">
        <v>300</v>
      </c>
      <c r="BT319" s="490">
        <v>1</v>
      </c>
      <c r="BU319" s="490">
        <v>1.04</v>
      </c>
      <c r="BV319" s="491">
        <v>1.06</v>
      </c>
      <c r="BW319" s="490">
        <v>1.06</v>
      </c>
      <c r="BX319" s="490">
        <v>1.05</v>
      </c>
      <c r="BZ319" s="489">
        <v>300</v>
      </c>
      <c r="CA319" s="490">
        <v>1</v>
      </c>
      <c r="CB319" s="490">
        <v>1.02</v>
      </c>
      <c r="CC319" s="491">
        <v>1.01</v>
      </c>
      <c r="CD319" s="490">
        <v>0.99</v>
      </c>
      <c r="CE319" s="490">
        <v>0.95</v>
      </c>
      <c r="CG319" s="489">
        <v>300</v>
      </c>
      <c r="CH319" s="490">
        <v>1</v>
      </c>
      <c r="CI319" s="490">
        <v>0.99</v>
      </c>
      <c r="CJ319" s="491">
        <v>0.97</v>
      </c>
      <c r="CK319" s="490">
        <v>0.93</v>
      </c>
      <c r="CL319" s="490">
        <v>0.88</v>
      </c>
      <c r="CN319" s="489">
        <v>300</v>
      </c>
      <c r="CO319" s="490">
        <v>1</v>
      </c>
      <c r="CP319" s="490">
        <v>0.99</v>
      </c>
      <c r="CQ319" s="491">
        <v>0.96</v>
      </c>
      <c r="CR319" s="490">
        <v>0.91</v>
      </c>
      <c r="CS319" s="490">
        <v>0.85</v>
      </c>
    </row>
    <row r="320" spans="3:97" ht="15.75" thickBot="1" x14ac:dyDescent="0.3">
      <c r="C320" s="489">
        <v>50</v>
      </c>
      <c r="D320" s="490">
        <v>0.9</v>
      </c>
      <c r="E320" s="490">
        <v>0.94</v>
      </c>
      <c r="F320" s="490">
        <v>0.96</v>
      </c>
      <c r="G320" s="491">
        <v>0.96</v>
      </c>
      <c r="H320" s="490">
        <v>0.94</v>
      </c>
      <c r="I320" s="490">
        <v>0.9</v>
      </c>
      <c r="J320" s="490">
        <v>0.84</v>
      </c>
      <c r="K320" s="490">
        <v>0.77</v>
      </c>
      <c r="L320" s="490">
        <v>0.69</v>
      </c>
      <c r="M320" s="490">
        <v>0.6</v>
      </c>
      <c r="O320" s="489">
        <v>310</v>
      </c>
      <c r="P320" s="490">
        <v>1</v>
      </c>
      <c r="Q320" s="490">
        <v>0.99</v>
      </c>
      <c r="R320" s="491">
        <v>0.95</v>
      </c>
      <c r="S320" s="490">
        <v>0.9</v>
      </c>
      <c r="T320" s="490">
        <v>0.84</v>
      </c>
      <c r="V320" s="489">
        <v>310</v>
      </c>
      <c r="W320" s="490">
        <v>1</v>
      </c>
      <c r="X320" s="490">
        <v>1.01</v>
      </c>
      <c r="Y320" s="491">
        <v>1</v>
      </c>
      <c r="Z320" s="490">
        <v>0.96</v>
      </c>
      <c r="AA320" s="490">
        <v>0.91</v>
      </c>
      <c r="AC320" s="489">
        <v>310</v>
      </c>
      <c r="AD320" s="490">
        <v>1</v>
      </c>
      <c r="AE320" s="490">
        <v>1.04</v>
      </c>
      <c r="AF320" s="491">
        <v>1.06</v>
      </c>
      <c r="AG320" s="490">
        <v>1.05</v>
      </c>
      <c r="AH320" s="490">
        <v>1.03</v>
      </c>
      <c r="AJ320" s="489">
        <v>310</v>
      </c>
      <c r="AK320" s="490">
        <v>1</v>
      </c>
      <c r="AL320" s="490">
        <v>1.08</v>
      </c>
      <c r="AM320" s="491">
        <v>1.1200000000000001</v>
      </c>
      <c r="AN320" s="490">
        <v>1.1499999999999999</v>
      </c>
      <c r="AO320" s="490">
        <v>1.1499999999999999</v>
      </c>
      <c r="AQ320" s="489">
        <v>310</v>
      </c>
      <c r="AR320" s="490">
        <v>1</v>
      </c>
      <c r="AS320" s="490">
        <v>1.1100000000000001</v>
      </c>
      <c r="AT320" s="491">
        <v>1.2</v>
      </c>
      <c r="AU320" s="490">
        <v>1.25</v>
      </c>
      <c r="AV320" s="490">
        <v>1.28</v>
      </c>
      <c r="AX320" s="489">
        <v>310</v>
      </c>
      <c r="AY320" s="490">
        <v>1</v>
      </c>
      <c r="AZ320" s="490">
        <v>1.1299999999999999</v>
      </c>
      <c r="BA320" s="491">
        <v>1.23</v>
      </c>
      <c r="BB320" s="490">
        <v>1.31</v>
      </c>
      <c r="BC320" s="490">
        <v>1.35</v>
      </c>
      <c r="BE320" s="489">
        <v>310</v>
      </c>
      <c r="BF320" s="490">
        <v>1</v>
      </c>
      <c r="BG320" s="490">
        <v>1.1200000000000001</v>
      </c>
      <c r="BH320" s="491">
        <v>1.21</v>
      </c>
      <c r="BI320" s="490">
        <v>1.28</v>
      </c>
      <c r="BJ320" s="490">
        <v>1.31</v>
      </c>
      <c r="BL320" s="489">
        <v>310</v>
      </c>
      <c r="BM320" s="490">
        <v>1</v>
      </c>
      <c r="BN320" s="490">
        <v>1.0900000000000001</v>
      </c>
      <c r="BO320" s="491">
        <v>1.1599999999999999</v>
      </c>
      <c r="BP320" s="490">
        <v>1.19</v>
      </c>
      <c r="BQ320" s="490">
        <v>1.21</v>
      </c>
      <c r="BS320" s="489">
        <v>310</v>
      </c>
      <c r="BT320" s="490">
        <v>1</v>
      </c>
      <c r="BU320" s="490">
        <v>1.06</v>
      </c>
      <c r="BV320" s="491">
        <v>1.08</v>
      </c>
      <c r="BW320" s="490">
        <v>1.0900000000000001</v>
      </c>
      <c r="BX320" s="490">
        <v>1.08</v>
      </c>
      <c r="BZ320" s="489">
        <v>310</v>
      </c>
      <c r="CA320" s="490">
        <v>1</v>
      </c>
      <c r="CB320" s="490">
        <v>1.02</v>
      </c>
      <c r="CC320" s="491">
        <v>1.02</v>
      </c>
      <c r="CD320" s="490">
        <v>1</v>
      </c>
      <c r="CE320" s="490">
        <v>0.96</v>
      </c>
      <c r="CG320" s="489">
        <v>310</v>
      </c>
      <c r="CH320" s="490">
        <v>1</v>
      </c>
      <c r="CI320" s="490">
        <v>0.99</v>
      </c>
      <c r="CJ320" s="491">
        <v>0.97</v>
      </c>
      <c r="CK320" s="490">
        <v>0.93</v>
      </c>
      <c r="CL320" s="490">
        <v>0.87</v>
      </c>
      <c r="CN320" s="489">
        <v>310</v>
      </c>
      <c r="CO320" s="490">
        <v>1</v>
      </c>
      <c r="CP320" s="490">
        <v>0.99</v>
      </c>
      <c r="CQ320" s="491">
        <v>0.95</v>
      </c>
      <c r="CR320" s="490">
        <v>0.9</v>
      </c>
      <c r="CS320" s="490">
        <v>0.84</v>
      </c>
    </row>
    <row r="321" spans="3:97" ht="15.75" thickBot="1" x14ac:dyDescent="0.3">
      <c r="C321" s="489">
        <v>60</v>
      </c>
      <c r="D321" s="490">
        <v>0.9</v>
      </c>
      <c r="E321" s="490">
        <v>0.93</v>
      </c>
      <c r="F321" s="490">
        <v>0.95</v>
      </c>
      <c r="G321" s="491">
        <v>0.94</v>
      </c>
      <c r="H321" s="490">
        <v>0.92</v>
      </c>
      <c r="I321" s="490">
        <v>0.88</v>
      </c>
      <c r="J321" s="490">
        <v>0.82</v>
      </c>
      <c r="K321" s="490">
        <v>0.76</v>
      </c>
      <c r="L321" s="490">
        <v>0.68</v>
      </c>
      <c r="M321" s="490">
        <v>0.6</v>
      </c>
      <c r="O321" s="489">
        <v>320</v>
      </c>
      <c r="P321" s="490">
        <v>1</v>
      </c>
      <c r="Q321" s="490">
        <v>0.99</v>
      </c>
      <c r="R321" s="491">
        <v>0.95</v>
      </c>
      <c r="S321" s="490">
        <v>0.9</v>
      </c>
      <c r="T321" s="490">
        <v>0.83</v>
      </c>
      <c r="V321" s="489">
        <v>320</v>
      </c>
      <c r="W321" s="490">
        <v>1</v>
      </c>
      <c r="X321" s="490">
        <v>1.01</v>
      </c>
      <c r="Y321" s="491">
        <v>1</v>
      </c>
      <c r="Z321" s="490">
        <v>0.96</v>
      </c>
      <c r="AA321" s="490">
        <v>0.91</v>
      </c>
      <c r="AC321" s="489">
        <v>320</v>
      </c>
      <c r="AD321" s="490">
        <v>1</v>
      </c>
      <c r="AE321" s="490">
        <v>1.05</v>
      </c>
      <c r="AF321" s="491">
        <v>1.07</v>
      </c>
      <c r="AG321" s="490">
        <v>1.06</v>
      </c>
      <c r="AH321" s="490">
        <v>1.04</v>
      </c>
      <c r="AJ321" s="489">
        <v>320</v>
      </c>
      <c r="AK321" s="490">
        <v>1</v>
      </c>
      <c r="AL321" s="490">
        <v>1.0900000000000001</v>
      </c>
      <c r="AM321" s="491">
        <v>1.1499999999999999</v>
      </c>
      <c r="AN321" s="490">
        <v>1.18</v>
      </c>
      <c r="AO321" s="490">
        <v>1.19</v>
      </c>
      <c r="AQ321" s="489">
        <v>320</v>
      </c>
      <c r="AR321" s="490">
        <v>1</v>
      </c>
      <c r="AS321" s="490">
        <v>1.1299999999999999</v>
      </c>
      <c r="AT321" s="491">
        <v>1.23</v>
      </c>
      <c r="AU321" s="490">
        <v>1.3</v>
      </c>
      <c r="AV321" s="490">
        <v>1.34</v>
      </c>
      <c r="AX321" s="489">
        <v>320</v>
      </c>
      <c r="AY321" s="490">
        <v>1</v>
      </c>
      <c r="AZ321" s="490">
        <v>1.1499999999999999</v>
      </c>
      <c r="BA321" s="491">
        <v>1.28</v>
      </c>
      <c r="BB321" s="490">
        <v>1.37</v>
      </c>
      <c r="BC321" s="490">
        <v>1.42</v>
      </c>
      <c r="BE321" s="489">
        <v>320</v>
      </c>
      <c r="BF321" s="490">
        <v>1</v>
      </c>
      <c r="BG321" s="490">
        <v>1.1399999999999999</v>
      </c>
      <c r="BH321" s="491">
        <v>1.25</v>
      </c>
      <c r="BI321" s="490">
        <v>1.34</v>
      </c>
      <c r="BJ321" s="490">
        <v>1.39</v>
      </c>
      <c r="BL321" s="489">
        <v>320</v>
      </c>
      <c r="BM321" s="490">
        <v>1</v>
      </c>
      <c r="BN321" s="490">
        <v>1.1100000000000001</v>
      </c>
      <c r="BO321" s="491">
        <v>1.19</v>
      </c>
      <c r="BP321" s="490">
        <v>1.23</v>
      </c>
      <c r="BQ321" s="490">
        <v>1.25</v>
      </c>
      <c r="BS321" s="489">
        <v>320</v>
      </c>
      <c r="BT321" s="490">
        <v>1</v>
      </c>
      <c r="BU321" s="490">
        <v>1.06</v>
      </c>
      <c r="BV321" s="491">
        <v>1.1000000000000001</v>
      </c>
      <c r="BW321" s="490">
        <v>1.1100000000000001</v>
      </c>
      <c r="BX321" s="490">
        <v>1.1000000000000001</v>
      </c>
      <c r="BZ321" s="489">
        <v>320</v>
      </c>
      <c r="CA321" s="490">
        <v>1</v>
      </c>
      <c r="CB321" s="490">
        <v>1.02</v>
      </c>
      <c r="CC321" s="491">
        <v>1.02</v>
      </c>
      <c r="CD321" s="490">
        <v>1</v>
      </c>
      <c r="CE321" s="490">
        <v>0.96</v>
      </c>
      <c r="CG321" s="489">
        <v>320</v>
      </c>
      <c r="CH321" s="490">
        <v>1</v>
      </c>
      <c r="CI321" s="490">
        <v>0.99</v>
      </c>
      <c r="CJ321" s="491">
        <v>0.96</v>
      </c>
      <c r="CK321" s="490">
        <v>0.92</v>
      </c>
      <c r="CL321" s="490">
        <v>0.86</v>
      </c>
      <c r="CN321" s="489">
        <v>320</v>
      </c>
      <c r="CO321" s="490">
        <v>1</v>
      </c>
      <c r="CP321" s="490">
        <v>0.98</v>
      </c>
      <c r="CQ321" s="491">
        <v>0.94</v>
      </c>
      <c r="CR321" s="490">
        <v>0.89</v>
      </c>
      <c r="CS321" s="490">
        <v>0.82</v>
      </c>
    </row>
    <row r="322" spans="3:97" ht="15.75" thickBot="1" x14ac:dyDescent="0.3">
      <c r="C322" s="489">
        <v>70</v>
      </c>
      <c r="D322" s="490">
        <v>0.9</v>
      </c>
      <c r="E322" s="490">
        <v>0.93</v>
      </c>
      <c r="F322" s="490">
        <v>0.93</v>
      </c>
      <c r="G322" s="491">
        <v>0.92</v>
      </c>
      <c r="H322" s="490">
        <v>0.89</v>
      </c>
      <c r="I322" s="490">
        <v>0.85</v>
      </c>
      <c r="J322" s="490">
        <v>0.8</v>
      </c>
      <c r="K322" s="490">
        <v>0.73</v>
      </c>
      <c r="L322" s="490">
        <v>0.66</v>
      </c>
      <c r="M322" s="490">
        <v>0.59</v>
      </c>
      <c r="O322" s="489">
        <v>330</v>
      </c>
      <c r="P322" s="490">
        <v>1</v>
      </c>
      <c r="Q322" s="490">
        <v>0.98</v>
      </c>
      <c r="R322" s="491">
        <v>0.95</v>
      </c>
      <c r="S322" s="490">
        <v>0.89</v>
      </c>
      <c r="T322" s="490">
        <v>0.82</v>
      </c>
      <c r="V322" s="489">
        <v>330</v>
      </c>
      <c r="W322" s="490">
        <v>1</v>
      </c>
      <c r="X322" s="490">
        <v>1.01</v>
      </c>
      <c r="Y322" s="491">
        <v>1</v>
      </c>
      <c r="Z322" s="490">
        <v>0.97</v>
      </c>
      <c r="AA322" s="490">
        <v>0.91</v>
      </c>
      <c r="AC322" s="489">
        <v>330</v>
      </c>
      <c r="AD322" s="490">
        <v>1</v>
      </c>
      <c r="AE322" s="490">
        <v>1.05</v>
      </c>
      <c r="AF322" s="491">
        <v>1.08</v>
      </c>
      <c r="AG322" s="490">
        <v>1.08</v>
      </c>
      <c r="AH322" s="490">
        <v>1.05</v>
      </c>
      <c r="AJ322" s="489">
        <v>330</v>
      </c>
      <c r="AK322" s="490">
        <v>1</v>
      </c>
      <c r="AL322" s="490">
        <v>1.1000000000000001</v>
      </c>
      <c r="AM322" s="491">
        <v>1.17</v>
      </c>
      <c r="AN322" s="490">
        <v>1.22</v>
      </c>
      <c r="AO322" s="490">
        <v>1.22</v>
      </c>
      <c r="AQ322" s="489">
        <v>330</v>
      </c>
      <c r="AR322" s="490">
        <v>1</v>
      </c>
      <c r="AS322" s="490">
        <v>1.1499999999999999</v>
      </c>
      <c r="AT322" s="491">
        <v>1.26</v>
      </c>
      <c r="AU322" s="490">
        <v>1.34</v>
      </c>
      <c r="AV322" s="490">
        <v>1.4</v>
      </c>
      <c r="AX322" s="489">
        <v>330</v>
      </c>
      <c r="AY322" s="490">
        <v>1</v>
      </c>
      <c r="AZ322" s="490">
        <v>1.17</v>
      </c>
      <c r="BA322" s="491">
        <v>1.31</v>
      </c>
      <c r="BB322" s="490">
        <v>1.42</v>
      </c>
      <c r="BC322" s="490">
        <v>1.49</v>
      </c>
      <c r="BE322" s="489">
        <v>330</v>
      </c>
      <c r="BF322" s="490">
        <v>1</v>
      </c>
      <c r="BG322" s="490">
        <v>1.1599999999999999</v>
      </c>
      <c r="BH322" s="491">
        <v>1.29</v>
      </c>
      <c r="BI322" s="490">
        <v>1.39</v>
      </c>
      <c r="BJ322" s="490">
        <v>1.45</v>
      </c>
      <c r="BL322" s="489">
        <v>330</v>
      </c>
      <c r="BM322" s="490">
        <v>1</v>
      </c>
      <c r="BN322" s="490">
        <v>1.1200000000000001</v>
      </c>
      <c r="BO322" s="491">
        <v>1.21</v>
      </c>
      <c r="BP322" s="490">
        <v>1.27</v>
      </c>
      <c r="BQ322" s="490">
        <v>1.3</v>
      </c>
      <c r="BS322" s="489">
        <v>330</v>
      </c>
      <c r="BT322" s="490">
        <v>1</v>
      </c>
      <c r="BU322" s="490">
        <v>1.07</v>
      </c>
      <c r="BV322" s="491">
        <v>1.1100000000000001</v>
      </c>
      <c r="BW322" s="490">
        <v>1.1299999999999999</v>
      </c>
      <c r="BX322" s="490">
        <v>1.1200000000000001</v>
      </c>
      <c r="BZ322" s="489">
        <v>330</v>
      </c>
      <c r="CA322" s="490">
        <v>1</v>
      </c>
      <c r="CB322" s="490">
        <v>1.03</v>
      </c>
      <c r="CC322" s="491">
        <v>1.03</v>
      </c>
      <c r="CD322" s="490">
        <v>1.01</v>
      </c>
      <c r="CE322" s="490">
        <v>0.96</v>
      </c>
      <c r="CG322" s="489">
        <v>330</v>
      </c>
      <c r="CH322" s="490">
        <v>1</v>
      </c>
      <c r="CI322" s="490">
        <v>0.99</v>
      </c>
      <c r="CJ322" s="491">
        <v>0.96</v>
      </c>
      <c r="CK322" s="490">
        <v>0.91</v>
      </c>
      <c r="CL322" s="490">
        <v>0.85</v>
      </c>
      <c r="CN322" s="489">
        <v>330</v>
      </c>
      <c r="CO322" s="490">
        <v>1</v>
      </c>
      <c r="CP322" s="490">
        <v>0.98</v>
      </c>
      <c r="CQ322" s="491">
        <v>0.94</v>
      </c>
      <c r="CR322" s="490">
        <v>0.88</v>
      </c>
      <c r="CS322" s="490">
        <v>0.8</v>
      </c>
    </row>
    <row r="323" spans="3:97" ht="15.75" thickBot="1" x14ac:dyDescent="0.3">
      <c r="C323" s="489">
        <v>80</v>
      </c>
      <c r="D323" s="490">
        <v>0.9</v>
      </c>
      <c r="E323" s="490">
        <v>0.92</v>
      </c>
      <c r="F323" s="490">
        <v>0.91</v>
      </c>
      <c r="G323" s="491">
        <v>0.9</v>
      </c>
      <c r="H323" s="490">
        <v>0.87</v>
      </c>
      <c r="I323" s="490">
        <v>0.82</v>
      </c>
      <c r="J323" s="490">
        <v>0.77</v>
      </c>
      <c r="K323" s="490">
        <v>0.71</v>
      </c>
      <c r="L323" s="490">
        <v>0.64</v>
      </c>
      <c r="M323" s="490">
        <v>0.56999999999999995</v>
      </c>
      <c r="O323" s="489">
        <v>340</v>
      </c>
      <c r="P323" s="490">
        <v>1</v>
      </c>
      <c r="Q323" s="490">
        <v>0.98</v>
      </c>
      <c r="R323" s="491">
        <v>0.94</v>
      </c>
      <c r="S323" s="490">
        <v>0.89</v>
      </c>
      <c r="T323" s="490">
        <v>0.81</v>
      </c>
      <c r="V323" s="489">
        <v>340</v>
      </c>
      <c r="W323" s="490">
        <v>1</v>
      </c>
      <c r="X323" s="490">
        <v>1.01</v>
      </c>
      <c r="Y323" s="491">
        <v>1</v>
      </c>
      <c r="Z323" s="490">
        <v>0.97</v>
      </c>
      <c r="AA323" s="490">
        <v>0.91</v>
      </c>
      <c r="AC323" s="489">
        <v>340</v>
      </c>
      <c r="AD323" s="490">
        <v>1</v>
      </c>
      <c r="AE323" s="490">
        <v>1.06</v>
      </c>
      <c r="AF323" s="491">
        <v>1.08</v>
      </c>
      <c r="AG323" s="490">
        <v>1.0900000000000001</v>
      </c>
      <c r="AH323" s="490">
        <v>1.06</v>
      </c>
      <c r="AJ323" s="489">
        <v>340</v>
      </c>
      <c r="AK323" s="490">
        <v>1</v>
      </c>
      <c r="AL323" s="490">
        <v>1.1100000000000001</v>
      </c>
      <c r="AM323" s="491">
        <v>1.19</v>
      </c>
      <c r="AN323" s="490">
        <v>1.23</v>
      </c>
      <c r="AO323" s="490">
        <v>1.25</v>
      </c>
      <c r="AQ323" s="489">
        <v>340</v>
      </c>
      <c r="AR323" s="490">
        <v>1</v>
      </c>
      <c r="AS323" s="490">
        <v>1.1599999999999999</v>
      </c>
      <c r="AT323" s="491">
        <v>1.29</v>
      </c>
      <c r="AU323" s="490">
        <v>1.38</v>
      </c>
      <c r="AV323" s="490">
        <v>1.44</v>
      </c>
      <c r="AX323" s="489">
        <v>340</v>
      </c>
      <c r="AY323" s="490">
        <v>1</v>
      </c>
      <c r="AZ323" s="490">
        <v>1.19</v>
      </c>
      <c r="BA323" s="491">
        <v>1.34</v>
      </c>
      <c r="BB323" s="490">
        <v>1.46</v>
      </c>
      <c r="BC323" s="490">
        <v>1.54</v>
      </c>
      <c r="BE323" s="489">
        <v>340</v>
      </c>
      <c r="BF323" s="490">
        <v>1</v>
      </c>
      <c r="BG323" s="490">
        <v>1.17</v>
      </c>
      <c r="BH323" s="491">
        <v>1.31</v>
      </c>
      <c r="BI323" s="490">
        <v>1.42</v>
      </c>
      <c r="BJ323" s="490">
        <v>1.49</v>
      </c>
      <c r="BL323" s="489">
        <v>340</v>
      </c>
      <c r="BM323" s="490">
        <v>1</v>
      </c>
      <c r="BN323" s="490">
        <v>1.1299999999999999</v>
      </c>
      <c r="BO323" s="491">
        <v>1.23</v>
      </c>
      <c r="BP323" s="490">
        <v>1.3</v>
      </c>
      <c r="BQ323" s="490">
        <v>1.33</v>
      </c>
      <c r="BS323" s="489">
        <v>340</v>
      </c>
      <c r="BT323" s="490">
        <v>1</v>
      </c>
      <c r="BU323" s="490">
        <v>1.08</v>
      </c>
      <c r="BV323" s="491">
        <v>1.1200000000000001</v>
      </c>
      <c r="BW323" s="490">
        <v>1.1399999999999999</v>
      </c>
      <c r="BX323" s="490">
        <v>1.1399999999999999</v>
      </c>
      <c r="BZ323" s="489">
        <v>340</v>
      </c>
      <c r="CA323" s="490">
        <v>1</v>
      </c>
      <c r="CB323" s="490">
        <v>1.03</v>
      </c>
      <c r="CC323" s="491">
        <v>1.03</v>
      </c>
      <c r="CD323" s="490">
        <v>1.01</v>
      </c>
      <c r="CE323" s="490">
        <v>0.97</v>
      </c>
      <c r="CG323" s="489">
        <v>340</v>
      </c>
      <c r="CH323" s="490">
        <v>1</v>
      </c>
      <c r="CI323" s="490">
        <v>0.99</v>
      </c>
      <c r="CJ323" s="491">
        <v>0.96</v>
      </c>
      <c r="CK323" s="490">
        <v>0.91</v>
      </c>
      <c r="CL323" s="490">
        <v>0.84</v>
      </c>
      <c r="CN323" s="489">
        <v>340</v>
      </c>
      <c r="CO323" s="490">
        <v>1</v>
      </c>
      <c r="CP323" s="490">
        <v>0.98</v>
      </c>
      <c r="CQ323" s="491">
        <v>0.94</v>
      </c>
      <c r="CR323" s="490">
        <v>0.87</v>
      </c>
      <c r="CS323" s="490">
        <v>0.79</v>
      </c>
    </row>
    <row r="324" spans="3:97" ht="15.75" thickBot="1" x14ac:dyDescent="0.3">
      <c r="C324" s="489">
        <v>90</v>
      </c>
      <c r="D324" s="490">
        <v>0.9</v>
      </c>
      <c r="E324" s="490">
        <v>0.91</v>
      </c>
      <c r="F324" s="490">
        <v>0.9</v>
      </c>
      <c r="G324" s="491">
        <v>0.87</v>
      </c>
      <c r="H324" s="490">
        <v>0.84</v>
      </c>
      <c r="I324" s="490">
        <v>0.79</v>
      </c>
      <c r="J324" s="490">
        <v>0.73</v>
      </c>
      <c r="K324" s="490">
        <v>0.67</v>
      </c>
      <c r="L324" s="490">
        <v>0.61</v>
      </c>
      <c r="M324" s="490">
        <v>0.54</v>
      </c>
      <c r="O324" s="489">
        <v>350</v>
      </c>
      <c r="P324" s="490">
        <v>1</v>
      </c>
      <c r="Q324" s="490">
        <v>0.99</v>
      </c>
      <c r="R324" s="491">
        <v>0.94</v>
      </c>
      <c r="S324" s="490">
        <v>0.88</v>
      </c>
      <c r="T324" s="490">
        <v>0.8</v>
      </c>
      <c r="V324" s="489">
        <v>350</v>
      </c>
      <c r="W324" s="490">
        <v>1</v>
      </c>
      <c r="X324" s="490">
        <v>1.01</v>
      </c>
      <c r="Y324" s="491">
        <v>1</v>
      </c>
      <c r="Z324" s="490">
        <v>0.97</v>
      </c>
      <c r="AA324" s="490">
        <v>0.91</v>
      </c>
      <c r="AC324" s="489">
        <v>350</v>
      </c>
      <c r="AD324" s="490">
        <v>1</v>
      </c>
      <c r="AE324" s="490">
        <v>1.06</v>
      </c>
      <c r="AF324" s="491">
        <v>1.0900000000000001</v>
      </c>
      <c r="AG324" s="490">
        <v>1.0900000000000001</v>
      </c>
      <c r="AH324" s="490">
        <v>1.07</v>
      </c>
      <c r="AJ324" s="489">
        <v>350</v>
      </c>
      <c r="AK324" s="490">
        <v>1</v>
      </c>
      <c r="AL324" s="490">
        <v>1.1100000000000001</v>
      </c>
      <c r="AM324" s="491">
        <v>1.2</v>
      </c>
      <c r="AN324" s="490">
        <v>1.25</v>
      </c>
      <c r="AO324" s="490">
        <v>1.27</v>
      </c>
      <c r="AQ324" s="489">
        <v>350</v>
      </c>
      <c r="AR324" s="490">
        <v>1</v>
      </c>
      <c r="AS324" s="490">
        <v>1.17</v>
      </c>
      <c r="AT324" s="491">
        <v>1.3</v>
      </c>
      <c r="AU324" s="490">
        <v>1.4</v>
      </c>
      <c r="AV324" s="490">
        <v>1.47</v>
      </c>
      <c r="AX324" s="489">
        <v>350</v>
      </c>
      <c r="AY324" s="490">
        <v>1</v>
      </c>
      <c r="AZ324" s="490">
        <v>1.19</v>
      </c>
      <c r="BA324" s="491">
        <v>1.36</v>
      </c>
      <c r="BB324" s="490">
        <v>1.49</v>
      </c>
      <c r="BC324" s="490">
        <v>1.57</v>
      </c>
      <c r="BE324" s="489">
        <v>350</v>
      </c>
      <c r="BF324" s="490">
        <v>1</v>
      </c>
      <c r="BG324" s="490">
        <v>1.18</v>
      </c>
      <c r="BH324" s="491">
        <v>1.33</v>
      </c>
      <c r="BI324" s="490">
        <v>1.45</v>
      </c>
      <c r="BJ324" s="490">
        <v>1.52</v>
      </c>
      <c r="BL324" s="489">
        <v>350</v>
      </c>
      <c r="BM324" s="490">
        <v>1</v>
      </c>
      <c r="BN324" s="490">
        <v>1.1399999999999999</v>
      </c>
      <c r="BO324" s="491">
        <v>1.24</v>
      </c>
      <c r="BP324" s="490">
        <v>1.31</v>
      </c>
      <c r="BQ324" s="490">
        <v>1.35</v>
      </c>
      <c r="BS324" s="489">
        <v>350</v>
      </c>
      <c r="BT324" s="490">
        <v>1</v>
      </c>
      <c r="BU324" s="490">
        <v>1.08</v>
      </c>
      <c r="BV324" s="491">
        <v>1.1299999999999999</v>
      </c>
      <c r="BW324" s="490">
        <v>1.1499999999999999</v>
      </c>
      <c r="BX324" s="490">
        <v>1.1399999999999999</v>
      </c>
      <c r="BZ324" s="489">
        <v>350</v>
      </c>
      <c r="CA324" s="490">
        <v>1</v>
      </c>
      <c r="CB324" s="490">
        <v>1.03</v>
      </c>
      <c r="CC324" s="491">
        <v>1.03</v>
      </c>
      <c r="CD324" s="490">
        <v>1.01</v>
      </c>
      <c r="CE324" s="490">
        <v>0.96</v>
      </c>
      <c r="CG324" s="489">
        <v>350</v>
      </c>
      <c r="CH324" s="490">
        <v>1</v>
      </c>
      <c r="CI324" s="490">
        <v>0.99</v>
      </c>
      <c r="CJ324" s="491">
        <v>0.96</v>
      </c>
      <c r="CK324" s="490">
        <v>0.91</v>
      </c>
      <c r="CL324" s="490">
        <v>0.84</v>
      </c>
      <c r="CN324" s="489">
        <v>350</v>
      </c>
      <c r="CO324" s="490">
        <v>1</v>
      </c>
      <c r="CP324" s="490">
        <v>0.98</v>
      </c>
      <c r="CQ324" s="491">
        <v>0.94</v>
      </c>
      <c r="CR324" s="490">
        <v>0.87</v>
      </c>
      <c r="CS324" s="490">
        <v>0.78</v>
      </c>
    </row>
    <row r="325" spans="3:97" ht="15.75" thickBot="1" x14ac:dyDescent="0.3">
      <c r="C325" s="489">
        <v>100</v>
      </c>
      <c r="D325" s="490">
        <v>0.9</v>
      </c>
      <c r="E325" s="490">
        <v>0.9</v>
      </c>
      <c r="F325" s="490">
        <v>0.88</v>
      </c>
      <c r="G325" s="491">
        <v>0.84</v>
      </c>
      <c r="H325" s="490">
        <v>0.8</v>
      </c>
      <c r="I325" s="490">
        <v>0.75</v>
      </c>
      <c r="J325" s="490">
        <v>0.69</v>
      </c>
      <c r="K325" s="490">
        <v>0.63</v>
      </c>
      <c r="L325" s="490">
        <v>0.56999999999999995</v>
      </c>
      <c r="M325" s="490">
        <v>0.51</v>
      </c>
      <c r="O325" s="489">
        <v>0</v>
      </c>
      <c r="P325" s="490">
        <v>1</v>
      </c>
      <c r="Q325" s="490">
        <v>0.99</v>
      </c>
      <c r="R325" s="491">
        <v>0.95</v>
      </c>
      <c r="S325" s="490">
        <v>0.89</v>
      </c>
      <c r="T325" s="490">
        <v>0.81</v>
      </c>
      <c r="V325" s="489">
        <v>0</v>
      </c>
      <c r="W325" s="490">
        <v>1</v>
      </c>
      <c r="X325" s="490">
        <v>1.01</v>
      </c>
      <c r="Y325" s="491">
        <v>1</v>
      </c>
      <c r="Z325" s="490">
        <v>0.97</v>
      </c>
      <c r="AA325" s="490">
        <v>0.91</v>
      </c>
      <c r="AC325" s="489">
        <v>0</v>
      </c>
      <c r="AD325" s="490">
        <v>1</v>
      </c>
      <c r="AE325" s="490">
        <v>1.06</v>
      </c>
      <c r="AF325" s="491">
        <v>1.0900000000000001</v>
      </c>
      <c r="AG325" s="490">
        <v>1.1000000000000001</v>
      </c>
      <c r="AH325" s="490">
        <v>1.07</v>
      </c>
      <c r="AJ325" s="489">
        <v>0</v>
      </c>
      <c r="AK325" s="490">
        <v>1</v>
      </c>
      <c r="AL325" s="490">
        <v>1.1100000000000001</v>
      </c>
      <c r="AM325" s="491">
        <v>1.2</v>
      </c>
      <c r="AN325" s="490">
        <v>1.26</v>
      </c>
      <c r="AO325" s="490">
        <v>1.28</v>
      </c>
      <c r="AQ325" s="489">
        <v>0</v>
      </c>
      <c r="AR325" s="490">
        <v>1</v>
      </c>
      <c r="AS325" s="490">
        <v>1.17</v>
      </c>
      <c r="AT325" s="491">
        <v>1.3</v>
      </c>
      <c r="AU325" s="490">
        <v>1.41</v>
      </c>
      <c r="AV325" s="490">
        <v>1.47</v>
      </c>
      <c r="AX325" s="489">
        <v>0</v>
      </c>
      <c r="AY325" s="490">
        <v>1</v>
      </c>
      <c r="AZ325" s="490">
        <v>1.2</v>
      </c>
      <c r="BA325" s="491">
        <v>1.37</v>
      </c>
      <c r="BB325" s="490">
        <v>1.49</v>
      </c>
      <c r="BC325" s="490">
        <v>1.58</v>
      </c>
      <c r="BE325" s="489">
        <v>0</v>
      </c>
      <c r="BF325" s="490">
        <v>1</v>
      </c>
      <c r="BG325" s="490">
        <v>1.18</v>
      </c>
      <c r="BH325" s="491">
        <v>1.33</v>
      </c>
      <c r="BI325" s="490">
        <v>1.45</v>
      </c>
      <c r="BJ325" s="490">
        <v>1.53</v>
      </c>
      <c r="BL325" s="489">
        <v>0</v>
      </c>
      <c r="BM325" s="490">
        <v>1</v>
      </c>
      <c r="BN325" s="490">
        <v>1.1399999999999999</v>
      </c>
      <c r="BO325" s="491">
        <v>1.24</v>
      </c>
      <c r="BP325" s="490">
        <v>1.32</v>
      </c>
      <c r="BQ325" s="490">
        <v>1.36</v>
      </c>
      <c r="BS325" s="489">
        <v>0</v>
      </c>
      <c r="BT325" s="490">
        <v>1</v>
      </c>
      <c r="BU325" s="490">
        <v>1.08</v>
      </c>
      <c r="BV325" s="491">
        <v>1.1299999999999999</v>
      </c>
      <c r="BW325" s="490">
        <v>1.1499999999999999</v>
      </c>
      <c r="BX325" s="490">
        <v>1.1499999999999999</v>
      </c>
      <c r="BZ325" s="489">
        <v>0</v>
      </c>
      <c r="CA325" s="490">
        <v>1</v>
      </c>
      <c r="CB325" s="490">
        <v>1.03</v>
      </c>
      <c r="CC325" s="491">
        <v>1.03</v>
      </c>
      <c r="CD325" s="490">
        <v>1.01</v>
      </c>
      <c r="CE325" s="490">
        <v>0.96</v>
      </c>
      <c r="CG325" s="489">
        <v>0</v>
      </c>
      <c r="CH325" s="490">
        <v>1</v>
      </c>
      <c r="CI325" s="490">
        <v>0.99</v>
      </c>
      <c r="CJ325" s="491">
        <v>0.96</v>
      </c>
      <c r="CK325" s="490">
        <v>0.91</v>
      </c>
      <c r="CL325" s="490">
        <v>0.83</v>
      </c>
      <c r="CN325" s="489">
        <v>0</v>
      </c>
      <c r="CO325" s="490">
        <v>1</v>
      </c>
      <c r="CP325" s="490">
        <v>0.98</v>
      </c>
      <c r="CQ325" s="491">
        <v>0.94</v>
      </c>
      <c r="CR325" s="490">
        <v>0.87</v>
      </c>
      <c r="CS325" s="490">
        <v>0.78</v>
      </c>
    </row>
    <row r="326" spans="3:97" ht="15.75" thickBot="1" x14ac:dyDescent="0.3">
      <c r="C326" s="489">
        <v>110</v>
      </c>
      <c r="D326" s="490">
        <v>0.9</v>
      </c>
      <c r="E326" s="490">
        <v>0.89</v>
      </c>
      <c r="F326" s="490">
        <v>0.86</v>
      </c>
      <c r="G326" s="491">
        <v>0.82</v>
      </c>
      <c r="H326" s="490">
        <v>0.76</v>
      </c>
      <c r="I326" s="490">
        <v>0.71</v>
      </c>
      <c r="J326" s="490">
        <v>0.65</v>
      </c>
      <c r="K326" s="490">
        <v>0.59</v>
      </c>
      <c r="L326" s="490">
        <v>0.53</v>
      </c>
      <c r="M326" s="490">
        <v>0.47</v>
      </c>
      <c r="O326" s="489">
        <v>10</v>
      </c>
      <c r="P326" s="490">
        <v>1</v>
      </c>
      <c r="Q326" s="490">
        <v>0.99</v>
      </c>
      <c r="R326" s="491">
        <v>0.95</v>
      </c>
      <c r="S326" s="490">
        <v>0.89</v>
      </c>
      <c r="T326" s="490">
        <v>0.81</v>
      </c>
      <c r="V326" s="489">
        <v>10</v>
      </c>
      <c r="W326" s="490">
        <v>1</v>
      </c>
      <c r="X326" s="490">
        <v>1.01</v>
      </c>
      <c r="Y326" s="491">
        <v>1.01</v>
      </c>
      <c r="Z326" s="490">
        <v>0.97</v>
      </c>
      <c r="AA326" s="490">
        <v>0.91</v>
      </c>
      <c r="AC326" s="489">
        <v>10</v>
      </c>
      <c r="AD326" s="490">
        <v>1</v>
      </c>
      <c r="AE326" s="490">
        <v>1.06</v>
      </c>
      <c r="AF326" s="491">
        <v>1.0900000000000001</v>
      </c>
      <c r="AG326" s="490">
        <v>1.1000000000000001</v>
      </c>
      <c r="AH326" s="490">
        <v>1.07</v>
      </c>
      <c r="AJ326" s="489">
        <v>10</v>
      </c>
      <c r="AK326" s="490">
        <v>1</v>
      </c>
      <c r="AL326" s="490">
        <v>1.1100000000000001</v>
      </c>
      <c r="AM326" s="491">
        <v>1.2</v>
      </c>
      <c r="AN326" s="490">
        <v>1.25</v>
      </c>
      <c r="AO326" s="490">
        <v>1.27</v>
      </c>
      <c r="AQ326" s="489">
        <v>10</v>
      </c>
      <c r="AR326" s="490">
        <v>1</v>
      </c>
      <c r="AS326" s="490">
        <v>1.17</v>
      </c>
      <c r="AT326" s="491">
        <v>1.3</v>
      </c>
      <c r="AU326" s="490">
        <v>1.4</v>
      </c>
      <c r="AV326" s="490">
        <v>1.47</v>
      </c>
      <c r="AX326" s="489">
        <v>10</v>
      </c>
      <c r="AY326" s="490">
        <v>1</v>
      </c>
      <c r="AZ326" s="490">
        <v>1.19</v>
      </c>
      <c r="BA326" s="491">
        <v>1.36</v>
      </c>
      <c r="BB326" s="490">
        <v>1.48</v>
      </c>
      <c r="BC326" s="490">
        <v>1.57</v>
      </c>
      <c r="BE326" s="489">
        <v>10</v>
      </c>
      <c r="BF326" s="490">
        <v>1</v>
      </c>
      <c r="BG326" s="490">
        <v>1.17</v>
      </c>
      <c r="BH326" s="491">
        <v>1.33</v>
      </c>
      <c r="BI326" s="490">
        <v>1.44</v>
      </c>
      <c r="BJ326" s="490">
        <v>1.52</v>
      </c>
      <c r="BL326" s="489">
        <v>10</v>
      </c>
      <c r="BM326" s="490">
        <v>1</v>
      </c>
      <c r="BN326" s="490">
        <v>1.1399999999999999</v>
      </c>
      <c r="BO326" s="491">
        <v>1.24</v>
      </c>
      <c r="BP326" s="490">
        <v>1.31</v>
      </c>
      <c r="BQ326" s="490">
        <v>1.35</v>
      </c>
      <c r="BS326" s="489">
        <v>10</v>
      </c>
      <c r="BT326" s="490">
        <v>1</v>
      </c>
      <c r="BU326" s="490">
        <v>1.08</v>
      </c>
      <c r="BV326" s="491">
        <v>1.1299999999999999</v>
      </c>
      <c r="BW326" s="490">
        <v>1.1499999999999999</v>
      </c>
      <c r="BX326" s="490">
        <v>1.1399999999999999</v>
      </c>
      <c r="BZ326" s="489">
        <v>10</v>
      </c>
      <c r="CA326" s="490">
        <v>1</v>
      </c>
      <c r="CB326" s="490">
        <v>1.03</v>
      </c>
      <c r="CC326" s="491">
        <v>1.03</v>
      </c>
      <c r="CD326" s="490">
        <v>1.01</v>
      </c>
      <c r="CE326" s="490">
        <v>0.97</v>
      </c>
      <c r="CG326" s="489">
        <v>10</v>
      </c>
      <c r="CH326" s="490">
        <v>1</v>
      </c>
      <c r="CI326" s="490">
        <v>0.99</v>
      </c>
      <c r="CJ326" s="491">
        <v>0.96</v>
      </c>
      <c r="CK326" s="490">
        <v>0.91</v>
      </c>
      <c r="CL326" s="490">
        <v>0.84</v>
      </c>
      <c r="CN326" s="489">
        <v>10</v>
      </c>
      <c r="CO326" s="490">
        <v>1</v>
      </c>
      <c r="CP326" s="490">
        <v>0.98</v>
      </c>
      <c r="CQ326" s="491">
        <v>0.94</v>
      </c>
      <c r="CR326" s="490">
        <v>0.87</v>
      </c>
      <c r="CS326" s="490">
        <v>0.79</v>
      </c>
    </row>
    <row r="327" spans="3:97" ht="15.75" thickBot="1" x14ac:dyDescent="0.3">
      <c r="C327" s="489">
        <v>120</v>
      </c>
      <c r="D327" s="490">
        <v>0.9</v>
      </c>
      <c r="E327" s="490">
        <v>0.88</v>
      </c>
      <c r="F327" s="490">
        <v>0.84</v>
      </c>
      <c r="G327" s="491">
        <v>0.79</v>
      </c>
      <c r="H327" s="490">
        <v>0.73</v>
      </c>
      <c r="I327" s="490">
        <v>0.67</v>
      </c>
      <c r="J327" s="490">
        <v>0.6</v>
      </c>
      <c r="K327" s="490">
        <v>0.54</v>
      </c>
      <c r="L327" s="490">
        <v>0.48</v>
      </c>
      <c r="M327" s="490">
        <v>0.42</v>
      </c>
      <c r="O327" s="489">
        <v>20</v>
      </c>
      <c r="P327" s="490">
        <v>1</v>
      </c>
      <c r="Q327" s="490">
        <v>0.99</v>
      </c>
      <c r="R327" s="491">
        <v>0.95</v>
      </c>
      <c r="S327" s="490">
        <v>0.9</v>
      </c>
      <c r="T327" s="490">
        <v>0.83</v>
      </c>
      <c r="V327" s="489">
        <v>20</v>
      </c>
      <c r="W327" s="490">
        <v>1</v>
      </c>
      <c r="X327" s="490">
        <v>1.01</v>
      </c>
      <c r="Y327" s="491">
        <v>1.01</v>
      </c>
      <c r="Z327" s="490">
        <v>0.97</v>
      </c>
      <c r="AA327" s="490">
        <v>0.92</v>
      </c>
      <c r="AC327" s="489">
        <v>20</v>
      </c>
      <c r="AD327" s="490">
        <v>1</v>
      </c>
      <c r="AE327" s="490">
        <v>1.06</v>
      </c>
      <c r="AF327" s="491">
        <v>1.0900000000000001</v>
      </c>
      <c r="AG327" s="490">
        <v>1.0900000000000001</v>
      </c>
      <c r="AH327" s="490">
        <v>1.07</v>
      </c>
      <c r="AJ327" s="489">
        <v>20</v>
      </c>
      <c r="AK327" s="490">
        <v>1</v>
      </c>
      <c r="AL327" s="490">
        <v>1.1100000000000001</v>
      </c>
      <c r="AM327" s="491">
        <v>1.19</v>
      </c>
      <c r="AN327" s="490">
        <v>1.24</v>
      </c>
      <c r="AO327" s="490">
        <v>1.25</v>
      </c>
      <c r="AQ327" s="489">
        <v>20</v>
      </c>
      <c r="AR327" s="490">
        <v>1</v>
      </c>
      <c r="AS327" s="490">
        <v>1.1599999999999999</v>
      </c>
      <c r="AT327" s="491">
        <v>1.29</v>
      </c>
      <c r="AU327" s="490">
        <v>1.38</v>
      </c>
      <c r="AV327" s="490">
        <v>1.44</v>
      </c>
      <c r="AX327" s="489">
        <v>20</v>
      </c>
      <c r="AY327" s="490">
        <v>1</v>
      </c>
      <c r="AZ327" s="490">
        <v>1.19</v>
      </c>
      <c r="BA327" s="491">
        <v>1.34</v>
      </c>
      <c r="BB327" s="490">
        <v>1.46</v>
      </c>
      <c r="BC327" s="490">
        <v>1.53</v>
      </c>
      <c r="BE327" s="489">
        <v>20</v>
      </c>
      <c r="BF327" s="490">
        <v>1</v>
      </c>
      <c r="BG327" s="490">
        <v>1.17</v>
      </c>
      <c r="BH327" s="491">
        <v>1.31</v>
      </c>
      <c r="BI327" s="490">
        <v>1.42</v>
      </c>
      <c r="BJ327" s="490">
        <v>1.48</v>
      </c>
      <c r="BL327" s="489">
        <v>20</v>
      </c>
      <c r="BM327" s="490">
        <v>1</v>
      </c>
      <c r="BN327" s="490">
        <v>1.1299999999999999</v>
      </c>
      <c r="BO327" s="491">
        <v>1.23</v>
      </c>
      <c r="BP327" s="490">
        <v>1.29</v>
      </c>
      <c r="BQ327" s="490">
        <v>1.32</v>
      </c>
      <c r="BS327" s="489">
        <v>20</v>
      </c>
      <c r="BT327" s="490">
        <v>1</v>
      </c>
      <c r="BU327" s="490">
        <v>1.07</v>
      </c>
      <c r="BV327" s="491">
        <v>1.1200000000000001</v>
      </c>
      <c r="BW327" s="490">
        <v>1.1399999999999999</v>
      </c>
      <c r="BX327" s="490">
        <v>1.1299999999999999</v>
      </c>
      <c r="BZ327" s="489">
        <v>20</v>
      </c>
      <c r="CA327" s="490">
        <v>1</v>
      </c>
      <c r="CB327" s="490">
        <v>1.03</v>
      </c>
      <c r="CC327" s="491">
        <v>1.03</v>
      </c>
      <c r="CD327" s="490">
        <v>1.01</v>
      </c>
      <c r="CE327" s="490">
        <v>0.97</v>
      </c>
      <c r="CG327" s="489">
        <v>20</v>
      </c>
      <c r="CH327" s="490">
        <v>1</v>
      </c>
      <c r="CI327" s="490">
        <v>1</v>
      </c>
      <c r="CJ327" s="491">
        <v>0.97</v>
      </c>
      <c r="CK327" s="490">
        <v>0.92</v>
      </c>
      <c r="CL327" s="490">
        <v>0.85</v>
      </c>
      <c r="CN327" s="489">
        <v>20</v>
      </c>
      <c r="CO327" s="490">
        <v>1</v>
      </c>
      <c r="CP327" s="490">
        <v>0.98</v>
      </c>
      <c r="CQ327" s="491">
        <v>0.94</v>
      </c>
      <c r="CR327" s="490">
        <v>0.88</v>
      </c>
      <c r="CS327" s="490">
        <v>0.8</v>
      </c>
    </row>
    <row r="328" spans="3:97" ht="15.75" thickBot="1" x14ac:dyDescent="0.3">
      <c r="C328" s="489">
        <v>130</v>
      </c>
      <c r="D328" s="490">
        <v>0.9</v>
      </c>
      <c r="E328" s="490">
        <v>0.87</v>
      </c>
      <c r="F328" s="490">
        <v>0.82</v>
      </c>
      <c r="G328" s="491">
        <v>0.76</v>
      </c>
      <c r="H328" s="490">
        <v>0.69</v>
      </c>
      <c r="I328" s="490">
        <v>0.62</v>
      </c>
      <c r="J328" s="490">
        <v>0.55000000000000004</v>
      </c>
      <c r="K328" s="490">
        <v>0.49</v>
      </c>
      <c r="L328" s="490">
        <v>0.43</v>
      </c>
      <c r="M328" s="490">
        <v>0.38</v>
      </c>
      <c r="O328" s="489">
        <v>30</v>
      </c>
      <c r="P328" s="490">
        <v>1</v>
      </c>
      <c r="Q328" s="490">
        <v>0.99</v>
      </c>
      <c r="R328" s="491">
        <v>0.96</v>
      </c>
      <c r="S328" s="490">
        <v>0.91</v>
      </c>
      <c r="T328" s="490">
        <v>0.84</v>
      </c>
      <c r="V328" s="489">
        <v>30</v>
      </c>
      <c r="W328" s="490">
        <v>1</v>
      </c>
      <c r="X328" s="490">
        <v>1.01</v>
      </c>
      <c r="Y328" s="491">
        <v>1.01</v>
      </c>
      <c r="Z328" s="490">
        <v>0.98</v>
      </c>
      <c r="AA328" s="490">
        <v>0.93</v>
      </c>
      <c r="AC328" s="489">
        <v>30</v>
      </c>
      <c r="AD328" s="490">
        <v>1</v>
      </c>
      <c r="AE328" s="490">
        <v>1.06</v>
      </c>
      <c r="AF328" s="491">
        <v>1.08</v>
      </c>
      <c r="AG328" s="490">
        <v>1.08</v>
      </c>
      <c r="AH328" s="490">
        <v>1.06</v>
      </c>
      <c r="AJ328" s="489">
        <v>30</v>
      </c>
      <c r="AK328" s="490">
        <v>1</v>
      </c>
      <c r="AL328" s="490">
        <v>1.1000000000000001</v>
      </c>
      <c r="AM328" s="491">
        <v>1.17</v>
      </c>
      <c r="AN328" s="490">
        <v>1.22</v>
      </c>
      <c r="AO328" s="490">
        <v>1.23</v>
      </c>
      <c r="AQ328" s="489">
        <v>30</v>
      </c>
      <c r="AR328" s="490">
        <v>1</v>
      </c>
      <c r="AS328" s="490">
        <v>1.1399999999999999</v>
      </c>
      <c r="AT328" s="491">
        <v>1.26</v>
      </c>
      <c r="AU328" s="490">
        <v>1.34</v>
      </c>
      <c r="AV328" s="490">
        <v>1.39</v>
      </c>
      <c r="AX328" s="489">
        <v>30</v>
      </c>
      <c r="AY328" s="490">
        <v>1</v>
      </c>
      <c r="AZ328" s="490">
        <v>1.17</v>
      </c>
      <c r="BA328" s="491">
        <v>1.31</v>
      </c>
      <c r="BB328" s="490">
        <v>1.42</v>
      </c>
      <c r="BC328" s="490">
        <v>1.48</v>
      </c>
      <c r="BE328" s="489">
        <v>30</v>
      </c>
      <c r="BF328" s="490">
        <v>1</v>
      </c>
      <c r="BG328" s="490">
        <v>1.1599999999999999</v>
      </c>
      <c r="BH328" s="491">
        <v>1.28</v>
      </c>
      <c r="BI328" s="490">
        <v>1.37</v>
      </c>
      <c r="BJ328" s="490">
        <v>1.43</v>
      </c>
      <c r="BL328" s="489">
        <v>30</v>
      </c>
      <c r="BM328" s="490">
        <v>1</v>
      </c>
      <c r="BN328" s="490">
        <v>1.1200000000000001</v>
      </c>
      <c r="BO328" s="491">
        <v>1.21</v>
      </c>
      <c r="BP328" s="490">
        <v>1.26</v>
      </c>
      <c r="BQ328" s="490">
        <v>1.29</v>
      </c>
      <c r="BS328" s="489">
        <v>30</v>
      </c>
      <c r="BT328" s="490">
        <v>1</v>
      </c>
      <c r="BU328" s="490">
        <v>1.07</v>
      </c>
      <c r="BV328" s="491">
        <v>1.1100000000000001</v>
      </c>
      <c r="BW328" s="490">
        <v>1.1299999999999999</v>
      </c>
      <c r="BX328" s="490">
        <v>1.1100000000000001</v>
      </c>
      <c r="BZ328" s="489">
        <v>30</v>
      </c>
      <c r="CA328" s="490">
        <v>1</v>
      </c>
      <c r="CB328" s="490">
        <v>1.03</v>
      </c>
      <c r="CC328" s="491">
        <v>1.03</v>
      </c>
      <c r="CD328" s="490">
        <v>1.01</v>
      </c>
      <c r="CE328" s="490">
        <v>0.97</v>
      </c>
      <c r="CG328" s="489">
        <v>30</v>
      </c>
      <c r="CH328" s="490">
        <v>1</v>
      </c>
      <c r="CI328" s="490">
        <v>1</v>
      </c>
      <c r="CJ328" s="491">
        <v>0.97</v>
      </c>
      <c r="CK328" s="490">
        <v>0.93</v>
      </c>
      <c r="CL328" s="490">
        <v>0.86</v>
      </c>
      <c r="CN328" s="489">
        <v>30</v>
      </c>
      <c r="CO328" s="490">
        <v>1</v>
      </c>
      <c r="CP328" s="490">
        <v>0.99</v>
      </c>
      <c r="CQ328" s="491">
        <v>0.95</v>
      </c>
      <c r="CR328" s="490">
        <v>0.9</v>
      </c>
      <c r="CS328" s="490">
        <v>0.82</v>
      </c>
    </row>
    <row r="329" spans="3:97" ht="15.75" thickBot="1" x14ac:dyDescent="0.3">
      <c r="C329" s="489">
        <v>140</v>
      </c>
      <c r="D329" s="490">
        <v>0.9</v>
      </c>
      <c r="E329" s="490">
        <v>0.86</v>
      </c>
      <c r="F329" s="490">
        <v>0.8</v>
      </c>
      <c r="G329" s="491">
        <v>0.73</v>
      </c>
      <c r="H329" s="490">
        <v>0.65</v>
      </c>
      <c r="I329" s="490">
        <v>0.57999999999999996</v>
      </c>
      <c r="J329" s="490">
        <v>0.5</v>
      </c>
      <c r="K329" s="490">
        <v>0.44</v>
      </c>
      <c r="L329" s="490">
        <v>0.38</v>
      </c>
      <c r="M329" s="490">
        <v>0.33</v>
      </c>
      <c r="O329" s="489">
        <v>40</v>
      </c>
      <c r="P329" s="490">
        <v>1</v>
      </c>
      <c r="Q329" s="490">
        <v>1</v>
      </c>
      <c r="R329" s="491">
        <v>0.97</v>
      </c>
      <c r="S329" s="490">
        <v>0.92</v>
      </c>
      <c r="T329" s="490">
        <v>0.86</v>
      </c>
      <c r="V329" s="489">
        <v>40</v>
      </c>
      <c r="W329" s="490">
        <v>1</v>
      </c>
      <c r="X329" s="490">
        <v>1.01</v>
      </c>
      <c r="Y329" s="491">
        <v>1.01</v>
      </c>
      <c r="Z329" s="490">
        <v>0.98</v>
      </c>
      <c r="AA329" s="490">
        <v>0.93</v>
      </c>
      <c r="AC329" s="489">
        <v>40</v>
      </c>
      <c r="AD329" s="490">
        <v>1</v>
      </c>
      <c r="AE329" s="490">
        <v>1.05</v>
      </c>
      <c r="AF329" s="491">
        <v>1.07</v>
      </c>
      <c r="AG329" s="490">
        <v>1.07</v>
      </c>
      <c r="AH329" s="490">
        <v>1.05</v>
      </c>
      <c r="AJ329" s="489">
        <v>40</v>
      </c>
      <c r="AK329" s="490">
        <v>1</v>
      </c>
      <c r="AL329" s="490">
        <v>1.0900000000000001</v>
      </c>
      <c r="AM329" s="491">
        <v>1.1499999999999999</v>
      </c>
      <c r="AN329" s="490">
        <v>1.19</v>
      </c>
      <c r="AO329" s="490">
        <v>1.19</v>
      </c>
      <c r="AQ329" s="489">
        <v>40</v>
      </c>
      <c r="AR329" s="490">
        <v>1</v>
      </c>
      <c r="AS329" s="490">
        <v>1.1299999999999999</v>
      </c>
      <c r="AT329" s="491">
        <v>1.23</v>
      </c>
      <c r="AU329" s="490">
        <v>1.3</v>
      </c>
      <c r="AV329" s="490">
        <v>1.33</v>
      </c>
      <c r="AX329" s="489">
        <v>40</v>
      </c>
      <c r="AY329" s="490">
        <v>1</v>
      </c>
      <c r="AZ329" s="490">
        <v>1.1499999999999999</v>
      </c>
      <c r="BA329" s="491">
        <v>1.27</v>
      </c>
      <c r="BB329" s="490">
        <v>1.36</v>
      </c>
      <c r="BC329" s="490">
        <v>1.41</v>
      </c>
      <c r="BE329" s="489">
        <v>40</v>
      </c>
      <c r="BF329" s="490">
        <v>1</v>
      </c>
      <c r="BG329" s="490">
        <v>1.1399999999999999</v>
      </c>
      <c r="BH329" s="491">
        <v>1.25</v>
      </c>
      <c r="BI329" s="490">
        <v>1.33</v>
      </c>
      <c r="BJ329" s="490">
        <v>1.37</v>
      </c>
      <c r="BL329" s="489">
        <v>40</v>
      </c>
      <c r="BM329" s="490">
        <v>1</v>
      </c>
      <c r="BN329" s="490">
        <v>1.1100000000000001</v>
      </c>
      <c r="BO329" s="491">
        <v>1.18</v>
      </c>
      <c r="BP329" s="490">
        <v>1.23</v>
      </c>
      <c r="BQ329" s="490">
        <v>1.24</v>
      </c>
      <c r="BS329" s="489">
        <v>40</v>
      </c>
      <c r="BT329" s="490">
        <v>1</v>
      </c>
      <c r="BU329" s="490">
        <v>1.06</v>
      </c>
      <c r="BV329" s="491">
        <v>1.1000000000000001</v>
      </c>
      <c r="BW329" s="490">
        <v>1.1100000000000001</v>
      </c>
      <c r="BX329" s="490">
        <v>1.0900000000000001</v>
      </c>
      <c r="BZ329" s="489">
        <v>40</v>
      </c>
      <c r="CA329" s="490">
        <v>1</v>
      </c>
      <c r="CB329" s="490">
        <v>1.02</v>
      </c>
      <c r="CC329" s="491">
        <v>1.03</v>
      </c>
      <c r="CD329" s="490">
        <v>1</v>
      </c>
      <c r="CE329" s="490">
        <v>0.97</v>
      </c>
      <c r="CG329" s="489">
        <v>40</v>
      </c>
      <c r="CH329" s="490">
        <v>1</v>
      </c>
      <c r="CI329" s="490">
        <v>1</v>
      </c>
      <c r="CJ329" s="491">
        <v>0.98</v>
      </c>
      <c r="CK329" s="490">
        <v>0.94</v>
      </c>
      <c r="CL329" s="490">
        <v>0.88</v>
      </c>
      <c r="CN329" s="489">
        <v>40</v>
      </c>
      <c r="CO329" s="490">
        <v>1</v>
      </c>
      <c r="CP329" s="490">
        <v>0.99</v>
      </c>
      <c r="CQ329" s="491">
        <v>0.96</v>
      </c>
      <c r="CR329" s="490">
        <v>0.91</v>
      </c>
      <c r="CS329" s="490">
        <v>0.84</v>
      </c>
    </row>
    <row r="330" spans="3:97" ht="15.75" thickBot="1" x14ac:dyDescent="0.3">
      <c r="C330" s="489">
        <v>150</v>
      </c>
      <c r="D330" s="490">
        <v>0.9</v>
      </c>
      <c r="E330" s="490">
        <v>0.86</v>
      </c>
      <c r="F330" s="490">
        <v>0.79</v>
      </c>
      <c r="G330" s="491">
        <v>0.71</v>
      </c>
      <c r="H330" s="490">
        <v>0.62</v>
      </c>
      <c r="I330" s="490">
        <v>0.53</v>
      </c>
      <c r="J330" s="490">
        <v>0.46</v>
      </c>
      <c r="K330" s="490">
        <v>0.39</v>
      </c>
      <c r="L330" s="490">
        <v>0.34</v>
      </c>
      <c r="M330" s="490">
        <v>0.28999999999999998</v>
      </c>
      <c r="O330" s="489">
        <v>50</v>
      </c>
      <c r="P330" s="490">
        <v>1</v>
      </c>
      <c r="Q330" s="490">
        <v>1</v>
      </c>
      <c r="R330" s="491">
        <v>0.98</v>
      </c>
      <c r="S330" s="490">
        <v>0.94</v>
      </c>
      <c r="T330" s="490">
        <v>0.88</v>
      </c>
      <c r="V330" s="489">
        <v>50</v>
      </c>
      <c r="W330" s="490">
        <v>1</v>
      </c>
      <c r="X330" s="490">
        <v>1.01</v>
      </c>
      <c r="Y330" s="491">
        <v>1.01</v>
      </c>
      <c r="Z330" s="490">
        <v>0.98</v>
      </c>
      <c r="AA330" s="490">
        <v>0.94</v>
      </c>
      <c r="AC330" s="489">
        <v>50</v>
      </c>
      <c r="AD330" s="490">
        <v>1</v>
      </c>
      <c r="AE330" s="490">
        <v>1.04</v>
      </c>
      <c r="AF330" s="491">
        <v>1.06</v>
      </c>
      <c r="AG330" s="490">
        <v>1.06</v>
      </c>
      <c r="AH330" s="490">
        <v>1.03</v>
      </c>
      <c r="AJ330" s="489">
        <v>50</v>
      </c>
      <c r="AK330" s="490">
        <v>1</v>
      </c>
      <c r="AL330" s="490">
        <v>1.08</v>
      </c>
      <c r="AM330" s="491">
        <v>1.1299999999999999</v>
      </c>
      <c r="AN330" s="490">
        <v>1.1499999999999999</v>
      </c>
      <c r="AO330" s="490">
        <v>1.1499999999999999</v>
      </c>
      <c r="AQ330" s="489">
        <v>50</v>
      </c>
      <c r="AR330" s="490">
        <v>1</v>
      </c>
      <c r="AS330" s="490">
        <v>1.1100000000000001</v>
      </c>
      <c r="AT330" s="491">
        <v>1.19</v>
      </c>
      <c r="AU330" s="490">
        <v>1.24</v>
      </c>
      <c r="AV330" s="490">
        <v>1.27</v>
      </c>
      <c r="AX330" s="489">
        <v>50</v>
      </c>
      <c r="AY330" s="490">
        <v>1</v>
      </c>
      <c r="AZ330" s="490">
        <v>1.1299999999999999</v>
      </c>
      <c r="BA330" s="491">
        <v>1.22</v>
      </c>
      <c r="BB330" s="490">
        <v>1.29</v>
      </c>
      <c r="BC330" s="490">
        <v>1.33</v>
      </c>
      <c r="BE330" s="489">
        <v>50</v>
      </c>
      <c r="BF330" s="490">
        <v>1</v>
      </c>
      <c r="BG330" s="490">
        <v>1.1100000000000001</v>
      </c>
      <c r="BH330" s="491">
        <v>1.2</v>
      </c>
      <c r="BI330" s="490">
        <v>1.27</v>
      </c>
      <c r="BJ330" s="490">
        <v>1.3</v>
      </c>
      <c r="BL330" s="489">
        <v>50</v>
      </c>
      <c r="BM330" s="490">
        <v>1</v>
      </c>
      <c r="BN330" s="490">
        <v>1.0900000000000001</v>
      </c>
      <c r="BO330" s="491">
        <v>1.1499999999999999</v>
      </c>
      <c r="BP330" s="490">
        <v>1.18</v>
      </c>
      <c r="BQ330" s="490">
        <v>1.19</v>
      </c>
      <c r="BS330" s="489">
        <v>50</v>
      </c>
      <c r="BT330" s="490">
        <v>1</v>
      </c>
      <c r="BU330" s="490">
        <v>1.05</v>
      </c>
      <c r="BV330" s="491">
        <v>1.08</v>
      </c>
      <c r="BW330" s="490">
        <v>1.08</v>
      </c>
      <c r="BX330" s="490">
        <v>1.06</v>
      </c>
      <c r="BZ330" s="489">
        <v>50</v>
      </c>
      <c r="CA330" s="490">
        <v>1</v>
      </c>
      <c r="CB330" s="490">
        <v>1.02</v>
      </c>
      <c r="CC330" s="491">
        <v>1.02</v>
      </c>
      <c r="CD330" s="490">
        <v>1</v>
      </c>
      <c r="CE330" s="490">
        <v>0.96</v>
      </c>
      <c r="CG330" s="489">
        <v>50</v>
      </c>
      <c r="CH330" s="490">
        <v>1</v>
      </c>
      <c r="CI330" s="490">
        <v>1</v>
      </c>
      <c r="CJ330" s="491">
        <v>0.98</v>
      </c>
      <c r="CK330" s="490">
        <v>0.94</v>
      </c>
      <c r="CL330" s="490">
        <v>0.89</v>
      </c>
      <c r="CN330" s="489">
        <v>50</v>
      </c>
      <c r="CO330" s="490">
        <v>1</v>
      </c>
      <c r="CP330" s="490">
        <v>0.99</v>
      </c>
      <c r="CQ330" s="491">
        <v>0.96</v>
      </c>
      <c r="CR330" s="490">
        <v>0.92</v>
      </c>
      <c r="CS330" s="490">
        <v>0.86</v>
      </c>
    </row>
    <row r="331" spans="3:97" ht="15.75" thickBot="1" x14ac:dyDescent="0.3">
      <c r="C331" s="489">
        <v>160</v>
      </c>
      <c r="D331" s="490">
        <v>0.9</v>
      </c>
      <c r="E331" s="490">
        <v>0.85</v>
      </c>
      <c r="F331" s="490">
        <v>0.78</v>
      </c>
      <c r="G331" s="491">
        <v>0.69</v>
      </c>
      <c r="H331" s="490">
        <v>0.6</v>
      </c>
      <c r="I331" s="490">
        <v>0.5</v>
      </c>
      <c r="J331" s="490">
        <v>0.42</v>
      </c>
      <c r="K331" s="490">
        <v>0.36</v>
      </c>
      <c r="L331" s="490">
        <v>0.3</v>
      </c>
      <c r="M331" s="490">
        <v>0.26</v>
      </c>
      <c r="O331" s="489">
        <v>60</v>
      </c>
      <c r="P331" s="490">
        <v>1</v>
      </c>
      <c r="Q331" s="490">
        <v>1</v>
      </c>
      <c r="R331" s="491">
        <v>0.98</v>
      </c>
      <c r="S331" s="490">
        <v>0.95</v>
      </c>
      <c r="T331" s="490">
        <v>0.9</v>
      </c>
      <c r="V331" s="489">
        <v>60</v>
      </c>
      <c r="W331" s="490">
        <v>1</v>
      </c>
      <c r="X331" s="490">
        <v>1.01</v>
      </c>
      <c r="Y331" s="491">
        <v>1.01</v>
      </c>
      <c r="Z331" s="490">
        <v>0.98</v>
      </c>
      <c r="AA331" s="490">
        <v>0.94</v>
      </c>
      <c r="AC331" s="489">
        <v>60</v>
      </c>
      <c r="AD331" s="490">
        <v>1</v>
      </c>
      <c r="AE331" s="490">
        <v>1.03</v>
      </c>
      <c r="AF331" s="491">
        <v>1.05</v>
      </c>
      <c r="AG331" s="490">
        <v>1.04</v>
      </c>
      <c r="AH331" s="490">
        <v>1.02</v>
      </c>
      <c r="AJ331" s="489">
        <v>60</v>
      </c>
      <c r="AK331" s="490">
        <v>1</v>
      </c>
      <c r="AL331" s="490">
        <v>1.06</v>
      </c>
      <c r="AM331" s="491">
        <v>1.1000000000000001</v>
      </c>
      <c r="AN331" s="490">
        <v>1.1100000000000001</v>
      </c>
      <c r="AO331" s="490">
        <v>1.1100000000000001</v>
      </c>
      <c r="AQ331" s="489">
        <v>60</v>
      </c>
      <c r="AR331" s="490">
        <v>1</v>
      </c>
      <c r="AS331" s="490">
        <v>1.0900000000000001</v>
      </c>
      <c r="AT331" s="491">
        <v>1.1399999999999999</v>
      </c>
      <c r="AU331" s="490">
        <v>1.18</v>
      </c>
      <c r="AV331" s="490">
        <v>1.2</v>
      </c>
      <c r="AX331" s="489">
        <v>60</v>
      </c>
      <c r="AY331" s="490">
        <v>1</v>
      </c>
      <c r="AZ331" s="490">
        <v>1.1000000000000001</v>
      </c>
      <c r="BA331" s="491">
        <v>1.17</v>
      </c>
      <c r="BB331" s="490">
        <v>1.22</v>
      </c>
      <c r="BC331" s="490">
        <v>1.24</v>
      </c>
      <c r="BE331" s="489">
        <v>60</v>
      </c>
      <c r="BF331" s="490">
        <v>1</v>
      </c>
      <c r="BG331" s="490">
        <v>1.0900000000000001</v>
      </c>
      <c r="BH331" s="491">
        <v>1.1599999999999999</v>
      </c>
      <c r="BI331" s="490">
        <v>1.2</v>
      </c>
      <c r="BJ331" s="490">
        <v>1.21</v>
      </c>
      <c r="BL331" s="489">
        <v>60</v>
      </c>
      <c r="BM331" s="490">
        <v>1</v>
      </c>
      <c r="BN331" s="490">
        <v>1.07</v>
      </c>
      <c r="BO331" s="491">
        <v>1.1100000000000001</v>
      </c>
      <c r="BP331" s="490">
        <v>1.1399999999999999</v>
      </c>
      <c r="BQ331" s="490">
        <v>1.1299999999999999</v>
      </c>
      <c r="BS331" s="489">
        <v>60</v>
      </c>
      <c r="BT331" s="490">
        <v>1</v>
      </c>
      <c r="BU331" s="490">
        <v>1.04</v>
      </c>
      <c r="BV331" s="491">
        <v>1.06</v>
      </c>
      <c r="BW331" s="490">
        <v>1.06</v>
      </c>
      <c r="BX331" s="490">
        <v>1.03</v>
      </c>
      <c r="BZ331" s="489">
        <v>60</v>
      </c>
      <c r="CA331" s="490">
        <v>1</v>
      </c>
      <c r="CB331" s="490">
        <v>1.02</v>
      </c>
      <c r="CC331" s="491">
        <v>1.02</v>
      </c>
      <c r="CD331" s="490">
        <v>0.99</v>
      </c>
      <c r="CE331" s="490">
        <v>0.95</v>
      </c>
      <c r="CG331" s="489">
        <v>60</v>
      </c>
      <c r="CH331" s="490">
        <v>1</v>
      </c>
      <c r="CI331" s="490">
        <v>1</v>
      </c>
      <c r="CJ331" s="491">
        <v>0.99</v>
      </c>
      <c r="CK331" s="490">
        <v>0.95</v>
      </c>
      <c r="CL331" s="490">
        <v>0.9</v>
      </c>
      <c r="CN331" s="489">
        <v>60</v>
      </c>
      <c r="CO331" s="490">
        <v>1</v>
      </c>
      <c r="CP331" s="490">
        <v>1</v>
      </c>
      <c r="CQ331" s="491">
        <v>0.97</v>
      </c>
      <c r="CR331" s="490">
        <v>0.93</v>
      </c>
      <c r="CS331" s="490">
        <v>0.88</v>
      </c>
    </row>
    <row r="332" spans="3:97" ht="15.75" thickBot="1" x14ac:dyDescent="0.3">
      <c r="C332" s="489">
        <v>170</v>
      </c>
      <c r="D332" s="490">
        <v>0.9</v>
      </c>
      <c r="E332" s="490">
        <v>0.85</v>
      </c>
      <c r="F332" s="490">
        <v>0.77</v>
      </c>
      <c r="G332" s="491">
        <v>0.68</v>
      </c>
      <c r="H332" s="490">
        <v>0.57999999999999996</v>
      </c>
      <c r="I332" s="490">
        <v>0.48</v>
      </c>
      <c r="J332" s="490">
        <v>0.4</v>
      </c>
      <c r="K332" s="490">
        <v>0.33</v>
      </c>
      <c r="L332" s="490">
        <v>0.28000000000000003</v>
      </c>
      <c r="M332" s="490">
        <v>0.24</v>
      </c>
      <c r="O332" s="489">
        <v>70</v>
      </c>
      <c r="P332" s="490">
        <v>1</v>
      </c>
      <c r="Q332" s="490">
        <v>1</v>
      </c>
      <c r="R332" s="491">
        <v>0.99</v>
      </c>
      <c r="S332" s="490">
        <v>0.96</v>
      </c>
      <c r="T332" s="490">
        <v>0.92</v>
      </c>
      <c r="V332" s="489">
        <v>70</v>
      </c>
      <c r="W332" s="490">
        <v>1</v>
      </c>
      <c r="X332" s="490">
        <v>1.01</v>
      </c>
      <c r="Y332" s="491">
        <v>1</v>
      </c>
      <c r="Z332" s="490">
        <v>0.98</v>
      </c>
      <c r="AA332" s="490">
        <v>0.94</v>
      </c>
      <c r="AC332" s="489">
        <v>70</v>
      </c>
      <c r="AD332" s="490">
        <v>1</v>
      </c>
      <c r="AE332" s="490">
        <v>1.03</v>
      </c>
      <c r="AF332" s="491">
        <v>1.03</v>
      </c>
      <c r="AG332" s="490">
        <v>1.02</v>
      </c>
      <c r="AH332" s="490">
        <v>0.99</v>
      </c>
      <c r="AJ332" s="489">
        <v>70</v>
      </c>
      <c r="AK332" s="490">
        <v>1</v>
      </c>
      <c r="AL332" s="490">
        <v>1.04</v>
      </c>
      <c r="AM332" s="491">
        <v>1.06</v>
      </c>
      <c r="AN332" s="490">
        <v>1.07</v>
      </c>
      <c r="AO332" s="490">
        <v>1.05</v>
      </c>
      <c r="AQ332" s="489">
        <v>70</v>
      </c>
      <c r="AR332" s="490">
        <v>1</v>
      </c>
      <c r="AS332" s="490">
        <v>1.06</v>
      </c>
      <c r="AT332" s="491">
        <v>1.1000000000000001</v>
      </c>
      <c r="AU332" s="490">
        <v>1.1200000000000001</v>
      </c>
      <c r="AV332" s="490">
        <v>1.1100000000000001</v>
      </c>
      <c r="AX332" s="489">
        <v>70</v>
      </c>
      <c r="AY332" s="490">
        <v>1</v>
      </c>
      <c r="AZ332" s="490">
        <v>1.07</v>
      </c>
      <c r="BA332" s="491">
        <v>1.1200000000000001</v>
      </c>
      <c r="BB332" s="490">
        <v>1.1499999999999999</v>
      </c>
      <c r="BC332" s="490">
        <v>1.1499999999999999</v>
      </c>
      <c r="BE332" s="489">
        <v>70</v>
      </c>
      <c r="BF332" s="490">
        <v>1</v>
      </c>
      <c r="BG332" s="490">
        <v>1.06</v>
      </c>
      <c r="BH332" s="491">
        <v>1.1000000000000001</v>
      </c>
      <c r="BI332" s="490">
        <v>1.1299999999999999</v>
      </c>
      <c r="BJ332" s="490">
        <v>1.1200000000000001</v>
      </c>
      <c r="BL332" s="489">
        <v>70</v>
      </c>
      <c r="BM332" s="490">
        <v>1</v>
      </c>
      <c r="BN332" s="490">
        <v>1.05</v>
      </c>
      <c r="BO332" s="491">
        <v>1.07</v>
      </c>
      <c r="BP332" s="490">
        <v>1.08</v>
      </c>
      <c r="BQ332" s="490">
        <v>1.07</v>
      </c>
      <c r="BS332" s="489">
        <v>70</v>
      </c>
      <c r="BT332" s="490">
        <v>1</v>
      </c>
      <c r="BU332" s="490">
        <v>1.03</v>
      </c>
      <c r="BV332" s="491">
        <v>1.03</v>
      </c>
      <c r="BW332" s="490">
        <v>1.03</v>
      </c>
      <c r="BX332" s="490">
        <v>1</v>
      </c>
      <c r="BZ332" s="489">
        <v>70</v>
      </c>
      <c r="CA332" s="490">
        <v>1</v>
      </c>
      <c r="CB332" s="490">
        <v>1.01</v>
      </c>
      <c r="CC332" s="491">
        <v>1.01</v>
      </c>
      <c r="CD332" s="490">
        <v>0.98</v>
      </c>
      <c r="CE332" s="490">
        <v>0.94</v>
      </c>
      <c r="CG332" s="489">
        <v>70</v>
      </c>
      <c r="CH332" s="490">
        <v>1</v>
      </c>
      <c r="CI332" s="490">
        <v>1</v>
      </c>
      <c r="CJ332" s="491">
        <v>0.99</v>
      </c>
      <c r="CK332" s="490">
        <v>0.96</v>
      </c>
      <c r="CL332" s="490">
        <v>0.91</v>
      </c>
      <c r="CN332" s="489">
        <v>70</v>
      </c>
      <c r="CO332" s="490">
        <v>1</v>
      </c>
      <c r="CP332" s="490">
        <v>1</v>
      </c>
      <c r="CQ332" s="491">
        <v>0.98</v>
      </c>
      <c r="CR332" s="490">
        <v>0.95</v>
      </c>
      <c r="CS332" s="490">
        <v>0.9</v>
      </c>
    </row>
    <row r="333" spans="3:97" ht="15.75" thickBot="1" x14ac:dyDescent="0.3">
      <c r="C333" s="489">
        <v>180</v>
      </c>
      <c r="D333" s="490">
        <v>0.9</v>
      </c>
      <c r="E333" s="490">
        <v>0.84</v>
      </c>
      <c r="F333" s="490">
        <v>0.77</v>
      </c>
      <c r="G333" s="491">
        <v>0.67</v>
      </c>
      <c r="H333" s="490">
        <v>0.56999999999999995</v>
      </c>
      <c r="I333" s="490">
        <v>0.47</v>
      </c>
      <c r="J333" s="490">
        <v>0.4</v>
      </c>
      <c r="K333" s="490">
        <v>0.33</v>
      </c>
      <c r="L333" s="490">
        <v>0.27</v>
      </c>
      <c r="M333" s="490">
        <v>0.22</v>
      </c>
      <c r="O333" s="489">
        <v>80</v>
      </c>
      <c r="P333" s="490">
        <v>1</v>
      </c>
      <c r="Q333" s="490">
        <v>1.01</v>
      </c>
      <c r="R333" s="491">
        <v>1</v>
      </c>
      <c r="S333" s="490">
        <v>0.97</v>
      </c>
      <c r="T333" s="490">
        <v>0.93</v>
      </c>
      <c r="V333" s="489">
        <v>80</v>
      </c>
      <c r="W333" s="490">
        <v>1</v>
      </c>
      <c r="X333" s="490">
        <v>1.01</v>
      </c>
      <c r="Y333" s="491">
        <v>1</v>
      </c>
      <c r="Z333" s="490">
        <v>0.97</v>
      </c>
      <c r="AA333" s="490">
        <v>0.94</v>
      </c>
      <c r="AC333" s="489">
        <v>80</v>
      </c>
      <c r="AD333" s="490">
        <v>1</v>
      </c>
      <c r="AE333" s="490">
        <v>1.02</v>
      </c>
      <c r="AF333" s="491">
        <v>1.01</v>
      </c>
      <c r="AG333" s="490">
        <v>1</v>
      </c>
      <c r="AH333" s="490">
        <v>0.96</v>
      </c>
      <c r="AJ333" s="489">
        <v>80</v>
      </c>
      <c r="AK333" s="490">
        <v>1</v>
      </c>
      <c r="AL333" s="490">
        <v>1.02</v>
      </c>
      <c r="AM333" s="491">
        <v>1.03</v>
      </c>
      <c r="AN333" s="490">
        <v>1.02</v>
      </c>
      <c r="AO333" s="490">
        <v>1</v>
      </c>
      <c r="AQ333" s="489">
        <v>80</v>
      </c>
      <c r="AR333" s="490">
        <v>1</v>
      </c>
      <c r="AS333" s="490">
        <v>1.03</v>
      </c>
      <c r="AT333" s="491">
        <v>1.05</v>
      </c>
      <c r="AU333" s="490">
        <v>1.05</v>
      </c>
      <c r="AV333" s="490">
        <v>1.03</v>
      </c>
      <c r="AX333" s="489">
        <v>80</v>
      </c>
      <c r="AY333" s="490">
        <v>1</v>
      </c>
      <c r="AZ333" s="490">
        <v>1.04</v>
      </c>
      <c r="BA333" s="491">
        <v>1.06</v>
      </c>
      <c r="BB333" s="490">
        <v>1.06</v>
      </c>
      <c r="BC333" s="490">
        <v>1.05</v>
      </c>
      <c r="BE333" s="489">
        <v>80</v>
      </c>
      <c r="BF333" s="490">
        <v>1</v>
      </c>
      <c r="BG333" s="490">
        <v>1.03</v>
      </c>
      <c r="BH333" s="491">
        <v>1.05</v>
      </c>
      <c r="BI333" s="490">
        <v>1.05</v>
      </c>
      <c r="BJ333" s="490">
        <v>1.03</v>
      </c>
      <c r="BL333" s="489">
        <v>80</v>
      </c>
      <c r="BM333" s="490">
        <v>1</v>
      </c>
      <c r="BN333" s="490">
        <v>1.03</v>
      </c>
      <c r="BO333" s="491">
        <v>1.03</v>
      </c>
      <c r="BP333" s="490">
        <v>1.03</v>
      </c>
      <c r="BQ333" s="490">
        <v>1.01</v>
      </c>
      <c r="BS333" s="489">
        <v>80</v>
      </c>
      <c r="BT333" s="490">
        <v>1</v>
      </c>
      <c r="BU333" s="490">
        <v>1.01</v>
      </c>
      <c r="BV333" s="491">
        <v>1.01</v>
      </c>
      <c r="BW333" s="490">
        <v>0.99</v>
      </c>
      <c r="BX333" s="490">
        <v>0.96</v>
      </c>
      <c r="BZ333" s="489">
        <v>80</v>
      </c>
      <c r="CA333" s="490">
        <v>1</v>
      </c>
      <c r="CB333" s="490">
        <v>1.01</v>
      </c>
      <c r="CC333" s="491">
        <v>1</v>
      </c>
      <c r="CD333" s="490">
        <v>0.97</v>
      </c>
      <c r="CE333" s="490">
        <v>0.93</v>
      </c>
      <c r="CG333" s="489">
        <v>80</v>
      </c>
      <c r="CH333" s="490">
        <v>1</v>
      </c>
      <c r="CI333" s="490">
        <v>1</v>
      </c>
      <c r="CJ333" s="491">
        <v>0.99</v>
      </c>
      <c r="CK333" s="490">
        <v>0.96</v>
      </c>
      <c r="CL333" s="490">
        <v>0.92</v>
      </c>
      <c r="CN333" s="489">
        <v>80</v>
      </c>
      <c r="CO333" s="490">
        <v>1</v>
      </c>
      <c r="CP333" s="490">
        <v>1</v>
      </c>
      <c r="CQ333" s="491">
        <v>0.99</v>
      </c>
      <c r="CR333" s="490">
        <v>0.96</v>
      </c>
      <c r="CS333" s="490">
        <v>0.91</v>
      </c>
    </row>
    <row r="334" spans="3:97" ht="15.75" thickBot="1" x14ac:dyDescent="0.3">
      <c r="C334" s="489">
        <v>190</v>
      </c>
      <c r="D334" s="490">
        <v>0.9</v>
      </c>
      <c r="E334" s="490">
        <v>0.84</v>
      </c>
      <c r="F334" s="490">
        <v>0.77</v>
      </c>
      <c r="G334" s="491">
        <v>0.68</v>
      </c>
      <c r="H334" s="490">
        <v>0.56999999999999995</v>
      </c>
      <c r="I334" s="490">
        <v>0.48</v>
      </c>
      <c r="J334" s="490">
        <v>0.4</v>
      </c>
      <c r="K334" s="490">
        <v>0.33</v>
      </c>
      <c r="L334" s="490">
        <v>0.27</v>
      </c>
      <c r="M334" s="490">
        <v>0.23</v>
      </c>
      <c r="O334" s="489">
        <v>90</v>
      </c>
      <c r="P334" s="490">
        <v>1</v>
      </c>
      <c r="Q334" s="490">
        <v>1.01</v>
      </c>
      <c r="R334" s="491">
        <v>1</v>
      </c>
      <c r="S334" s="490">
        <v>0.97</v>
      </c>
      <c r="T334" s="490">
        <v>0.93</v>
      </c>
      <c r="V334" s="489">
        <v>90</v>
      </c>
      <c r="W334" s="490">
        <v>1</v>
      </c>
      <c r="X334" s="490">
        <v>1.01</v>
      </c>
      <c r="Y334" s="491">
        <v>1</v>
      </c>
      <c r="Z334" s="490">
        <v>0.97</v>
      </c>
      <c r="AA334" s="490">
        <v>0.93</v>
      </c>
      <c r="AC334" s="489">
        <v>90</v>
      </c>
      <c r="AD334" s="490">
        <v>1</v>
      </c>
      <c r="AE334" s="490">
        <v>1</v>
      </c>
      <c r="AF334" s="491">
        <v>1</v>
      </c>
      <c r="AG334" s="490">
        <v>0.97</v>
      </c>
      <c r="AH334" s="490">
        <v>0.93</v>
      </c>
      <c r="AJ334" s="489">
        <v>90</v>
      </c>
      <c r="AK334" s="490">
        <v>1</v>
      </c>
      <c r="AL334" s="490">
        <v>1</v>
      </c>
      <c r="AM334" s="491">
        <v>1</v>
      </c>
      <c r="AN334" s="490">
        <v>0.97</v>
      </c>
      <c r="AO334" s="490">
        <v>0.94</v>
      </c>
      <c r="AQ334" s="489">
        <v>90</v>
      </c>
      <c r="AR334" s="490">
        <v>1</v>
      </c>
      <c r="AS334" s="490">
        <v>1.01</v>
      </c>
      <c r="AT334" s="491">
        <v>1</v>
      </c>
      <c r="AU334" s="490">
        <v>0.97</v>
      </c>
      <c r="AV334" s="490">
        <v>0.94</v>
      </c>
      <c r="AX334" s="489">
        <v>90</v>
      </c>
      <c r="AY334" s="490">
        <v>1</v>
      </c>
      <c r="AZ334" s="490">
        <v>1.01</v>
      </c>
      <c r="BA334" s="491">
        <v>1</v>
      </c>
      <c r="BB334" s="490">
        <v>0.97</v>
      </c>
      <c r="BC334" s="490">
        <v>0.95</v>
      </c>
      <c r="BE334" s="489">
        <v>90</v>
      </c>
      <c r="BF334" s="490">
        <v>1</v>
      </c>
      <c r="BG334" s="490">
        <v>1</v>
      </c>
      <c r="BH334" s="491">
        <v>0.99</v>
      </c>
      <c r="BI334" s="490">
        <v>0.96</v>
      </c>
      <c r="BJ334" s="490">
        <v>0.94</v>
      </c>
      <c r="BL334" s="489">
        <v>90</v>
      </c>
      <c r="BM334" s="490">
        <v>1</v>
      </c>
      <c r="BN334" s="490">
        <v>1.01</v>
      </c>
      <c r="BO334" s="491">
        <v>0.99</v>
      </c>
      <c r="BP334" s="490">
        <v>0.96</v>
      </c>
      <c r="BQ334" s="490">
        <v>0.93</v>
      </c>
      <c r="BS334" s="489">
        <v>90</v>
      </c>
      <c r="BT334" s="490">
        <v>1</v>
      </c>
      <c r="BU334" s="490">
        <v>1</v>
      </c>
      <c r="BV334" s="491">
        <v>0.98</v>
      </c>
      <c r="BW334" s="490">
        <v>0.96</v>
      </c>
      <c r="BX334" s="490">
        <v>0.92</v>
      </c>
      <c r="BZ334" s="489">
        <v>90</v>
      </c>
      <c r="CA334" s="490">
        <v>1</v>
      </c>
      <c r="CB334" s="490">
        <v>1</v>
      </c>
      <c r="CC334" s="491">
        <v>0.98</v>
      </c>
      <c r="CD334" s="490">
        <v>0.96</v>
      </c>
      <c r="CE334" s="490">
        <v>0.92</v>
      </c>
      <c r="CG334" s="489">
        <v>90</v>
      </c>
      <c r="CH334" s="490">
        <v>1</v>
      </c>
      <c r="CI334" s="490">
        <v>1</v>
      </c>
      <c r="CJ334" s="491">
        <v>0.99</v>
      </c>
      <c r="CK334" s="490">
        <v>0.96</v>
      </c>
      <c r="CL334" s="490">
        <v>0.92</v>
      </c>
      <c r="CN334" s="489">
        <v>90</v>
      </c>
      <c r="CO334" s="490">
        <v>1</v>
      </c>
      <c r="CP334" s="490">
        <v>1.01</v>
      </c>
      <c r="CQ334" s="491">
        <v>1</v>
      </c>
      <c r="CR334" s="490">
        <v>0.97</v>
      </c>
      <c r="CS334" s="490">
        <v>0.92</v>
      </c>
    </row>
    <row r="335" spans="3:97" ht="15.75" thickBot="1" x14ac:dyDescent="0.3">
      <c r="C335" s="489">
        <v>200</v>
      </c>
      <c r="D335" s="490">
        <v>0.9</v>
      </c>
      <c r="E335" s="490">
        <v>0.85</v>
      </c>
      <c r="F335" s="490">
        <v>0.78</v>
      </c>
      <c r="G335" s="491">
        <v>0.69</v>
      </c>
      <c r="H335" s="490">
        <v>0.59</v>
      </c>
      <c r="I335" s="490">
        <v>0.49</v>
      </c>
      <c r="J335" s="490">
        <v>0.41</v>
      </c>
      <c r="K335" s="490">
        <v>0.34</v>
      </c>
      <c r="L335" s="490">
        <v>0.28999999999999998</v>
      </c>
      <c r="M335" s="490">
        <v>0.25</v>
      </c>
    </row>
    <row r="336" spans="3:97" ht="15.75" thickBot="1" x14ac:dyDescent="0.3">
      <c r="C336" s="489">
        <v>210</v>
      </c>
      <c r="D336" s="490">
        <v>0.9</v>
      </c>
      <c r="E336" s="490">
        <v>0.85</v>
      </c>
      <c r="F336" s="490">
        <v>0.78</v>
      </c>
      <c r="G336" s="491">
        <v>0.7</v>
      </c>
      <c r="H336" s="490">
        <v>0.61</v>
      </c>
      <c r="I336" s="490">
        <v>0.52</v>
      </c>
      <c r="J336" s="490">
        <v>0.44</v>
      </c>
      <c r="K336" s="490">
        <v>0.38</v>
      </c>
      <c r="L336" s="490">
        <v>0.33</v>
      </c>
      <c r="M336" s="490">
        <v>0.28999999999999998</v>
      </c>
    </row>
    <row r="337" spans="3:13" ht="15.75" thickBot="1" x14ac:dyDescent="0.3">
      <c r="C337" s="489">
        <v>220</v>
      </c>
      <c r="D337" s="490">
        <v>0.9</v>
      </c>
      <c r="E337" s="490">
        <v>0.86</v>
      </c>
      <c r="F337" s="490">
        <v>0.8</v>
      </c>
      <c r="G337" s="491">
        <v>0.72</v>
      </c>
      <c r="H337" s="490">
        <v>0.64</v>
      </c>
      <c r="I337" s="490">
        <v>0.56000000000000005</v>
      </c>
      <c r="J337" s="490">
        <v>0.49</v>
      </c>
      <c r="K337" s="490">
        <v>0.42</v>
      </c>
      <c r="L337" s="490">
        <v>0.37</v>
      </c>
      <c r="M337" s="490">
        <v>0.32</v>
      </c>
    </row>
    <row r="338" spans="3:13" ht="15.75" thickBot="1" x14ac:dyDescent="0.3">
      <c r="C338" s="489">
        <v>230</v>
      </c>
      <c r="D338" s="490">
        <v>0.9</v>
      </c>
      <c r="E338" s="490">
        <v>0.87</v>
      </c>
      <c r="F338" s="490">
        <v>0.81</v>
      </c>
      <c r="G338" s="491">
        <v>0.74</v>
      </c>
      <c r="H338" s="490">
        <v>0.67</v>
      </c>
      <c r="I338" s="490">
        <v>0.6</v>
      </c>
      <c r="J338" s="490">
        <v>0.53</v>
      </c>
      <c r="K338" s="490">
        <v>0.47</v>
      </c>
      <c r="L338" s="490">
        <v>0.42</v>
      </c>
      <c r="M338" s="490">
        <v>0.37</v>
      </c>
    </row>
    <row r="339" spans="3:13" ht="15.75" thickBot="1" x14ac:dyDescent="0.3">
      <c r="C339" s="489">
        <v>240</v>
      </c>
      <c r="D339" s="490">
        <v>0.9</v>
      </c>
      <c r="E339" s="490">
        <v>0.87</v>
      </c>
      <c r="F339" s="490">
        <v>0.83</v>
      </c>
      <c r="G339" s="491">
        <v>0.77</v>
      </c>
      <c r="H339" s="490">
        <v>0.71</v>
      </c>
      <c r="I339" s="490">
        <v>0.64</v>
      </c>
      <c r="J339" s="490">
        <v>0.57999999999999996</v>
      </c>
      <c r="K339" s="490">
        <v>0.52</v>
      </c>
      <c r="L339" s="490">
        <v>0.46</v>
      </c>
      <c r="M339" s="490">
        <v>0.41</v>
      </c>
    </row>
    <row r="340" spans="3:13" ht="15.75" thickBot="1" x14ac:dyDescent="0.3">
      <c r="C340" s="489">
        <v>250</v>
      </c>
      <c r="D340" s="490">
        <v>0.9</v>
      </c>
      <c r="E340" s="490">
        <v>0.88</v>
      </c>
      <c r="F340" s="490">
        <v>0.84</v>
      </c>
      <c r="G340" s="491">
        <v>0.8</v>
      </c>
      <c r="H340" s="490">
        <v>0.75</v>
      </c>
      <c r="I340" s="490">
        <v>0.69</v>
      </c>
      <c r="J340" s="490">
        <v>0.63</v>
      </c>
      <c r="K340" s="490">
        <v>0.56999999999999995</v>
      </c>
      <c r="L340" s="490">
        <v>0.51</v>
      </c>
      <c r="M340" s="490">
        <v>0.45</v>
      </c>
    </row>
    <row r="341" spans="3:13" ht="15.75" thickBot="1" x14ac:dyDescent="0.3">
      <c r="C341" s="489">
        <v>260</v>
      </c>
      <c r="D341" s="490">
        <v>0.9</v>
      </c>
      <c r="E341" s="490">
        <v>0.89</v>
      </c>
      <c r="F341" s="490">
        <v>0.87</v>
      </c>
      <c r="G341" s="491">
        <v>0.83</v>
      </c>
      <c r="H341" s="490">
        <v>0.78</v>
      </c>
      <c r="I341" s="490">
        <v>0.73</v>
      </c>
      <c r="J341" s="490">
        <v>0.67</v>
      </c>
      <c r="K341" s="490">
        <v>0.61</v>
      </c>
      <c r="L341" s="490">
        <v>0.55000000000000004</v>
      </c>
      <c r="M341" s="490">
        <v>0.49</v>
      </c>
    </row>
    <row r="342" spans="3:13" ht="15.75" thickBot="1" x14ac:dyDescent="0.3">
      <c r="C342" s="489">
        <v>270</v>
      </c>
      <c r="D342" s="490">
        <v>0.9</v>
      </c>
      <c r="E342" s="490">
        <v>0.9</v>
      </c>
      <c r="F342" s="490">
        <v>0.89</v>
      </c>
      <c r="G342" s="491">
        <v>0.85</v>
      </c>
      <c r="H342" s="490">
        <v>0.81</v>
      </c>
      <c r="I342" s="490">
        <v>0.77</v>
      </c>
      <c r="J342" s="490">
        <v>0.71</v>
      </c>
      <c r="K342" s="490">
        <v>0.65</v>
      </c>
      <c r="L342" s="490">
        <v>0.59</v>
      </c>
      <c r="M342" s="490">
        <v>0.52</v>
      </c>
    </row>
    <row r="343" spans="3:13" ht="15.75" thickBot="1" x14ac:dyDescent="0.3">
      <c r="C343" s="489">
        <v>280</v>
      </c>
      <c r="D343" s="490">
        <v>0.9</v>
      </c>
      <c r="E343" s="490">
        <v>0.91</v>
      </c>
      <c r="F343" s="490">
        <v>0.9</v>
      </c>
      <c r="G343" s="491">
        <v>0.88</v>
      </c>
      <c r="H343" s="490">
        <v>0.84</v>
      </c>
      <c r="I343" s="490">
        <v>0.8</v>
      </c>
      <c r="J343" s="490">
        <v>0.75</v>
      </c>
      <c r="K343" s="490">
        <v>0.69</v>
      </c>
      <c r="L343" s="490">
        <v>0.62</v>
      </c>
      <c r="M343" s="490">
        <v>0.55000000000000004</v>
      </c>
    </row>
    <row r="344" spans="3:13" ht="15.75" thickBot="1" x14ac:dyDescent="0.3">
      <c r="C344" s="489">
        <v>290</v>
      </c>
      <c r="D344" s="490">
        <v>0.9</v>
      </c>
      <c r="E344" s="490">
        <v>0.92</v>
      </c>
      <c r="F344" s="490">
        <v>0.92</v>
      </c>
      <c r="G344" s="491">
        <v>0.91</v>
      </c>
      <c r="H344" s="490">
        <v>0.87</v>
      </c>
      <c r="I344" s="490">
        <v>0.83</v>
      </c>
      <c r="J344" s="490">
        <v>0.78</v>
      </c>
      <c r="K344" s="490">
        <v>0.71</v>
      </c>
      <c r="L344" s="490">
        <v>0.64</v>
      </c>
      <c r="M344" s="490">
        <v>0.56999999999999995</v>
      </c>
    </row>
    <row r="345" spans="3:13" ht="15.75" thickBot="1" x14ac:dyDescent="0.3">
      <c r="C345" s="489">
        <v>300</v>
      </c>
      <c r="D345" s="490">
        <v>0.9</v>
      </c>
      <c r="E345" s="490">
        <v>0.93</v>
      </c>
      <c r="F345" s="490">
        <v>0.94</v>
      </c>
      <c r="G345" s="491">
        <v>0.93</v>
      </c>
      <c r="H345" s="490">
        <v>0.9</v>
      </c>
      <c r="I345" s="490">
        <v>0.86</v>
      </c>
      <c r="J345" s="490">
        <v>0.8</v>
      </c>
      <c r="K345" s="490">
        <v>0.73</v>
      </c>
      <c r="L345" s="490">
        <v>0.66</v>
      </c>
      <c r="M345" s="490">
        <v>0.57999999999999996</v>
      </c>
    </row>
    <row r="346" spans="3:13" ht="15.75" thickBot="1" x14ac:dyDescent="0.3">
      <c r="C346" s="489">
        <v>310</v>
      </c>
      <c r="D346" s="490">
        <v>0.9</v>
      </c>
      <c r="E346" s="490">
        <v>0.94</v>
      </c>
      <c r="F346" s="490">
        <v>0.95</v>
      </c>
      <c r="G346" s="491">
        <v>0.95</v>
      </c>
      <c r="H346" s="490">
        <v>0.92</v>
      </c>
      <c r="I346" s="490">
        <v>0.88</v>
      </c>
      <c r="J346" s="490">
        <v>0.82</v>
      </c>
      <c r="K346" s="490">
        <v>0.75</v>
      </c>
      <c r="L346" s="490">
        <v>0.67</v>
      </c>
      <c r="M346" s="490">
        <v>0.57999999999999996</v>
      </c>
    </row>
    <row r="347" spans="3:13" ht="15.75" thickBot="1" x14ac:dyDescent="0.3">
      <c r="C347" s="489">
        <v>320</v>
      </c>
      <c r="D347" s="490">
        <v>0.9</v>
      </c>
      <c r="E347" s="490">
        <v>0.95</v>
      </c>
      <c r="F347" s="490">
        <v>0.97</v>
      </c>
      <c r="G347" s="491">
        <v>0.96</v>
      </c>
      <c r="H347" s="490">
        <v>0.94</v>
      </c>
      <c r="I347" s="490">
        <v>0.9</v>
      </c>
      <c r="J347" s="490">
        <v>0.84</v>
      </c>
      <c r="K347" s="490">
        <v>0.76</v>
      </c>
      <c r="L347" s="490">
        <v>0.68</v>
      </c>
      <c r="M347" s="490">
        <v>0.57999999999999996</v>
      </c>
    </row>
    <row r="348" spans="3:13" ht="15.75" thickBot="1" x14ac:dyDescent="0.3">
      <c r="C348" s="489">
        <v>330</v>
      </c>
      <c r="D348" s="490">
        <v>0.9</v>
      </c>
      <c r="E348" s="490">
        <v>0.95</v>
      </c>
      <c r="F348" s="490">
        <v>0.98</v>
      </c>
      <c r="G348" s="491">
        <v>0.98</v>
      </c>
      <c r="H348" s="490">
        <v>0.96</v>
      </c>
      <c r="I348" s="490">
        <v>0.91</v>
      </c>
      <c r="J348" s="490">
        <v>0.85</v>
      </c>
      <c r="K348" s="490">
        <v>0.77</v>
      </c>
      <c r="L348" s="490">
        <v>0.68</v>
      </c>
      <c r="M348" s="490">
        <v>0.57999999999999996</v>
      </c>
    </row>
    <row r="349" spans="3:13" ht="15.75" thickBot="1" x14ac:dyDescent="0.3">
      <c r="C349" s="489">
        <v>340</v>
      </c>
      <c r="D349" s="490">
        <v>0.9</v>
      </c>
      <c r="E349" s="490">
        <v>0.96</v>
      </c>
      <c r="F349" s="490">
        <v>0.98</v>
      </c>
      <c r="G349" s="491">
        <v>0.99</v>
      </c>
      <c r="H349" s="490">
        <v>0.97</v>
      </c>
      <c r="I349" s="490">
        <v>0.93</v>
      </c>
      <c r="J349" s="490">
        <v>0.86</v>
      </c>
      <c r="K349" s="490">
        <v>0.78</v>
      </c>
      <c r="L349" s="490">
        <v>0.68</v>
      </c>
      <c r="M349" s="490">
        <v>0.57999999999999996</v>
      </c>
    </row>
    <row r="350" spans="3:13" ht="15.75" thickBot="1" x14ac:dyDescent="0.3">
      <c r="C350" s="489">
        <v>350</v>
      </c>
      <c r="D350" s="490">
        <v>0.9</v>
      </c>
      <c r="E350" s="490">
        <v>0.96</v>
      </c>
      <c r="F350" s="490">
        <v>0.99</v>
      </c>
      <c r="G350" s="491">
        <v>1</v>
      </c>
      <c r="H350" s="490">
        <v>0.98</v>
      </c>
      <c r="I350" s="490">
        <v>0.93</v>
      </c>
      <c r="J350" s="490">
        <v>0.87</v>
      </c>
      <c r="K350" s="490">
        <v>0.78</v>
      </c>
      <c r="L350" s="490">
        <v>0.68</v>
      </c>
      <c r="M350" s="490">
        <v>0.56999999999999995</v>
      </c>
    </row>
    <row r="352" spans="3:13" ht="15.75" thickBot="1" x14ac:dyDescent="0.3"/>
    <row r="353" spans="3:97" ht="15.75" thickBot="1" x14ac:dyDescent="0.3">
      <c r="C353" s="784" t="s">
        <v>3732</v>
      </c>
      <c r="D353" s="785"/>
      <c r="E353" s="785"/>
      <c r="F353" s="785"/>
      <c r="G353" s="785"/>
      <c r="H353" s="785"/>
      <c r="I353" s="785"/>
      <c r="J353" s="785"/>
      <c r="K353" s="785"/>
      <c r="L353" s="785"/>
      <c r="M353" s="786"/>
      <c r="O353" s="486" t="s">
        <v>1327</v>
      </c>
    </row>
    <row r="354" spans="3:97" ht="15.75" customHeight="1" thickBot="1" x14ac:dyDescent="0.3">
      <c r="C354" s="780" t="s">
        <v>3720</v>
      </c>
      <c r="D354" s="781" t="s">
        <v>3721</v>
      </c>
      <c r="E354" s="782"/>
      <c r="F354" s="782"/>
      <c r="G354" s="782"/>
      <c r="H354" s="782"/>
      <c r="I354" s="782"/>
      <c r="J354" s="782"/>
      <c r="K354" s="782"/>
      <c r="L354" s="782"/>
      <c r="M354" s="783"/>
      <c r="O354" s="777" t="str">
        <f>O353&amp;" - Janurary"</f>
        <v>PERTH - Janurary</v>
      </c>
      <c r="P354" s="778"/>
      <c r="Q354" s="778"/>
      <c r="R354" s="778"/>
      <c r="S354" s="778"/>
      <c r="T354" s="779"/>
      <c r="V354" s="777" t="str">
        <f>O353&amp;" - February"</f>
        <v>PERTH - February</v>
      </c>
      <c r="W354" s="778"/>
      <c r="X354" s="778"/>
      <c r="Y354" s="778"/>
      <c r="Z354" s="778"/>
      <c r="AA354" s="779"/>
      <c r="AC354" s="777" t="str">
        <f>O353&amp;" - March"</f>
        <v>PERTH - March</v>
      </c>
      <c r="AD354" s="778"/>
      <c r="AE354" s="778"/>
      <c r="AF354" s="778"/>
      <c r="AG354" s="778"/>
      <c r="AH354" s="779"/>
      <c r="AJ354" s="777" t="str">
        <f>O353&amp;" - April"</f>
        <v>PERTH - April</v>
      </c>
      <c r="AK354" s="778"/>
      <c r="AL354" s="778"/>
      <c r="AM354" s="778"/>
      <c r="AN354" s="778"/>
      <c r="AO354" s="779"/>
      <c r="AQ354" s="777" t="str">
        <f>O353&amp;" - May"</f>
        <v>PERTH - May</v>
      </c>
      <c r="AR354" s="778"/>
      <c r="AS354" s="778"/>
      <c r="AT354" s="778"/>
      <c r="AU354" s="778"/>
      <c r="AV354" s="779"/>
      <c r="AX354" s="777" t="str">
        <f>O353&amp;" - June"</f>
        <v>PERTH - June</v>
      </c>
      <c r="AY354" s="778"/>
      <c r="AZ354" s="778"/>
      <c r="BA354" s="778"/>
      <c r="BB354" s="778"/>
      <c r="BC354" s="779"/>
      <c r="BE354" s="777" t="str">
        <f>O353&amp;" - July"</f>
        <v>PERTH - July</v>
      </c>
      <c r="BF354" s="778"/>
      <c r="BG354" s="778"/>
      <c r="BH354" s="778"/>
      <c r="BI354" s="778"/>
      <c r="BJ354" s="779"/>
      <c r="BL354" s="777" t="str">
        <f>O353&amp;" - August"</f>
        <v>PERTH - August</v>
      </c>
      <c r="BM354" s="778"/>
      <c r="BN354" s="778"/>
      <c r="BO354" s="778"/>
      <c r="BP354" s="778"/>
      <c r="BQ354" s="779"/>
      <c r="BS354" s="777" t="str">
        <f>O353&amp;" - September"</f>
        <v>PERTH - September</v>
      </c>
      <c r="BT354" s="778"/>
      <c r="BU354" s="778"/>
      <c r="BV354" s="778"/>
      <c r="BW354" s="778"/>
      <c r="BX354" s="779"/>
      <c r="BZ354" s="777" t="str">
        <f>O353&amp;" - October"</f>
        <v>PERTH - October</v>
      </c>
      <c r="CA354" s="778"/>
      <c r="CB354" s="778"/>
      <c r="CC354" s="778"/>
      <c r="CD354" s="778"/>
      <c r="CE354" s="779"/>
      <c r="CG354" s="777" t="str">
        <f>O353&amp;" - November"</f>
        <v>PERTH - November</v>
      </c>
      <c r="CH354" s="778"/>
      <c r="CI354" s="778"/>
      <c r="CJ354" s="778"/>
      <c r="CK354" s="778"/>
      <c r="CL354" s="779"/>
      <c r="CN354" s="777" t="str">
        <f>O353&amp;" - December"</f>
        <v>PERTH - December</v>
      </c>
      <c r="CO354" s="778"/>
      <c r="CP354" s="778"/>
      <c r="CQ354" s="778"/>
      <c r="CR354" s="778"/>
      <c r="CS354" s="779"/>
    </row>
    <row r="355" spans="3:97" ht="15.75" customHeight="1" thickBot="1" x14ac:dyDescent="0.3">
      <c r="C355" s="773"/>
      <c r="D355" s="488">
        <v>0</v>
      </c>
      <c r="E355" s="488">
        <v>10</v>
      </c>
      <c r="F355" s="488">
        <v>20</v>
      </c>
      <c r="G355" s="488">
        <v>30</v>
      </c>
      <c r="H355" s="488">
        <v>40</v>
      </c>
      <c r="I355" s="488">
        <v>50</v>
      </c>
      <c r="J355" s="488">
        <v>60</v>
      </c>
      <c r="K355" s="488">
        <v>70</v>
      </c>
      <c r="L355" s="488">
        <v>80</v>
      </c>
      <c r="M355" s="488">
        <v>90</v>
      </c>
      <c r="O355" s="787" t="s">
        <v>3720</v>
      </c>
      <c r="P355" s="774" t="s">
        <v>3721</v>
      </c>
      <c r="Q355" s="775"/>
      <c r="R355" s="775"/>
      <c r="S355" s="775"/>
      <c r="T355" s="776"/>
      <c r="V355" s="787" t="s">
        <v>3720</v>
      </c>
      <c r="W355" s="774" t="s">
        <v>3721</v>
      </c>
      <c r="X355" s="775"/>
      <c r="Y355" s="775"/>
      <c r="Z355" s="775"/>
      <c r="AA355" s="776"/>
      <c r="AC355" s="787" t="s">
        <v>3720</v>
      </c>
      <c r="AD355" s="774" t="s">
        <v>3721</v>
      </c>
      <c r="AE355" s="775"/>
      <c r="AF355" s="775"/>
      <c r="AG355" s="775"/>
      <c r="AH355" s="776"/>
      <c r="AJ355" s="787" t="s">
        <v>3720</v>
      </c>
      <c r="AK355" s="774" t="s">
        <v>3721</v>
      </c>
      <c r="AL355" s="775"/>
      <c r="AM355" s="775"/>
      <c r="AN355" s="775"/>
      <c r="AO355" s="776"/>
      <c r="AQ355" s="787" t="s">
        <v>3720</v>
      </c>
      <c r="AR355" s="774" t="s">
        <v>3721</v>
      </c>
      <c r="AS355" s="775"/>
      <c r="AT355" s="775"/>
      <c r="AU355" s="775"/>
      <c r="AV355" s="776"/>
      <c r="AX355" s="787" t="s">
        <v>3720</v>
      </c>
      <c r="AY355" s="774" t="s">
        <v>3721</v>
      </c>
      <c r="AZ355" s="775"/>
      <c r="BA355" s="775"/>
      <c r="BB355" s="775"/>
      <c r="BC355" s="776"/>
      <c r="BE355" s="787" t="s">
        <v>3720</v>
      </c>
      <c r="BF355" s="774" t="s">
        <v>3721</v>
      </c>
      <c r="BG355" s="775"/>
      <c r="BH355" s="775"/>
      <c r="BI355" s="775"/>
      <c r="BJ355" s="776"/>
      <c r="BL355" s="787" t="s">
        <v>3720</v>
      </c>
      <c r="BM355" s="774" t="s">
        <v>3721</v>
      </c>
      <c r="BN355" s="775"/>
      <c r="BO355" s="775"/>
      <c r="BP355" s="775"/>
      <c r="BQ355" s="776"/>
      <c r="BS355" s="787" t="s">
        <v>3720</v>
      </c>
      <c r="BT355" s="774" t="s">
        <v>3721</v>
      </c>
      <c r="BU355" s="775"/>
      <c r="BV355" s="775"/>
      <c r="BW355" s="775"/>
      <c r="BX355" s="776"/>
      <c r="BZ355" s="787" t="s">
        <v>3720</v>
      </c>
      <c r="CA355" s="774" t="s">
        <v>3721</v>
      </c>
      <c r="CB355" s="775"/>
      <c r="CC355" s="775"/>
      <c r="CD355" s="775"/>
      <c r="CE355" s="776"/>
      <c r="CG355" s="787" t="s">
        <v>3720</v>
      </c>
      <c r="CH355" s="774" t="s">
        <v>3721</v>
      </c>
      <c r="CI355" s="775"/>
      <c r="CJ355" s="775"/>
      <c r="CK355" s="775"/>
      <c r="CL355" s="776"/>
      <c r="CN355" s="787" t="s">
        <v>3720</v>
      </c>
      <c r="CO355" s="774" t="s">
        <v>3721</v>
      </c>
      <c r="CP355" s="775"/>
      <c r="CQ355" s="775"/>
      <c r="CR355" s="775"/>
      <c r="CS355" s="776"/>
    </row>
    <row r="356" spans="3:97" ht="15.75" thickBot="1" x14ac:dyDescent="0.3">
      <c r="C356" s="489">
        <v>0</v>
      </c>
      <c r="D356" s="490">
        <v>0.88</v>
      </c>
      <c r="E356" s="490">
        <v>0.94</v>
      </c>
      <c r="F356" s="490">
        <v>0.98</v>
      </c>
      <c r="G356" s="490">
        <v>1</v>
      </c>
      <c r="H356" s="490">
        <v>0.99</v>
      </c>
      <c r="I356" s="490">
        <v>0.95</v>
      </c>
      <c r="J356" s="490">
        <v>0.89</v>
      </c>
      <c r="K356" s="490">
        <v>0.81</v>
      </c>
      <c r="L356" s="490">
        <v>0.72</v>
      </c>
      <c r="M356" s="490">
        <v>0.61</v>
      </c>
      <c r="O356" s="788"/>
      <c r="P356" s="488">
        <v>0</v>
      </c>
      <c r="Q356" s="488">
        <v>10</v>
      </c>
      <c r="R356" s="488">
        <v>20</v>
      </c>
      <c r="S356" s="488">
        <v>30</v>
      </c>
      <c r="T356" s="488">
        <v>40</v>
      </c>
      <c r="V356" s="788"/>
      <c r="W356" s="488">
        <v>0</v>
      </c>
      <c r="X356" s="488">
        <v>10</v>
      </c>
      <c r="Y356" s="488">
        <v>20</v>
      </c>
      <c r="Z356" s="488">
        <v>30</v>
      </c>
      <c r="AA356" s="488">
        <v>40</v>
      </c>
      <c r="AC356" s="788"/>
      <c r="AD356" s="488">
        <v>0</v>
      </c>
      <c r="AE356" s="488">
        <v>10</v>
      </c>
      <c r="AF356" s="488">
        <v>20</v>
      </c>
      <c r="AG356" s="488">
        <v>30</v>
      </c>
      <c r="AH356" s="488">
        <v>40</v>
      </c>
      <c r="AJ356" s="788"/>
      <c r="AK356" s="488">
        <v>0</v>
      </c>
      <c r="AL356" s="488">
        <v>10</v>
      </c>
      <c r="AM356" s="488">
        <v>20</v>
      </c>
      <c r="AN356" s="488">
        <v>30</v>
      </c>
      <c r="AO356" s="488">
        <v>40</v>
      </c>
      <c r="AQ356" s="788"/>
      <c r="AR356" s="488">
        <v>0</v>
      </c>
      <c r="AS356" s="488">
        <v>10</v>
      </c>
      <c r="AT356" s="488">
        <v>20</v>
      </c>
      <c r="AU356" s="488">
        <v>30</v>
      </c>
      <c r="AV356" s="488">
        <v>40</v>
      </c>
      <c r="AX356" s="788"/>
      <c r="AY356" s="488">
        <v>0</v>
      </c>
      <c r="AZ356" s="488">
        <v>10</v>
      </c>
      <c r="BA356" s="488">
        <v>20</v>
      </c>
      <c r="BB356" s="488">
        <v>30</v>
      </c>
      <c r="BC356" s="488">
        <v>40</v>
      </c>
      <c r="BE356" s="788"/>
      <c r="BF356" s="488">
        <v>0</v>
      </c>
      <c r="BG356" s="488">
        <v>10</v>
      </c>
      <c r="BH356" s="488">
        <v>20</v>
      </c>
      <c r="BI356" s="488">
        <v>30</v>
      </c>
      <c r="BJ356" s="488">
        <v>40</v>
      </c>
      <c r="BL356" s="788"/>
      <c r="BM356" s="488">
        <v>0</v>
      </c>
      <c r="BN356" s="488">
        <v>10</v>
      </c>
      <c r="BO356" s="488">
        <v>20</v>
      </c>
      <c r="BP356" s="488">
        <v>30</v>
      </c>
      <c r="BQ356" s="488">
        <v>40</v>
      </c>
      <c r="BS356" s="788"/>
      <c r="BT356" s="488">
        <v>0</v>
      </c>
      <c r="BU356" s="488">
        <v>10</v>
      </c>
      <c r="BV356" s="488">
        <v>20</v>
      </c>
      <c r="BW356" s="488">
        <v>30</v>
      </c>
      <c r="BX356" s="488">
        <v>40</v>
      </c>
      <c r="BZ356" s="788"/>
      <c r="CA356" s="488">
        <v>0</v>
      </c>
      <c r="CB356" s="488">
        <v>10</v>
      </c>
      <c r="CC356" s="488">
        <v>20</v>
      </c>
      <c r="CD356" s="488">
        <v>30</v>
      </c>
      <c r="CE356" s="488">
        <v>40</v>
      </c>
      <c r="CG356" s="788"/>
      <c r="CH356" s="488">
        <v>0</v>
      </c>
      <c r="CI356" s="488">
        <v>10</v>
      </c>
      <c r="CJ356" s="488">
        <v>20</v>
      </c>
      <c r="CK356" s="488">
        <v>30</v>
      </c>
      <c r="CL356" s="488">
        <v>40</v>
      </c>
      <c r="CN356" s="788"/>
      <c r="CO356" s="488">
        <v>0</v>
      </c>
      <c r="CP356" s="488">
        <v>10</v>
      </c>
      <c r="CQ356" s="488">
        <v>20</v>
      </c>
      <c r="CR356" s="488">
        <v>30</v>
      </c>
      <c r="CS356" s="488">
        <v>40</v>
      </c>
    </row>
    <row r="357" spans="3:97" ht="15.75" thickBot="1" x14ac:dyDescent="0.3">
      <c r="C357" s="489">
        <v>10</v>
      </c>
      <c r="D357" s="490">
        <v>0.88</v>
      </c>
      <c r="E357" s="490">
        <v>0.94</v>
      </c>
      <c r="F357" s="490">
        <v>0.98</v>
      </c>
      <c r="G357" s="490">
        <v>1</v>
      </c>
      <c r="H357" s="490">
        <v>0.99</v>
      </c>
      <c r="I357" s="490">
        <v>0.95</v>
      </c>
      <c r="J357" s="490">
        <v>0.89</v>
      </c>
      <c r="K357" s="490">
        <v>0.81</v>
      </c>
      <c r="L357" s="490">
        <v>0.72</v>
      </c>
      <c r="M357" s="490">
        <v>0.61</v>
      </c>
      <c r="O357" s="489">
        <v>270</v>
      </c>
      <c r="P357" s="490">
        <v>1</v>
      </c>
      <c r="Q357" s="490">
        <v>1</v>
      </c>
      <c r="R357" s="490">
        <v>0.99</v>
      </c>
      <c r="S357" s="490">
        <v>0.96</v>
      </c>
      <c r="T357" s="490">
        <v>0.92</v>
      </c>
      <c r="V357" s="489">
        <v>270</v>
      </c>
      <c r="W357" s="490">
        <v>1</v>
      </c>
      <c r="X357" s="490">
        <v>1</v>
      </c>
      <c r="Y357" s="490">
        <v>0.99</v>
      </c>
      <c r="Z357" s="490">
        <v>0.97</v>
      </c>
      <c r="AA357" s="490">
        <v>0.93</v>
      </c>
      <c r="AC357" s="489">
        <v>270</v>
      </c>
      <c r="AD357" s="490">
        <v>1</v>
      </c>
      <c r="AE357" s="490">
        <v>1.01</v>
      </c>
      <c r="AF357" s="490">
        <v>1</v>
      </c>
      <c r="AG357" s="490">
        <v>0.99</v>
      </c>
      <c r="AH357" s="490">
        <v>0.96</v>
      </c>
      <c r="AJ357" s="489">
        <v>270</v>
      </c>
      <c r="AK357" s="490">
        <v>1</v>
      </c>
      <c r="AL357" s="490">
        <v>1.01</v>
      </c>
      <c r="AM357" s="490">
        <v>1.01</v>
      </c>
      <c r="AN357" s="490">
        <v>1</v>
      </c>
      <c r="AO357" s="490">
        <v>0.98</v>
      </c>
      <c r="AQ357" s="489">
        <v>270</v>
      </c>
      <c r="AR357" s="490">
        <v>1</v>
      </c>
      <c r="AS357" s="490">
        <v>1.01</v>
      </c>
      <c r="AT357" s="490">
        <v>1.01</v>
      </c>
      <c r="AU357" s="490">
        <v>0.99</v>
      </c>
      <c r="AV357" s="490">
        <v>0.98</v>
      </c>
      <c r="AX357" s="489">
        <v>270</v>
      </c>
      <c r="AY357" s="490">
        <v>1</v>
      </c>
      <c r="AZ357" s="490">
        <v>1.01</v>
      </c>
      <c r="BA357" s="490">
        <v>1.01</v>
      </c>
      <c r="BB357" s="490">
        <v>1.01</v>
      </c>
      <c r="BC357" s="490">
        <v>0.99</v>
      </c>
      <c r="BE357" s="489">
        <v>270</v>
      </c>
      <c r="BF357" s="490">
        <v>1</v>
      </c>
      <c r="BG357" s="490">
        <v>1.01</v>
      </c>
      <c r="BH357" s="490">
        <v>1.01</v>
      </c>
      <c r="BI357" s="490">
        <v>1.01</v>
      </c>
      <c r="BJ357" s="490">
        <v>0.98</v>
      </c>
      <c r="BL357" s="489">
        <v>270</v>
      </c>
      <c r="BM357" s="490">
        <v>1</v>
      </c>
      <c r="BN357" s="490">
        <v>1.01</v>
      </c>
      <c r="BO357" s="490">
        <v>1.01</v>
      </c>
      <c r="BP357" s="490">
        <v>1</v>
      </c>
      <c r="BQ357" s="490">
        <v>0.98</v>
      </c>
      <c r="BS357" s="489">
        <v>270</v>
      </c>
      <c r="BT357" s="490">
        <v>1</v>
      </c>
      <c r="BU357" s="490">
        <v>1.01</v>
      </c>
      <c r="BV357" s="490">
        <v>1.01</v>
      </c>
      <c r="BW357" s="490">
        <v>0.99</v>
      </c>
      <c r="BX357" s="490">
        <v>0.96</v>
      </c>
      <c r="BZ357" s="489">
        <v>270</v>
      </c>
      <c r="CA357" s="490">
        <v>1</v>
      </c>
      <c r="CB357" s="490">
        <v>1.01</v>
      </c>
      <c r="CC357" s="490">
        <v>1</v>
      </c>
      <c r="CD357" s="490">
        <v>0.98</v>
      </c>
      <c r="CE357" s="490">
        <v>0.95</v>
      </c>
      <c r="CG357" s="489">
        <v>270</v>
      </c>
      <c r="CH357" s="490">
        <v>1</v>
      </c>
      <c r="CI357" s="490">
        <v>1</v>
      </c>
      <c r="CJ357" s="490">
        <v>0.99</v>
      </c>
      <c r="CK357" s="490">
        <v>0.96</v>
      </c>
      <c r="CL357" s="490">
        <v>0.92</v>
      </c>
      <c r="CN357" s="489">
        <v>270</v>
      </c>
      <c r="CO357" s="490">
        <v>1</v>
      </c>
      <c r="CP357" s="490">
        <v>1</v>
      </c>
      <c r="CQ357" s="490">
        <v>0.99</v>
      </c>
      <c r="CR357" s="490">
        <v>0.96</v>
      </c>
      <c r="CS357" s="490">
        <v>0.92</v>
      </c>
    </row>
    <row r="358" spans="3:97" ht="15.75" thickBot="1" x14ac:dyDescent="0.3">
      <c r="C358" s="489">
        <v>20</v>
      </c>
      <c r="D358" s="490">
        <v>0.88</v>
      </c>
      <c r="E358" s="490">
        <v>0.94</v>
      </c>
      <c r="F358" s="490">
        <v>0.98</v>
      </c>
      <c r="G358" s="491">
        <v>0.99</v>
      </c>
      <c r="H358" s="490">
        <v>0.98</v>
      </c>
      <c r="I358" s="490">
        <v>0.94</v>
      </c>
      <c r="J358" s="490">
        <v>0.89</v>
      </c>
      <c r="K358" s="490">
        <v>0.81</v>
      </c>
      <c r="L358" s="490">
        <v>0.72</v>
      </c>
      <c r="M358" s="490">
        <v>0.62</v>
      </c>
      <c r="O358" s="489">
        <v>280</v>
      </c>
      <c r="P358" s="490">
        <v>1</v>
      </c>
      <c r="Q358" s="490">
        <v>1</v>
      </c>
      <c r="R358" s="490">
        <v>0.99</v>
      </c>
      <c r="S358" s="490">
        <v>0.96</v>
      </c>
      <c r="T358" s="490">
        <v>0.92</v>
      </c>
      <c r="V358" s="489">
        <v>280</v>
      </c>
      <c r="W358" s="490">
        <v>1</v>
      </c>
      <c r="X358" s="490">
        <v>1.01</v>
      </c>
      <c r="Y358" s="490">
        <v>1</v>
      </c>
      <c r="Z358" s="490">
        <v>0.98</v>
      </c>
      <c r="AA358" s="490">
        <v>0.95</v>
      </c>
      <c r="AC358" s="489">
        <v>280</v>
      </c>
      <c r="AD358" s="490">
        <v>1</v>
      </c>
      <c r="AE358" s="490">
        <v>1.02</v>
      </c>
      <c r="AF358" s="490">
        <v>1.03</v>
      </c>
      <c r="AG358" s="490">
        <v>1.03</v>
      </c>
      <c r="AH358" s="490">
        <v>1</v>
      </c>
      <c r="AJ358" s="489">
        <v>280</v>
      </c>
      <c r="AK358" s="490">
        <v>1</v>
      </c>
      <c r="AL358" s="490">
        <v>1.04</v>
      </c>
      <c r="AM358" s="490">
        <v>1.05</v>
      </c>
      <c r="AN358" s="490">
        <v>1.06</v>
      </c>
      <c r="AO358" s="490">
        <v>1.05</v>
      </c>
      <c r="AQ358" s="489">
        <v>280</v>
      </c>
      <c r="AR358" s="490">
        <v>1</v>
      </c>
      <c r="AS358" s="490">
        <v>1.04</v>
      </c>
      <c r="AT358" s="490">
        <v>1.07</v>
      </c>
      <c r="AU358" s="490">
        <v>1.08</v>
      </c>
      <c r="AV358" s="490">
        <v>1.08</v>
      </c>
      <c r="AX358" s="489">
        <v>280</v>
      </c>
      <c r="AY358" s="490">
        <v>1</v>
      </c>
      <c r="AZ358" s="490">
        <v>1.05</v>
      </c>
      <c r="BA358" s="490">
        <v>1.08</v>
      </c>
      <c r="BB358" s="490">
        <v>1.1000000000000001</v>
      </c>
      <c r="BC358" s="490">
        <v>1.1000000000000001</v>
      </c>
      <c r="BE358" s="489">
        <v>280</v>
      </c>
      <c r="BF358" s="490">
        <v>1</v>
      </c>
      <c r="BG358" s="490">
        <v>1.04</v>
      </c>
      <c r="BH358" s="490">
        <v>1.07</v>
      </c>
      <c r="BI358" s="490">
        <v>1.0900000000000001</v>
      </c>
      <c r="BJ358" s="490">
        <v>1.0900000000000001</v>
      </c>
      <c r="BL358" s="489">
        <v>280</v>
      </c>
      <c r="BM358" s="490">
        <v>1</v>
      </c>
      <c r="BN358" s="490">
        <v>1.04</v>
      </c>
      <c r="BO358" s="490">
        <v>1.06</v>
      </c>
      <c r="BP358" s="490">
        <v>1.06</v>
      </c>
      <c r="BQ358" s="490">
        <v>1.06</v>
      </c>
      <c r="BS358" s="489">
        <v>280</v>
      </c>
      <c r="BT358" s="490">
        <v>1</v>
      </c>
      <c r="BU358" s="490">
        <v>1.02</v>
      </c>
      <c r="BV358" s="490">
        <v>1.04</v>
      </c>
      <c r="BW358" s="490">
        <v>1.03</v>
      </c>
      <c r="BX358" s="490">
        <v>1.01</v>
      </c>
      <c r="BZ358" s="489">
        <v>280</v>
      </c>
      <c r="CA358" s="490">
        <v>1</v>
      </c>
      <c r="CB358" s="490">
        <v>1.02</v>
      </c>
      <c r="CC358" s="490">
        <v>1.02</v>
      </c>
      <c r="CD358" s="490">
        <v>1</v>
      </c>
      <c r="CE358" s="490">
        <v>0.98</v>
      </c>
      <c r="CG358" s="489">
        <v>280</v>
      </c>
      <c r="CH358" s="490">
        <v>1</v>
      </c>
      <c r="CI358" s="490">
        <v>1</v>
      </c>
      <c r="CJ358" s="490">
        <v>0.99</v>
      </c>
      <c r="CK358" s="490">
        <v>0.97</v>
      </c>
      <c r="CL358" s="490">
        <v>0.93</v>
      </c>
      <c r="CN358" s="489">
        <v>280</v>
      </c>
      <c r="CO358" s="490">
        <v>1</v>
      </c>
      <c r="CP358" s="490">
        <v>1</v>
      </c>
      <c r="CQ358" s="490">
        <v>0.98</v>
      </c>
      <c r="CR358" s="490">
        <v>0.95</v>
      </c>
      <c r="CS358" s="490">
        <v>0.92</v>
      </c>
    </row>
    <row r="359" spans="3:97" ht="15.75" thickBot="1" x14ac:dyDescent="0.3">
      <c r="C359" s="489">
        <v>30</v>
      </c>
      <c r="D359" s="490">
        <v>0.88</v>
      </c>
      <c r="E359" s="490">
        <v>0.94</v>
      </c>
      <c r="F359" s="490">
        <v>0.97</v>
      </c>
      <c r="G359" s="491">
        <v>0.98</v>
      </c>
      <c r="H359" s="490">
        <v>0.97</v>
      </c>
      <c r="I359" s="490">
        <v>0.93</v>
      </c>
      <c r="J359" s="490">
        <v>0.88</v>
      </c>
      <c r="K359" s="490">
        <v>0.81</v>
      </c>
      <c r="L359" s="490">
        <v>0.72</v>
      </c>
      <c r="M359" s="490">
        <v>0.62</v>
      </c>
      <c r="O359" s="489">
        <v>290</v>
      </c>
      <c r="P359" s="490">
        <v>1</v>
      </c>
      <c r="Q359" s="490">
        <v>1</v>
      </c>
      <c r="R359" s="490">
        <v>0.99</v>
      </c>
      <c r="S359" s="490">
        <v>0.96</v>
      </c>
      <c r="T359" s="490">
        <v>0.92</v>
      </c>
      <c r="V359" s="489">
        <v>290</v>
      </c>
      <c r="W359" s="490">
        <v>1</v>
      </c>
      <c r="X359" s="490">
        <v>1.01</v>
      </c>
      <c r="Y359" s="490">
        <v>1.01</v>
      </c>
      <c r="Z359" s="490">
        <v>1</v>
      </c>
      <c r="AA359" s="490">
        <v>0.97</v>
      </c>
      <c r="AC359" s="489">
        <v>290</v>
      </c>
      <c r="AD359" s="490">
        <v>1</v>
      </c>
      <c r="AE359" s="490">
        <v>1.04</v>
      </c>
      <c r="AF359" s="490">
        <v>1.06</v>
      </c>
      <c r="AG359" s="490">
        <v>1.06</v>
      </c>
      <c r="AH359" s="490">
        <v>1.04</v>
      </c>
      <c r="AJ359" s="489">
        <v>290</v>
      </c>
      <c r="AK359" s="490">
        <v>1</v>
      </c>
      <c r="AL359" s="490">
        <v>1.06</v>
      </c>
      <c r="AM359" s="490">
        <v>1.1000000000000001</v>
      </c>
      <c r="AN359" s="490">
        <v>1.1200000000000001</v>
      </c>
      <c r="AO359" s="490">
        <v>1.1200000000000001</v>
      </c>
      <c r="AQ359" s="489">
        <v>290</v>
      </c>
      <c r="AR359" s="490">
        <v>1</v>
      </c>
      <c r="AS359" s="490">
        <v>1.07</v>
      </c>
      <c r="AT359" s="490">
        <v>1.1299999999999999</v>
      </c>
      <c r="AU359" s="490">
        <v>1.1599999999999999</v>
      </c>
      <c r="AV359" s="490">
        <v>1.17</v>
      </c>
      <c r="AX359" s="489">
        <v>290</v>
      </c>
      <c r="AY359" s="490">
        <v>1</v>
      </c>
      <c r="AZ359" s="490">
        <v>1.08</v>
      </c>
      <c r="BA359" s="490">
        <v>1.1499999999999999</v>
      </c>
      <c r="BB359" s="490">
        <v>1.2</v>
      </c>
      <c r="BC359" s="490">
        <v>1.21</v>
      </c>
      <c r="BE359" s="489">
        <v>290</v>
      </c>
      <c r="BF359" s="490">
        <v>1</v>
      </c>
      <c r="BG359" s="490">
        <v>1.07</v>
      </c>
      <c r="BH359" s="490">
        <v>1.1299999999999999</v>
      </c>
      <c r="BI359" s="490">
        <v>1.17</v>
      </c>
      <c r="BJ359" s="490">
        <v>1.2</v>
      </c>
      <c r="BL359" s="489">
        <v>290</v>
      </c>
      <c r="BM359" s="490">
        <v>1</v>
      </c>
      <c r="BN359" s="490">
        <v>1.06</v>
      </c>
      <c r="BO359" s="490">
        <v>1.1000000000000001</v>
      </c>
      <c r="BP359" s="490">
        <v>1.1299999999999999</v>
      </c>
      <c r="BQ359" s="490">
        <v>1.1299999999999999</v>
      </c>
      <c r="BS359" s="489">
        <v>290</v>
      </c>
      <c r="BT359" s="490">
        <v>1</v>
      </c>
      <c r="BU359" s="490">
        <v>1.04</v>
      </c>
      <c r="BV359" s="490">
        <v>1.07</v>
      </c>
      <c r="BW359" s="490">
        <v>1.07</v>
      </c>
      <c r="BX359" s="490">
        <v>1.06</v>
      </c>
      <c r="BZ359" s="489">
        <v>290</v>
      </c>
      <c r="CA359" s="490">
        <v>1</v>
      </c>
      <c r="CB359" s="490">
        <v>1.02</v>
      </c>
      <c r="CC359" s="490">
        <v>1.03</v>
      </c>
      <c r="CD359" s="490">
        <v>1.02</v>
      </c>
      <c r="CE359" s="490">
        <v>1</v>
      </c>
      <c r="CG359" s="489">
        <v>290</v>
      </c>
      <c r="CH359" s="490">
        <v>1</v>
      </c>
      <c r="CI359" s="490">
        <v>1.01</v>
      </c>
      <c r="CJ359" s="490">
        <v>1</v>
      </c>
      <c r="CK359" s="490">
        <v>0.97</v>
      </c>
      <c r="CL359" s="490">
        <v>0.93</v>
      </c>
      <c r="CN359" s="489">
        <v>290</v>
      </c>
      <c r="CO359" s="490">
        <v>1</v>
      </c>
      <c r="CP359" s="490">
        <v>1</v>
      </c>
      <c r="CQ359" s="490">
        <v>0.98</v>
      </c>
      <c r="CR359" s="490">
        <v>0.95</v>
      </c>
      <c r="CS359" s="490">
        <v>0.91</v>
      </c>
    </row>
    <row r="360" spans="3:97" ht="15.75" thickBot="1" x14ac:dyDescent="0.3">
      <c r="C360" s="489">
        <v>40</v>
      </c>
      <c r="D360" s="490">
        <v>0.88</v>
      </c>
      <c r="E360" s="490">
        <v>0.93</v>
      </c>
      <c r="F360" s="490">
        <v>0.96</v>
      </c>
      <c r="G360" s="491">
        <v>0.96</v>
      </c>
      <c r="H360" s="490">
        <v>0.95</v>
      </c>
      <c r="I360" s="490">
        <v>0.92</v>
      </c>
      <c r="J360" s="490">
        <v>0.86</v>
      </c>
      <c r="K360" s="490">
        <v>0.8</v>
      </c>
      <c r="L360" s="490">
        <v>0.71</v>
      </c>
      <c r="M360" s="490">
        <v>0.62</v>
      </c>
      <c r="O360" s="489">
        <v>300</v>
      </c>
      <c r="P360" s="490">
        <v>1</v>
      </c>
      <c r="Q360" s="490">
        <v>1</v>
      </c>
      <c r="R360" s="491">
        <v>0.99</v>
      </c>
      <c r="S360" s="490">
        <v>0.96</v>
      </c>
      <c r="T360" s="490">
        <v>0.92</v>
      </c>
      <c r="V360" s="489">
        <v>300</v>
      </c>
      <c r="W360" s="490">
        <v>1</v>
      </c>
      <c r="X360" s="490">
        <v>1.02</v>
      </c>
      <c r="Y360" s="491">
        <v>1.02</v>
      </c>
      <c r="Z360" s="490">
        <v>1.01</v>
      </c>
      <c r="AA360" s="490">
        <v>0.98</v>
      </c>
      <c r="AC360" s="489">
        <v>300</v>
      </c>
      <c r="AD360" s="490">
        <v>1</v>
      </c>
      <c r="AE360" s="490">
        <v>1.05</v>
      </c>
      <c r="AF360" s="491">
        <v>1.08</v>
      </c>
      <c r="AG360" s="490">
        <v>1.0900000000000001</v>
      </c>
      <c r="AH360" s="490">
        <v>1.08</v>
      </c>
      <c r="AJ360" s="489">
        <v>300</v>
      </c>
      <c r="AK360" s="490">
        <v>1</v>
      </c>
      <c r="AL360" s="490">
        <v>1.08</v>
      </c>
      <c r="AM360" s="491">
        <v>1.1299999999999999</v>
      </c>
      <c r="AN360" s="490">
        <v>1.17</v>
      </c>
      <c r="AO360" s="490">
        <v>1.18</v>
      </c>
      <c r="AQ360" s="489">
        <v>300</v>
      </c>
      <c r="AR360" s="490">
        <v>1</v>
      </c>
      <c r="AS360" s="490">
        <v>1.1000000000000001</v>
      </c>
      <c r="AT360" s="491">
        <v>1.18</v>
      </c>
      <c r="AU360" s="490">
        <v>1.24</v>
      </c>
      <c r="AV360" s="490">
        <v>1.26</v>
      </c>
      <c r="AX360" s="489">
        <v>300</v>
      </c>
      <c r="AY360" s="490">
        <v>1</v>
      </c>
      <c r="AZ360" s="490">
        <v>1.1200000000000001</v>
      </c>
      <c r="BA360" s="491">
        <v>1.21</v>
      </c>
      <c r="BB360" s="490">
        <v>1.29</v>
      </c>
      <c r="BC360" s="490">
        <v>1.33</v>
      </c>
      <c r="BE360" s="489">
        <v>300</v>
      </c>
      <c r="BF360" s="490">
        <v>1</v>
      </c>
      <c r="BG360" s="490">
        <v>1.1100000000000001</v>
      </c>
      <c r="BH360" s="491">
        <v>1.19</v>
      </c>
      <c r="BI360" s="490">
        <v>1.26</v>
      </c>
      <c r="BJ360" s="490">
        <v>1.29</v>
      </c>
      <c r="BL360" s="489">
        <v>300</v>
      </c>
      <c r="BM360" s="490">
        <v>1</v>
      </c>
      <c r="BN360" s="490">
        <v>1.0900000000000001</v>
      </c>
      <c r="BO360" s="491">
        <v>1.1399999999999999</v>
      </c>
      <c r="BP360" s="490">
        <v>1.19</v>
      </c>
      <c r="BQ360" s="490">
        <v>1.2</v>
      </c>
      <c r="BS360" s="489">
        <v>300</v>
      </c>
      <c r="BT360" s="490">
        <v>1</v>
      </c>
      <c r="BU360" s="490">
        <v>1.05</v>
      </c>
      <c r="BV360" s="491">
        <v>1.0900000000000001</v>
      </c>
      <c r="BW360" s="490">
        <v>1.1000000000000001</v>
      </c>
      <c r="BX360" s="490">
        <v>1.1000000000000001</v>
      </c>
      <c r="BZ360" s="489">
        <v>300</v>
      </c>
      <c r="CA360" s="490">
        <v>1</v>
      </c>
      <c r="CB360" s="490">
        <v>1.03</v>
      </c>
      <c r="CC360" s="491">
        <v>1.04</v>
      </c>
      <c r="CD360" s="490">
        <v>1.04</v>
      </c>
      <c r="CE360" s="490">
        <v>1.02</v>
      </c>
      <c r="CG360" s="489">
        <v>300</v>
      </c>
      <c r="CH360" s="490">
        <v>1</v>
      </c>
      <c r="CI360" s="490">
        <v>1.01</v>
      </c>
      <c r="CJ360" s="491">
        <v>1</v>
      </c>
      <c r="CK360" s="490">
        <v>0.98</v>
      </c>
      <c r="CL360" s="490">
        <v>0.93</v>
      </c>
      <c r="CN360" s="489">
        <v>300</v>
      </c>
      <c r="CO360" s="490">
        <v>1</v>
      </c>
      <c r="CP360" s="490">
        <v>1</v>
      </c>
      <c r="CQ360" s="491">
        <v>0.98</v>
      </c>
      <c r="CR360" s="490">
        <v>0.95</v>
      </c>
      <c r="CS360" s="490">
        <v>0.9</v>
      </c>
    </row>
    <row r="361" spans="3:97" ht="15.75" thickBot="1" x14ac:dyDescent="0.3">
      <c r="C361" s="489">
        <v>50</v>
      </c>
      <c r="D361" s="490">
        <v>0.88</v>
      </c>
      <c r="E361" s="490">
        <v>0.92</v>
      </c>
      <c r="F361" s="490">
        <v>0.94</v>
      </c>
      <c r="G361" s="491">
        <v>0.94</v>
      </c>
      <c r="H361" s="490">
        <v>0.93</v>
      </c>
      <c r="I361" s="490">
        <v>0.89</v>
      </c>
      <c r="J361" s="490">
        <v>0.84</v>
      </c>
      <c r="K361" s="490">
        <v>0.78</v>
      </c>
      <c r="L361" s="490">
        <v>0.7</v>
      </c>
      <c r="M361" s="490">
        <v>0.62</v>
      </c>
      <c r="O361" s="489">
        <v>310</v>
      </c>
      <c r="P361" s="490">
        <v>1</v>
      </c>
      <c r="Q361" s="490">
        <v>1</v>
      </c>
      <c r="R361" s="491">
        <v>0.99</v>
      </c>
      <c r="S361" s="490">
        <v>0.96</v>
      </c>
      <c r="T361" s="490">
        <v>0.91</v>
      </c>
      <c r="V361" s="489">
        <v>310</v>
      </c>
      <c r="W361" s="490">
        <v>1</v>
      </c>
      <c r="X361" s="490">
        <v>1.03</v>
      </c>
      <c r="Y361" s="491">
        <v>1.03</v>
      </c>
      <c r="Z361" s="490">
        <v>1.01</v>
      </c>
      <c r="AA361" s="490">
        <v>0.99</v>
      </c>
      <c r="AC361" s="489">
        <v>310</v>
      </c>
      <c r="AD361" s="490">
        <v>1</v>
      </c>
      <c r="AE361" s="490">
        <v>1.06</v>
      </c>
      <c r="AF361" s="491">
        <v>1.1000000000000001</v>
      </c>
      <c r="AG361" s="490">
        <v>1.1100000000000001</v>
      </c>
      <c r="AH361" s="490">
        <v>1.1100000000000001</v>
      </c>
      <c r="AJ361" s="489">
        <v>310</v>
      </c>
      <c r="AK361" s="490">
        <v>1</v>
      </c>
      <c r="AL361" s="490">
        <v>1.1000000000000001</v>
      </c>
      <c r="AM361" s="491">
        <v>1.17</v>
      </c>
      <c r="AN361" s="490">
        <v>1.21</v>
      </c>
      <c r="AO361" s="490">
        <v>1.24</v>
      </c>
      <c r="AQ361" s="489">
        <v>310</v>
      </c>
      <c r="AR361" s="490">
        <v>1</v>
      </c>
      <c r="AS361" s="490">
        <v>1.1299999999999999</v>
      </c>
      <c r="AT361" s="491">
        <v>1.23</v>
      </c>
      <c r="AU361" s="490">
        <v>1.3</v>
      </c>
      <c r="AV361" s="490">
        <v>1.35</v>
      </c>
      <c r="AX361" s="489">
        <v>310</v>
      </c>
      <c r="AY361" s="490">
        <v>1</v>
      </c>
      <c r="AZ361" s="490">
        <v>1.1499999999999999</v>
      </c>
      <c r="BA361" s="491">
        <v>1.27</v>
      </c>
      <c r="BB361" s="490">
        <v>1.36</v>
      </c>
      <c r="BC361" s="490">
        <v>1.43</v>
      </c>
      <c r="BE361" s="489">
        <v>310</v>
      </c>
      <c r="BF361" s="490">
        <v>1</v>
      </c>
      <c r="BG361" s="490">
        <v>1.1299999999999999</v>
      </c>
      <c r="BH361" s="491">
        <v>1.24</v>
      </c>
      <c r="BI361" s="490">
        <v>1.33</v>
      </c>
      <c r="BJ361" s="490">
        <v>1.38</v>
      </c>
      <c r="BL361" s="489">
        <v>310</v>
      </c>
      <c r="BM361" s="490">
        <v>1</v>
      </c>
      <c r="BN361" s="490">
        <v>1.1000000000000001</v>
      </c>
      <c r="BO361" s="491">
        <v>1.19</v>
      </c>
      <c r="BP361" s="490">
        <v>1.24</v>
      </c>
      <c r="BQ361" s="490">
        <v>1.26</v>
      </c>
      <c r="BS361" s="489">
        <v>310</v>
      </c>
      <c r="BT361" s="490">
        <v>1</v>
      </c>
      <c r="BU361" s="490">
        <v>1.07</v>
      </c>
      <c r="BV361" s="491">
        <v>1.1100000000000001</v>
      </c>
      <c r="BW361" s="490">
        <v>1.1399999999999999</v>
      </c>
      <c r="BX361" s="490">
        <v>1.1399999999999999</v>
      </c>
      <c r="BZ361" s="489">
        <v>310</v>
      </c>
      <c r="CA361" s="490">
        <v>1</v>
      </c>
      <c r="CB361" s="490">
        <v>1.04</v>
      </c>
      <c r="CC361" s="491">
        <v>1.05</v>
      </c>
      <c r="CD361" s="490">
        <v>1.05</v>
      </c>
      <c r="CE361" s="490">
        <v>1.03</v>
      </c>
      <c r="CG361" s="489">
        <v>310</v>
      </c>
      <c r="CH361" s="490">
        <v>1</v>
      </c>
      <c r="CI361" s="490">
        <v>1.01</v>
      </c>
      <c r="CJ361" s="491">
        <v>1</v>
      </c>
      <c r="CK361" s="490">
        <v>0.98</v>
      </c>
      <c r="CL361" s="490">
        <v>0.93</v>
      </c>
      <c r="CN361" s="489">
        <v>310</v>
      </c>
      <c r="CO361" s="490">
        <v>1</v>
      </c>
      <c r="CP361" s="490">
        <v>1</v>
      </c>
      <c r="CQ361" s="491">
        <v>0.98</v>
      </c>
      <c r="CR361" s="490">
        <v>0.94</v>
      </c>
      <c r="CS361" s="490">
        <v>0.89</v>
      </c>
    </row>
    <row r="362" spans="3:97" ht="15.75" thickBot="1" x14ac:dyDescent="0.3">
      <c r="C362" s="489">
        <v>60</v>
      </c>
      <c r="D362" s="490">
        <v>0.88</v>
      </c>
      <c r="E362" s="490">
        <v>0.91</v>
      </c>
      <c r="F362" s="490">
        <v>0.93</v>
      </c>
      <c r="G362" s="491">
        <v>0.93</v>
      </c>
      <c r="H362" s="490">
        <v>0.9</v>
      </c>
      <c r="I362" s="490">
        <v>0.87</v>
      </c>
      <c r="J362" s="490">
        <v>0.82</v>
      </c>
      <c r="K362" s="490">
        <v>0.76</v>
      </c>
      <c r="L362" s="490">
        <v>0.69</v>
      </c>
      <c r="M362" s="490">
        <v>0.61</v>
      </c>
      <c r="O362" s="489">
        <v>320</v>
      </c>
      <c r="P362" s="490">
        <v>1</v>
      </c>
      <c r="Q362" s="490">
        <v>1</v>
      </c>
      <c r="R362" s="491">
        <v>0.99</v>
      </c>
      <c r="S362" s="490">
        <v>0.96</v>
      </c>
      <c r="T362" s="490">
        <v>0.9</v>
      </c>
      <c r="V362" s="489">
        <v>320</v>
      </c>
      <c r="W362" s="490">
        <v>1</v>
      </c>
      <c r="X362" s="490">
        <v>1.03</v>
      </c>
      <c r="Y362" s="491">
        <v>1.04</v>
      </c>
      <c r="Z362" s="490">
        <v>1.02</v>
      </c>
      <c r="AA362" s="490">
        <v>0.99</v>
      </c>
      <c r="AC362" s="489">
        <v>320</v>
      </c>
      <c r="AD362" s="490">
        <v>1</v>
      </c>
      <c r="AE362" s="490">
        <v>1.07</v>
      </c>
      <c r="AF362" s="491">
        <v>1.1200000000000001</v>
      </c>
      <c r="AG362" s="490">
        <v>1.1399999999999999</v>
      </c>
      <c r="AH362" s="490">
        <v>1.1299999999999999</v>
      </c>
      <c r="AJ362" s="489">
        <v>320</v>
      </c>
      <c r="AK362" s="490">
        <v>1</v>
      </c>
      <c r="AL362" s="490">
        <v>1.1200000000000001</v>
      </c>
      <c r="AM362" s="491">
        <v>1.2</v>
      </c>
      <c r="AN362" s="490">
        <v>1.25</v>
      </c>
      <c r="AO362" s="490">
        <v>1.28</v>
      </c>
      <c r="AQ362" s="489">
        <v>320</v>
      </c>
      <c r="AR362" s="490">
        <v>1</v>
      </c>
      <c r="AS362" s="490">
        <v>1.1499999999999999</v>
      </c>
      <c r="AT362" s="491">
        <v>1.27</v>
      </c>
      <c r="AU362" s="490">
        <v>1.37</v>
      </c>
      <c r="AV362" s="490">
        <v>1.43</v>
      </c>
      <c r="AX362" s="489">
        <v>320</v>
      </c>
      <c r="AY362" s="490">
        <v>1</v>
      </c>
      <c r="AZ362" s="490">
        <v>1.18</v>
      </c>
      <c r="BA362" s="491">
        <v>1.33</v>
      </c>
      <c r="BB362" s="490">
        <v>1.44</v>
      </c>
      <c r="BC362" s="490">
        <v>1.52</v>
      </c>
      <c r="BE362" s="489">
        <v>320</v>
      </c>
      <c r="BF362" s="490">
        <v>1</v>
      </c>
      <c r="BG362" s="490">
        <v>1.1599999999999999</v>
      </c>
      <c r="BH362" s="491">
        <v>1.29</v>
      </c>
      <c r="BI362" s="490">
        <v>1.39</v>
      </c>
      <c r="BJ362" s="490">
        <v>1.46</v>
      </c>
      <c r="BL362" s="489">
        <v>320</v>
      </c>
      <c r="BM362" s="490">
        <v>1</v>
      </c>
      <c r="BN362" s="490">
        <v>1.1200000000000001</v>
      </c>
      <c r="BO362" s="491">
        <v>1.21</v>
      </c>
      <c r="BP362" s="490">
        <v>1.28</v>
      </c>
      <c r="BQ362" s="490">
        <v>1.31</v>
      </c>
      <c r="BS362" s="489">
        <v>320</v>
      </c>
      <c r="BT362" s="490">
        <v>1</v>
      </c>
      <c r="BU362" s="490">
        <v>1.08</v>
      </c>
      <c r="BV362" s="491">
        <v>1.1299999999999999</v>
      </c>
      <c r="BW362" s="490">
        <v>1.1599999999999999</v>
      </c>
      <c r="BX362" s="490">
        <v>1.17</v>
      </c>
      <c r="BZ362" s="489">
        <v>320</v>
      </c>
      <c r="CA362" s="490">
        <v>1</v>
      </c>
      <c r="CB362" s="490">
        <v>1.04</v>
      </c>
      <c r="CC362" s="491">
        <v>1.06</v>
      </c>
      <c r="CD362" s="490">
        <v>1.06</v>
      </c>
      <c r="CE362" s="490">
        <v>1.04</v>
      </c>
      <c r="CG362" s="489">
        <v>320</v>
      </c>
      <c r="CH362" s="490">
        <v>1</v>
      </c>
      <c r="CI362" s="490">
        <v>1.01</v>
      </c>
      <c r="CJ362" s="491">
        <v>1</v>
      </c>
      <c r="CK362" s="490">
        <v>0.97</v>
      </c>
      <c r="CL362" s="490">
        <v>0.93</v>
      </c>
      <c r="CN362" s="489">
        <v>320</v>
      </c>
      <c r="CO362" s="490">
        <v>1</v>
      </c>
      <c r="CP362" s="490">
        <v>1</v>
      </c>
      <c r="CQ362" s="491">
        <v>0.98</v>
      </c>
      <c r="CR362" s="490">
        <v>0.93</v>
      </c>
      <c r="CS362" s="490">
        <v>0.88</v>
      </c>
    </row>
    <row r="363" spans="3:97" ht="15.75" thickBot="1" x14ac:dyDescent="0.3">
      <c r="C363" s="489">
        <v>70</v>
      </c>
      <c r="D363" s="490">
        <v>0.88</v>
      </c>
      <c r="E363" s="490">
        <v>0.9</v>
      </c>
      <c r="F363" s="490">
        <v>0.91</v>
      </c>
      <c r="G363" s="491">
        <v>0.9</v>
      </c>
      <c r="H363" s="490">
        <v>0.88</v>
      </c>
      <c r="I363" s="490">
        <v>0.84</v>
      </c>
      <c r="J363" s="490">
        <v>0.79</v>
      </c>
      <c r="K363" s="490">
        <v>0.73</v>
      </c>
      <c r="L363" s="490">
        <v>0.66</v>
      </c>
      <c r="M363" s="490">
        <v>0.59</v>
      </c>
      <c r="O363" s="489">
        <v>330</v>
      </c>
      <c r="P363" s="490">
        <v>1</v>
      </c>
      <c r="Q363" s="490">
        <v>1</v>
      </c>
      <c r="R363" s="491">
        <v>0.99</v>
      </c>
      <c r="S363" s="490">
        <v>0.95</v>
      </c>
      <c r="T363" s="490">
        <v>0.89</v>
      </c>
      <c r="V363" s="489">
        <v>330</v>
      </c>
      <c r="W363" s="490">
        <v>1</v>
      </c>
      <c r="X363" s="490">
        <v>1.03</v>
      </c>
      <c r="Y363" s="491">
        <v>1.04</v>
      </c>
      <c r="Z363" s="490">
        <v>1.03</v>
      </c>
      <c r="AA363" s="490">
        <v>0.99</v>
      </c>
      <c r="AC363" s="489">
        <v>330</v>
      </c>
      <c r="AD363" s="490">
        <v>1</v>
      </c>
      <c r="AE363" s="490">
        <v>1.08</v>
      </c>
      <c r="AF363" s="491">
        <v>1.1299999999999999</v>
      </c>
      <c r="AG363" s="490">
        <v>1.1499999999999999</v>
      </c>
      <c r="AH363" s="490">
        <v>1.1499999999999999</v>
      </c>
      <c r="AJ363" s="489">
        <v>330</v>
      </c>
      <c r="AK363" s="490">
        <v>1</v>
      </c>
      <c r="AL363" s="490">
        <v>1.1299999999999999</v>
      </c>
      <c r="AM363" s="491">
        <v>1.22</v>
      </c>
      <c r="AN363" s="490">
        <v>1.29</v>
      </c>
      <c r="AO363" s="490">
        <v>1.33</v>
      </c>
      <c r="AQ363" s="489">
        <v>330</v>
      </c>
      <c r="AR363" s="490">
        <v>1</v>
      </c>
      <c r="AS363" s="490">
        <v>1.17</v>
      </c>
      <c r="AT363" s="491">
        <v>1.31</v>
      </c>
      <c r="AU363" s="490">
        <v>1.42</v>
      </c>
      <c r="AV363" s="490">
        <v>1.5</v>
      </c>
      <c r="AX363" s="489">
        <v>330</v>
      </c>
      <c r="AY363" s="490">
        <v>1</v>
      </c>
      <c r="AZ363" s="490">
        <v>1.2</v>
      </c>
      <c r="BA363" s="491">
        <v>1.36</v>
      </c>
      <c r="BB363" s="490">
        <v>1.5</v>
      </c>
      <c r="BC363" s="490">
        <v>1.6</v>
      </c>
      <c r="BE363" s="489">
        <v>330</v>
      </c>
      <c r="BF363" s="490">
        <v>1</v>
      </c>
      <c r="BG363" s="490">
        <v>1.18</v>
      </c>
      <c r="BH363" s="491">
        <v>1.33</v>
      </c>
      <c r="BI363" s="490">
        <v>1.45</v>
      </c>
      <c r="BJ363" s="490">
        <v>1.53</v>
      </c>
      <c r="BL363" s="489">
        <v>330</v>
      </c>
      <c r="BM363" s="490">
        <v>1</v>
      </c>
      <c r="BN363" s="490">
        <v>1.1399999999999999</v>
      </c>
      <c r="BO363" s="491">
        <v>1.24</v>
      </c>
      <c r="BP363" s="490">
        <v>1.32</v>
      </c>
      <c r="BQ363" s="490">
        <v>1.36</v>
      </c>
      <c r="BS363" s="489">
        <v>330</v>
      </c>
      <c r="BT363" s="490">
        <v>1</v>
      </c>
      <c r="BU363" s="490">
        <v>1.0900000000000001</v>
      </c>
      <c r="BV363" s="491">
        <v>1.1499999999999999</v>
      </c>
      <c r="BW363" s="490">
        <v>1.18</v>
      </c>
      <c r="BX363" s="490">
        <v>1.19</v>
      </c>
      <c r="BZ363" s="489">
        <v>330</v>
      </c>
      <c r="CA363" s="490">
        <v>1</v>
      </c>
      <c r="CB363" s="490">
        <v>1.05</v>
      </c>
      <c r="CC363" s="491">
        <v>1.07</v>
      </c>
      <c r="CD363" s="490">
        <v>1.07</v>
      </c>
      <c r="CE363" s="490">
        <v>1.05</v>
      </c>
      <c r="CG363" s="489">
        <v>330</v>
      </c>
      <c r="CH363" s="490">
        <v>1</v>
      </c>
      <c r="CI363" s="490">
        <v>1.01</v>
      </c>
      <c r="CJ363" s="491">
        <v>1</v>
      </c>
      <c r="CK363" s="490">
        <v>0.97</v>
      </c>
      <c r="CL363" s="490">
        <v>0.92</v>
      </c>
      <c r="CN363" s="489">
        <v>330</v>
      </c>
      <c r="CO363" s="490">
        <v>1</v>
      </c>
      <c r="CP363" s="490">
        <v>1</v>
      </c>
      <c r="CQ363" s="491">
        <v>0.97</v>
      </c>
      <c r="CR363" s="490">
        <v>0.93</v>
      </c>
      <c r="CS363" s="490">
        <v>0.87</v>
      </c>
    </row>
    <row r="364" spans="3:97" ht="15.75" thickBot="1" x14ac:dyDescent="0.3">
      <c r="C364" s="489">
        <v>80</v>
      </c>
      <c r="D364" s="490">
        <v>0.88</v>
      </c>
      <c r="E364" s="490">
        <v>0.89</v>
      </c>
      <c r="F364" s="490">
        <v>0.89</v>
      </c>
      <c r="G364" s="491">
        <v>0.88</v>
      </c>
      <c r="H364" s="490">
        <v>0.85</v>
      </c>
      <c r="I364" s="490">
        <v>0.81</v>
      </c>
      <c r="J364" s="490">
        <v>0.76</v>
      </c>
      <c r="K364" s="490">
        <v>0.7</v>
      </c>
      <c r="L364" s="490">
        <v>0.63</v>
      </c>
      <c r="M364" s="490">
        <v>0.56000000000000005</v>
      </c>
      <c r="O364" s="489">
        <v>340</v>
      </c>
      <c r="P364" s="490">
        <v>1</v>
      </c>
      <c r="Q364" s="490">
        <v>1</v>
      </c>
      <c r="R364" s="491">
        <v>0.99</v>
      </c>
      <c r="S364" s="490">
        <v>0.94</v>
      </c>
      <c r="T364" s="490">
        <v>0.88</v>
      </c>
      <c r="V364" s="489">
        <v>340</v>
      </c>
      <c r="W364" s="490">
        <v>1</v>
      </c>
      <c r="X364" s="490">
        <v>1.03</v>
      </c>
      <c r="Y364" s="491">
        <v>1.04</v>
      </c>
      <c r="Z364" s="490">
        <v>1.03</v>
      </c>
      <c r="AA364" s="490">
        <v>0.99</v>
      </c>
      <c r="AC364" s="489">
        <v>340</v>
      </c>
      <c r="AD364" s="490">
        <v>1</v>
      </c>
      <c r="AE364" s="490">
        <v>1.08</v>
      </c>
      <c r="AF364" s="491">
        <v>1.1399999999999999</v>
      </c>
      <c r="AG364" s="490">
        <v>1.1599999999999999</v>
      </c>
      <c r="AH364" s="490">
        <v>1.1599999999999999</v>
      </c>
      <c r="AJ364" s="489">
        <v>340</v>
      </c>
      <c r="AK364" s="490">
        <v>1</v>
      </c>
      <c r="AL364" s="490">
        <v>1.1299999999999999</v>
      </c>
      <c r="AM364" s="491">
        <v>1.24</v>
      </c>
      <c r="AN364" s="490">
        <v>1.32</v>
      </c>
      <c r="AO364" s="490">
        <v>1.36</v>
      </c>
      <c r="AQ364" s="489">
        <v>340</v>
      </c>
      <c r="AR364" s="490">
        <v>1</v>
      </c>
      <c r="AS364" s="490">
        <v>1.18</v>
      </c>
      <c r="AT364" s="491">
        <v>1.34</v>
      </c>
      <c r="AU364" s="490">
        <v>1.46</v>
      </c>
      <c r="AV364" s="490">
        <v>1.54</v>
      </c>
      <c r="AX364" s="489">
        <v>340</v>
      </c>
      <c r="AY364" s="490">
        <v>1</v>
      </c>
      <c r="AZ364" s="490">
        <v>1.21</v>
      </c>
      <c r="BA364" s="491">
        <v>1.4</v>
      </c>
      <c r="BB364" s="490">
        <v>1.55</v>
      </c>
      <c r="BC364" s="490">
        <v>1.66</v>
      </c>
      <c r="BE364" s="489">
        <v>340</v>
      </c>
      <c r="BF364" s="490">
        <v>1</v>
      </c>
      <c r="BG364" s="490">
        <v>1.19</v>
      </c>
      <c r="BH364" s="491">
        <v>1.36</v>
      </c>
      <c r="BI364" s="490">
        <v>1.49</v>
      </c>
      <c r="BJ364" s="490">
        <v>1.58</v>
      </c>
      <c r="BL364" s="489">
        <v>340</v>
      </c>
      <c r="BM364" s="490">
        <v>1</v>
      </c>
      <c r="BN364" s="490">
        <v>1.1399999999999999</v>
      </c>
      <c r="BO364" s="491">
        <v>1.26</v>
      </c>
      <c r="BP364" s="490">
        <v>1.35</v>
      </c>
      <c r="BQ364" s="490">
        <v>1.4</v>
      </c>
      <c r="BS364" s="489">
        <v>340</v>
      </c>
      <c r="BT364" s="490">
        <v>1</v>
      </c>
      <c r="BU364" s="490">
        <v>1.0900000000000001</v>
      </c>
      <c r="BV364" s="491">
        <v>1.1599999999999999</v>
      </c>
      <c r="BW364" s="490">
        <v>1.2</v>
      </c>
      <c r="BX364" s="490">
        <v>1.21</v>
      </c>
      <c r="BZ364" s="489">
        <v>340</v>
      </c>
      <c r="CA364" s="490">
        <v>1</v>
      </c>
      <c r="CB364" s="490">
        <v>1.05</v>
      </c>
      <c r="CC364" s="491">
        <v>1.07</v>
      </c>
      <c r="CD364" s="490">
        <v>1.07</v>
      </c>
      <c r="CE364" s="490">
        <v>1.05</v>
      </c>
      <c r="CG364" s="489">
        <v>340</v>
      </c>
      <c r="CH364" s="490">
        <v>1</v>
      </c>
      <c r="CI364" s="490">
        <v>1.01</v>
      </c>
      <c r="CJ364" s="491">
        <v>1</v>
      </c>
      <c r="CK364" s="490">
        <v>0.97</v>
      </c>
      <c r="CL364" s="490">
        <v>0.92</v>
      </c>
      <c r="CN364" s="489">
        <v>340</v>
      </c>
      <c r="CO364" s="490">
        <v>1</v>
      </c>
      <c r="CP364" s="490">
        <v>1</v>
      </c>
      <c r="CQ364" s="491">
        <v>0.97</v>
      </c>
      <c r="CR364" s="490">
        <v>0.92</v>
      </c>
      <c r="CS364" s="490">
        <v>0.85</v>
      </c>
    </row>
    <row r="365" spans="3:97" ht="15.75" thickBot="1" x14ac:dyDescent="0.3">
      <c r="C365" s="489">
        <v>90</v>
      </c>
      <c r="D365" s="490">
        <v>0.88</v>
      </c>
      <c r="E365" s="490">
        <v>0.88</v>
      </c>
      <c r="F365" s="490">
        <v>0.87</v>
      </c>
      <c r="G365" s="491">
        <v>0.84</v>
      </c>
      <c r="H365" s="490">
        <v>0.81</v>
      </c>
      <c r="I365" s="490">
        <v>0.77</v>
      </c>
      <c r="J365" s="490">
        <v>0.72</v>
      </c>
      <c r="K365" s="490">
        <v>0.66</v>
      </c>
      <c r="L365" s="490">
        <v>0.6</v>
      </c>
      <c r="M365" s="490">
        <v>0.54</v>
      </c>
      <c r="O365" s="489">
        <v>350</v>
      </c>
      <c r="P365" s="490">
        <v>1</v>
      </c>
      <c r="Q365" s="490">
        <v>1</v>
      </c>
      <c r="R365" s="491">
        <v>0.98</v>
      </c>
      <c r="S365" s="490">
        <v>0.94</v>
      </c>
      <c r="T365" s="490">
        <v>0.88</v>
      </c>
      <c r="V365" s="489">
        <v>350</v>
      </c>
      <c r="W365" s="490">
        <v>1</v>
      </c>
      <c r="X365" s="490">
        <v>1.03</v>
      </c>
      <c r="Y365" s="491">
        <v>1.04</v>
      </c>
      <c r="Z365" s="490">
        <v>1.03</v>
      </c>
      <c r="AA365" s="490">
        <v>0.99</v>
      </c>
      <c r="AC365" s="489">
        <v>350</v>
      </c>
      <c r="AD365" s="490">
        <v>1</v>
      </c>
      <c r="AE365" s="490">
        <v>1.0900000000000001</v>
      </c>
      <c r="AF365" s="491">
        <v>1.1399999999999999</v>
      </c>
      <c r="AG365" s="490">
        <v>1.17</v>
      </c>
      <c r="AH365" s="490">
        <v>1.17</v>
      </c>
      <c r="AJ365" s="489">
        <v>350</v>
      </c>
      <c r="AK365" s="490">
        <v>1</v>
      </c>
      <c r="AL365" s="490">
        <v>1.1399999999999999</v>
      </c>
      <c r="AM365" s="491">
        <v>1.25</v>
      </c>
      <c r="AN365" s="490">
        <v>1.33</v>
      </c>
      <c r="AO365" s="490">
        <v>1.38</v>
      </c>
      <c r="AQ365" s="489">
        <v>350</v>
      </c>
      <c r="AR365" s="490">
        <v>1</v>
      </c>
      <c r="AS365" s="490">
        <v>1.19</v>
      </c>
      <c r="AT365" s="491">
        <v>1.36</v>
      </c>
      <c r="AU365" s="490">
        <v>1.49</v>
      </c>
      <c r="AV365" s="490">
        <v>1.58</v>
      </c>
      <c r="AX365" s="489">
        <v>350</v>
      </c>
      <c r="AY365" s="490">
        <v>1</v>
      </c>
      <c r="AZ365" s="490">
        <v>1.22</v>
      </c>
      <c r="BA365" s="491">
        <v>1.42</v>
      </c>
      <c r="BB365" s="490">
        <v>1.58</v>
      </c>
      <c r="BC365" s="490">
        <v>1.7</v>
      </c>
      <c r="BE365" s="489">
        <v>350</v>
      </c>
      <c r="BF365" s="490">
        <v>1</v>
      </c>
      <c r="BG365" s="490">
        <v>1.2</v>
      </c>
      <c r="BH365" s="491">
        <v>1.38</v>
      </c>
      <c r="BI365" s="490">
        <v>1.52</v>
      </c>
      <c r="BJ365" s="490">
        <v>1.62</v>
      </c>
      <c r="BL365" s="489">
        <v>350</v>
      </c>
      <c r="BM365" s="490">
        <v>1</v>
      </c>
      <c r="BN365" s="490">
        <v>1.1499999999999999</v>
      </c>
      <c r="BO365" s="491">
        <v>1.27</v>
      </c>
      <c r="BP365" s="490">
        <v>1.36</v>
      </c>
      <c r="BQ365" s="490">
        <v>1.42</v>
      </c>
      <c r="BS365" s="489">
        <v>350</v>
      </c>
      <c r="BT365" s="490">
        <v>1</v>
      </c>
      <c r="BU365" s="490">
        <v>1.0900000000000001</v>
      </c>
      <c r="BV365" s="491">
        <v>1.1599999999999999</v>
      </c>
      <c r="BW365" s="490">
        <v>1.21</v>
      </c>
      <c r="BX365" s="490">
        <v>1.22</v>
      </c>
      <c r="BZ365" s="489">
        <v>350</v>
      </c>
      <c r="CA365" s="490">
        <v>1</v>
      </c>
      <c r="CB365" s="490">
        <v>1.05</v>
      </c>
      <c r="CC365" s="491">
        <v>1.07</v>
      </c>
      <c r="CD365" s="490">
        <v>1.07</v>
      </c>
      <c r="CE365" s="490">
        <v>1.05</v>
      </c>
      <c r="CG365" s="489">
        <v>350</v>
      </c>
      <c r="CH365" s="490">
        <v>1</v>
      </c>
      <c r="CI365" s="490">
        <v>1.01</v>
      </c>
      <c r="CJ365" s="491">
        <v>1</v>
      </c>
      <c r="CK365" s="490">
        <v>0.97</v>
      </c>
      <c r="CL365" s="490">
        <v>0.91</v>
      </c>
      <c r="CN365" s="489">
        <v>350</v>
      </c>
      <c r="CO365" s="490">
        <v>1</v>
      </c>
      <c r="CP365" s="490">
        <v>0.99</v>
      </c>
      <c r="CQ365" s="491">
        <v>0.97</v>
      </c>
      <c r="CR365" s="490">
        <v>0.92</v>
      </c>
      <c r="CS365" s="490">
        <v>0.85</v>
      </c>
    </row>
    <row r="366" spans="3:97" ht="15.75" thickBot="1" x14ac:dyDescent="0.3">
      <c r="C366" s="489">
        <v>100</v>
      </c>
      <c r="D366" s="490">
        <v>0.88</v>
      </c>
      <c r="E366" s="490">
        <v>0.87</v>
      </c>
      <c r="F366" s="490">
        <v>0.85</v>
      </c>
      <c r="G366" s="491">
        <v>0.81</v>
      </c>
      <c r="H366" s="490">
        <v>0.77</v>
      </c>
      <c r="I366" s="490">
        <v>0.73</v>
      </c>
      <c r="J366" s="490">
        <v>0.68</v>
      </c>
      <c r="K366" s="490">
        <v>0.62</v>
      </c>
      <c r="L366" s="490">
        <v>0.56000000000000005</v>
      </c>
      <c r="M366" s="490">
        <v>0.5</v>
      </c>
      <c r="O366" s="489">
        <v>0</v>
      </c>
      <c r="P366" s="490">
        <v>1</v>
      </c>
      <c r="Q366" s="490">
        <v>1</v>
      </c>
      <c r="R366" s="491">
        <v>0.98</v>
      </c>
      <c r="S366" s="490">
        <v>0.94</v>
      </c>
      <c r="T366" s="490">
        <v>0.87</v>
      </c>
      <c r="V366" s="489">
        <v>0</v>
      </c>
      <c r="W366" s="490">
        <v>1</v>
      </c>
      <c r="X366" s="490">
        <v>1.03</v>
      </c>
      <c r="Y366" s="491">
        <v>1.04</v>
      </c>
      <c r="Z366" s="490">
        <v>1.03</v>
      </c>
      <c r="AA366" s="490">
        <v>0.99</v>
      </c>
      <c r="AC366" s="489">
        <v>0</v>
      </c>
      <c r="AD366" s="490">
        <v>1</v>
      </c>
      <c r="AE366" s="490">
        <v>1.0900000000000001</v>
      </c>
      <c r="AF366" s="491">
        <v>1.1399999999999999</v>
      </c>
      <c r="AG366" s="490">
        <v>1.17</v>
      </c>
      <c r="AH366" s="490">
        <v>1.17</v>
      </c>
      <c r="AJ366" s="489">
        <v>0</v>
      </c>
      <c r="AK366" s="490">
        <v>1</v>
      </c>
      <c r="AL366" s="490">
        <v>1.1399999999999999</v>
      </c>
      <c r="AM366" s="491">
        <v>1.25</v>
      </c>
      <c r="AN366" s="490">
        <v>1.33</v>
      </c>
      <c r="AO366" s="490">
        <v>1.38</v>
      </c>
      <c r="AQ366" s="489">
        <v>0</v>
      </c>
      <c r="AR366" s="490">
        <v>1</v>
      </c>
      <c r="AS366" s="490">
        <v>1.19</v>
      </c>
      <c r="AT366" s="491">
        <v>1.36</v>
      </c>
      <c r="AU366" s="490">
        <v>1.5</v>
      </c>
      <c r="AV366" s="490">
        <v>1.59</v>
      </c>
      <c r="AX366" s="489">
        <v>0</v>
      </c>
      <c r="AY366" s="490">
        <v>1</v>
      </c>
      <c r="AZ366" s="490">
        <v>1.22</v>
      </c>
      <c r="BA366" s="491">
        <v>1.43</v>
      </c>
      <c r="BB366" s="490">
        <v>1.59</v>
      </c>
      <c r="BC366" s="490">
        <v>1.71</v>
      </c>
      <c r="BE366" s="489">
        <v>0</v>
      </c>
      <c r="BF366" s="490">
        <v>1</v>
      </c>
      <c r="BG366" s="490">
        <v>1.21</v>
      </c>
      <c r="BH366" s="491">
        <v>1.38</v>
      </c>
      <c r="BI366" s="490">
        <v>1.53</v>
      </c>
      <c r="BJ366" s="490">
        <v>1.63</v>
      </c>
      <c r="BL366" s="489">
        <v>0</v>
      </c>
      <c r="BM366" s="490">
        <v>1</v>
      </c>
      <c r="BN366" s="490">
        <v>1.1499999999999999</v>
      </c>
      <c r="BO366" s="491">
        <v>1.28</v>
      </c>
      <c r="BP366" s="490">
        <v>1.37</v>
      </c>
      <c r="BQ366" s="490">
        <v>1.43</v>
      </c>
      <c r="BS366" s="489">
        <v>0</v>
      </c>
      <c r="BT366" s="490">
        <v>1</v>
      </c>
      <c r="BU366" s="490">
        <v>1.1000000000000001</v>
      </c>
      <c r="BV366" s="491">
        <v>1.17</v>
      </c>
      <c r="BW366" s="490">
        <v>1.21</v>
      </c>
      <c r="BX366" s="490">
        <v>1.22</v>
      </c>
      <c r="BZ366" s="489">
        <v>0</v>
      </c>
      <c r="CA366" s="490">
        <v>1</v>
      </c>
      <c r="CB366" s="490">
        <v>1.05</v>
      </c>
      <c r="CC366" s="491">
        <v>1.07</v>
      </c>
      <c r="CD366" s="490">
        <v>1.07</v>
      </c>
      <c r="CE366" s="490">
        <v>1.05</v>
      </c>
      <c r="CG366" s="489">
        <v>0</v>
      </c>
      <c r="CH366" s="490">
        <v>1</v>
      </c>
      <c r="CI366" s="490">
        <v>1.01</v>
      </c>
      <c r="CJ366" s="491">
        <v>1</v>
      </c>
      <c r="CK366" s="490">
        <v>0.96</v>
      </c>
      <c r="CL366" s="490">
        <v>0.91</v>
      </c>
      <c r="CN366" s="489">
        <v>0</v>
      </c>
      <c r="CO366" s="490">
        <v>1</v>
      </c>
      <c r="CP366" s="490">
        <v>0.99</v>
      </c>
      <c r="CQ366" s="491">
        <v>0.96</v>
      </c>
      <c r="CR366" s="490">
        <v>0.92</v>
      </c>
      <c r="CS366" s="490">
        <v>0.84</v>
      </c>
    </row>
    <row r="367" spans="3:97" ht="15.75" thickBot="1" x14ac:dyDescent="0.3">
      <c r="C367" s="489">
        <v>110</v>
      </c>
      <c r="D367" s="490">
        <v>0.88</v>
      </c>
      <c r="E367" s="490">
        <v>0.86</v>
      </c>
      <c r="F367" s="490">
        <v>0.83</v>
      </c>
      <c r="G367" s="491">
        <v>0.78</v>
      </c>
      <c r="H367" s="490">
        <v>0.74</v>
      </c>
      <c r="I367" s="490">
        <v>0.68</v>
      </c>
      <c r="J367" s="490">
        <v>0.63</v>
      </c>
      <c r="K367" s="490">
        <v>0.56999999999999995</v>
      </c>
      <c r="L367" s="490">
        <v>0.51</v>
      </c>
      <c r="M367" s="490">
        <v>0.46</v>
      </c>
      <c r="O367" s="489">
        <v>10</v>
      </c>
      <c r="P367" s="490">
        <v>1</v>
      </c>
      <c r="Q367" s="490">
        <v>1</v>
      </c>
      <c r="R367" s="491">
        <v>0.98</v>
      </c>
      <c r="S367" s="490">
        <v>0.94</v>
      </c>
      <c r="T367" s="490">
        <v>0.87</v>
      </c>
      <c r="V367" s="489">
        <v>10</v>
      </c>
      <c r="W367" s="490">
        <v>1</v>
      </c>
      <c r="X367" s="490">
        <v>1.03</v>
      </c>
      <c r="Y367" s="491">
        <v>1.04</v>
      </c>
      <c r="Z367" s="490">
        <v>1.03</v>
      </c>
      <c r="AA367" s="490">
        <v>0.99</v>
      </c>
      <c r="AC367" s="489">
        <v>10</v>
      </c>
      <c r="AD367" s="490">
        <v>1</v>
      </c>
      <c r="AE367" s="490">
        <v>1.08</v>
      </c>
      <c r="AF367" s="491">
        <v>1.1399999999999999</v>
      </c>
      <c r="AG367" s="490">
        <v>1.1599999999999999</v>
      </c>
      <c r="AH367" s="490">
        <v>1.1599999999999999</v>
      </c>
      <c r="AJ367" s="489">
        <v>10</v>
      </c>
      <c r="AK367" s="490">
        <v>1</v>
      </c>
      <c r="AL367" s="490">
        <v>1.1399999999999999</v>
      </c>
      <c r="AM367" s="491">
        <v>1.25</v>
      </c>
      <c r="AN367" s="490">
        <v>1.32</v>
      </c>
      <c r="AO367" s="490">
        <v>1.37</v>
      </c>
      <c r="AQ367" s="489">
        <v>10</v>
      </c>
      <c r="AR367" s="490">
        <v>1</v>
      </c>
      <c r="AS367" s="490">
        <v>1.19</v>
      </c>
      <c r="AT367" s="491">
        <v>1.36</v>
      </c>
      <c r="AU367" s="490">
        <v>1.49</v>
      </c>
      <c r="AV367" s="490">
        <v>1.58</v>
      </c>
      <c r="AX367" s="489">
        <v>10</v>
      </c>
      <c r="AY367" s="490">
        <v>1</v>
      </c>
      <c r="AZ367" s="490">
        <v>1.22</v>
      </c>
      <c r="BA367" s="491">
        <v>1.42</v>
      </c>
      <c r="BB367" s="490">
        <v>1.58</v>
      </c>
      <c r="BC367" s="490">
        <v>1.7</v>
      </c>
      <c r="BE367" s="489">
        <v>10</v>
      </c>
      <c r="BF367" s="490">
        <v>1</v>
      </c>
      <c r="BG367" s="490">
        <v>1.2</v>
      </c>
      <c r="BH367" s="491">
        <v>1.38</v>
      </c>
      <c r="BI367" s="490">
        <v>1.52</v>
      </c>
      <c r="BJ367" s="490">
        <v>1.62</v>
      </c>
      <c r="BL367" s="489">
        <v>10</v>
      </c>
      <c r="BM367" s="490">
        <v>1</v>
      </c>
      <c r="BN367" s="490">
        <v>1.1499999999999999</v>
      </c>
      <c r="BO367" s="491">
        <v>1.27</v>
      </c>
      <c r="BP367" s="490">
        <v>1.36</v>
      </c>
      <c r="BQ367" s="490">
        <v>1.42</v>
      </c>
      <c r="BS367" s="489">
        <v>10</v>
      </c>
      <c r="BT367" s="490">
        <v>1</v>
      </c>
      <c r="BU367" s="490">
        <v>1.0900000000000001</v>
      </c>
      <c r="BV367" s="491">
        <v>1.1599999999999999</v>
      </c>
      <c r="BW367" s="490">
        <v>1.2</v>
      </c>
      <c r="BX367" s="490">
        <v>1.21</v>
      </c>
      <c r="BZ367" s="489">
        <v>10</v>
      </c>
      <c r="CA367" s="490">
        <v>1</v>
      </c>
      <c r="CB367" s="490">
        <v>1.05</v>
      </c>
      <c r="CC367" s="491">
        <v>1.07</v>
      </c>
      <c r="CD367" s="490">
        <v>1.07</v>
      </c>
      <c r="CE367" s="490">
        <v>1.04</v>
      </c>
      <c r="CG367" s="489">
        <v>10</v>
      </c>
      <c r="CH367" s="490">
        <v>1</v>
      </c>
      <c r="CI367" s="490">
        <v>1.01</v>
      </c>
      <c r="CJ367" s="491">
        <v>1</v>
      </c>
      <c r="CK367" s="490">
        <v>0.97</v>
      </c>
      <c r="CL367" s="490">
        <v>0.91</v>
      </c>
      <c r="CN367" s="489">
        <v>10</v>
      </c>
      <c r="CO367" s="490">
        <v>1</v>
      </c>
      <c r="CP367" s="490">
        <v>0.99</v>
      </c>
      <c r="CQ367" s="491">
        <v>0.97</v>
      </c>
      <c r="CR367" s="490">
        <v>0.92</v>
      </c>
      <c r="CS367" s="490">
        <v>0.84</v>
      </c>
    </row>
    <row r="368" spans="3:97" ht="15.75" thickBot="1" x14ac:dyDescent="0.3">
      <c r="C368" s="489">
        <v>120</v>
      </c>
      <c r="D368" s="490">
        <v>0.88</v>
      </c>
      <c r="E368" s="490">
        <v>0.85</v>
      </c>
      <c r="F368" s="490">
        <v>0.81</v>
      </c>
      <c r="G368" s="491">
        <v>0.75</v>
      </c>
      <c r="H368" s="490">
        <v>0.69</v>
      </c>
      <c r="I368" s="490">
        <v>0.63</v>
      </c>
      <c r="J368" s="490">
        <v>0.57999999999999996</v>
      </c>
      <c r="K368" s="490">
        <v>0.52</v>
      </c>
      <c r="L368" s="490">
        <v>0.47</v>
      </c>
      <c r="M368" s="490">
        <v>0.42</v>
      </c>
      <c r="O368" s="489">
        <v>20</v>
      </c>
      <c r="P368" s="490">
        <v>1</v>
      </c>
      <c r="Q368" s="490">
        <v>1</v>
      </c>
      <c r="R368" s="491">
        <v>0.98</v>
      </c>
      <c r="S368" s="490">
        <v>0.94</v>
      </c>
      <c r="T368" s="490">
        <v>0.88</v>
      </c>
      <c r="V368" s="489">
        <v>20</v>
      </c>
      <c r="W368" s="490">
        <v>1</v>
      </c>
      <c r="X368" s="490">
        <v>1.03</v>
      </c>
      <c r="Y368" s="491">
        <v>1.04</v>
      </c>
      <c r="Z368" s="490">
        <v>1.03</v>
      </c>
      <c r="AA368" s="490">
        <v>0.99</v>
      </c>
      <c r="AC368" s="489">
        <v>20</v>
      </c>
      <c r="AD368" s="490">
        <v>1</v>
      </c>
      <c r="AE368" s="490">
        <v>1.08</v>
      </c>
      <c r="AF368" s="491">
        <v>1.1299999999999999</v>
      </c>
      <c r="AG368" s="490">
        <v>1.1499999999999999</v>
      </c>
      <c r="AH368" s="490">
        <v>1.1499999999999999</v>
      </c>
      <c r="AJ368" s="489">
        <v>20</v>
      </c>
      <c r="AK368" s="490">
        <v>1</v>
      </c>
      <c r="AL368" s="490">
        <v>1.1299999999999999</v>
      </c>
      <c r="AM368" s="491">
        <v>1.23</v>
      </c>
      <c r="AN368" s="490">
        <v>1.3</v>
      </c>
      <c r="AO368" s="490">
        <v>1.35</v>
      </c>
      <c r="AQ368" s="489">
        <v>20</v>
      </c>
      <c r="AR368" s="490">
        <v>1</v>
      </c>
      <c r="AS368" s="490">
        <v>1.18</v>
      </c>
      <c r="AT368" s="491">
        <v>1.34</v>
      </c>
      <c r="AU368" s="490">
        <v>1.46</v>
      </c>
      <c r="AV368" s="490">
        <v>1.55</v>
      </c>
      <c r="AX368" s="489">
        <v>20</v>
      </c>
      <c r="AY368" s="490">
        <v>1</v>
      </c>
      <c r="AZ368" s="490">
        <v>1.21</v>
      </c>
      <c r="BA368" s="491">
        <v>1.4</v>
      </c>
      <c r="BB368" s="490">
        <v>1.55</v>
      </c>
      <c r="BC368" s="490">
        <v>1.66</v>
      </c>
      <c r="BE368" s="489">
        <v>20</v>
      </c>
      <c r="BF368" s="490">
        <v>1</v>
      </c>
      <c r="BG368" s="490">
        <v>1.19</v>
      </c>
      <c r="BH368" s="491">
        <v>1.36</v>
      </c>
      <c r="BI368" s="490">
        <v>1.49</v>
      </c>
      <c r="BJ368" s="490">
        <v>1.58</v>
      </c>
      <c r="BL368" s="489">
        <v>20</v>
      </c>
      <c r="BM368" s="490">
        <v>1</v>
      </c>
      <c r="BN368" s="490">
        <v>1.1399999999999999</v>
      </c>
      <c r="BO368" s="491">
        <v>1.26</v>
      </c>
      <c r="BP368" s="490">
        <v>1.34</v>
      </c>
      <c r="BQ368" s="490">
        <v>1.4</v>
      </c>
      <c r="BS368" s="489">
        <v>20</v>
      </c>
      <c r="BT368" s="490">
        <v>1</v>
      </c>
      <c r="BU368" s="490">
        <v>1.0900000000000001</v>
      </c>
      <c r="BV368" s="491">
        <v>1.1499999999999999</v>
      </c>
      <c r="BW368" s="490">
        <v>1.19</v>
      </c>
      <c r="BX368" s="490">
        <v>1.2</v>
      </c>
      <c r="BZ368" s="489">
        <v>20</v>
      </c>
      <c r="CA368" s="490">
        <v>1</v>
      </c>
      <c r="CB368" s="490">
        <v>1.05</v>
      </c>
      <c r="CC368" s="491">
        <v>1.07</v>
      </c>
      <c r="CD368" s="490">
        <v>1.07</v>
      </c>
      <c r="CE368" s="490">
        <v>1.04</v>
      </c>
      <c r="CG368" s="489">
        <v>20</v>
      </c>
      <c r="CH368" s="490">
        <v>1</v>
      </c>
      <c r="CI368" s="490">
        <v>1.01</v>
      </c>
      <c r="CJ368" s="491">
        <v>1</v>
      </c>
      <c r="CK368" s="490">
        <v>0.97</v>
      </c>
      <c r="CL368" s="490">
        <v>0.92</v>
      </c>
      <c r="CN368" s="489">
        <v>20</v>
      </c>
      <c r="CO368" s="490">
        <v>1</v>
      </c>
      <c r="CP368" s="490">
        <v>1</v>
      </c>
      <c r="CQ368" s="491">
        <v>0.97</v>
      </c>
      <c r="CR368" s="490">
        <v>0.92</v>
      </c>
      <c r="CS368" s="490">
        <v>0.85</v>
      </c>
    </row>
    <row r="369" spans="3:97" ht="15.75" thickBot="1" x14ac:dyDescent="0.3">
      <c r="C369" s="489">
        <v>130</v>
      </c>
      <c r="D369" s="490">
        <v>0.88</v>
      </c>
      <c r="E369" s="490">
        <v>0.84</v>
      </c>
      <c r="F369" s="490">
        <v>0.79</v>
      </c>
      <c r="G369" s="491">
        <v>0.73</v>
      </c>
      <c r="H369" s="490">
        <v>0.66</v>
      </c>
      <c r="I369" s="490">
        <v>0.59</v>
      </c>
      <c r="J369" s="490">
        <v>0.53</v>
      </c>
      <c r="K369" s="490">
        <v>0.47</v>
      </c>
      <c r="L369" s="490">
        <v>0.42</v>
      </c>
      <c r="M369" s="490">
        <v>0.38</v>
      </c>
      <c r="O369" s="489">
        <v>30</v>
      </c>
      <c r="P369" s="490">
        <v>1</v>
      </c>
      <c r="Q369" s="490">
        <v>1</v>
      </c>
      <c r="R369" s="491">
        <v>0.98</v>
      </c>
      <c r="S369" s="490">
        <v>0.95</v>
      </c>
      <c r="T369" s="490">
        <v>0.89</v>
      </c>
      <c r="V369" s="489">
        <v>30</v>
      </c>
      <c r="W369" s="490">
        <v>1</v>
      </c>
      <c r="X369" s="490">
        <v>1.03</v>
      </c>
      <c r="Y369" s="491">
        <v>1.04</v>
      </c>
      <c r="Z369" s="490">
        <v>1.03</v>
      </c>
      <c r="AA369" s="490">
        <v>0.99</v>
      </c>
      <c r="AC369" s="489">
        <v>30</v>
      </c>
      <c r="AD369" s="490">
        <v>1</v>
      </c>
      <c r="AE369" s="490">
        <v>1.07</v>
      </c>
      <c r="AF369" s="491">
        <v>1.1200000000000001</v>
      </c>
      <c r="AG369" s="490">
        <v>1.1399999999999999</v>
      </c>
      <c r="AH369" s="490">
        <v>1.1299999999999999</v>
      </c>
      <c r="AJ369" s="489">
        <v>30</v>
      </c>
      <c r="AK369" s="490">
        <v>1</v>
      </c>
      <c r="AL369" s="490">
        <v>1.1200000000000001</v>
      </c>
      <c r="AM369" s="491">
        <v>1.21</v>
      </c>
      <c r="AN369" s="490">
        <v>1.27</v>
      </c>
      <c r="AO369" s="490">
        <v>1.3</v>
      </c>
      <c r="AQ369" s="489">
        <v>30</v>
      </c>
      <c r="AR369" s="490">
        <v>1</v>
      </c>
      <c r="AS369" s="490">
        <v>1.17</v>
      </c>
      <c r="AT369" s="491">
        <v>1.31</v>
      </c>
      <c r="AU369" s="490">
        <v>1.42</v>
      </c>
      <c r="AV369" s="490">
        <v>1.5</v>
      </c>
      <c r="AX369" s="489">
        <v>30</v>
      </c>
      <c r="AY369" s="490">
        <v>1</v>
      </c>
      <c r="AZ369" s="490">
        <v>1.2</v>
      </c>
      <c r="BA369" s="491">
        <v>1.37</v>
      </c>
      <c r="BB369" s="490">
        <v>1.5</v>
      </c>
      <c r="BC369" s="490">
        <v>1.61</v>
      </c>
      <c r="BE369" s="489">
        <v>30</v>
      </c>
      <c r="BF369" s="490">
        <v>1</v>
      </c>
      <c r="BG369" s="490">
        <v>1.18</v>
      </c>
      <c r="BH369" s="491">
        <v>1.33</v>
      </c>
      <c r="BI369" s="490">
        <v>1.45</v>
      </c>
      <c r="BJ369" s="490">
        <v>1.53</v>
      </c>
      <c r="BL369" s="489">
        <v>30</v>
      </c>
      <c r="BM369" s="490">
        <v>1</v>
      </c>
      <c r="BN369" s="490">
        <v>1.1399999999999999</v>
      </c>
      <c r="BO369" s="491">
        <v>1.24</v>
      </c>
      <c r="BP369" s="490">
        <v>1.31</v>
      </c>
      <c r="BQ369" s="490">
        <v>1.36</v>
      </c>
      <c r="BS369" s="489">
        <v>30</v>
      </c>
      <c r="BT369" s="490">
        <v>1</v>
      </c>
      <c r="BU369" s="490">
        <v>1.08</v>
      </c>
      <c r="BV369" s="491">
        <v>1.1399999999999999</v>
      </c>
      <c r="BW369" s="490">
        <v>1.17</v>
      </c>
      <c r="BX369" s="490">
        <v>1.17</v>
      </c>
      <c r="BZ369" s="489">
        <v>30</v>
      </c>
      <c r="CA369" s="490">
        <v>1</v>
      </c>
      <c r="CB369" s="490">
        <v>1.04</v>
      </c>
      <c r="CC369" s="491">
        <v>1.06</v>
      </c>
      <c r="CD369" s="490">
        <v>1.06</v>
      </c>
      <c r="CE369" s="490">
        <v>1.03</v>
      </c>
      <c r="CG369" s="489">
        <v>30</v>
      </c>
      <c r="CH369" s="490">
        <v>1</v>
      </c>
      <c r="CI369" s="490">
        <v>1.01</v>
      </c>
      <c r="CJ369" s="491">
        <v>1</v>
      </c>
      <c r="CK369" s="490">
        <v>0.97</v>
      </c>
      <c r="CL369" s="490">
        <v>0.92</v>
      </c>
      <c r="CN369" s="489">
        <v>30</v>
      </c>
      <c r="CO369" s="490">
        <v>1</v>
      </c>
      <c r="CP369" s="490">
        <v>1</v>
      </c>
      <c r="CQ369" s="491">
        <v>0.97</v>
      </c>
      <c r="CR369" s="490">
        <v>0.93</v>
      </c>
      <c r="CS369" s="490">
        <v>0.86</v>
      </c>
    </row>
    <row r="370" spans="3:97" ht="15.75" thickBot="1" x14ac:dyDescent="0.3">
      <c r="C370" s="489">
        <v>140</v>
      </c>
      <c r="D370" s="490">
        <v>0.88</v>
      </c>
      <c r="E370" s="490">
        <v>0.83</v>
      </c>
      <c r="F370" s="490">
        <v>0.77</v>
      </c>
      <c r="G370" s="491">
        <v>0.7</v>
      </c>
      <c r="H370" s="490">
        <v>0.62</v>
      </c>
      <c r="I370" s="490">
        <v>0.55000000000000004</v>
      </c>
      <c r="J370" s="490">
        <v>0.48</v>
      </c>
      <c r="K370" s="490">
        <v>0.42</v>
      </c>
      <c r="L370" s="490">
        <v>0.38</v>
      </c>
      <c r="M370" s="490">
        <v>0.33</v>
      </c>
      <c r="O370" s="489">
        <v>40</v>
      </c>
      <c r="P370" s="490">
        <v>1</v>
      </c>
      <c r="Q370" s="490">
        <v>1</v>
      </c>
      <c r="R370" s="491">
        <v>0.98</v>
      </c>
      <c r="S370" s="490">
        <v>0.95</v>
      </c>
      <c r="T370" s="490">
        <v>0.9</v>
      </c>
      <c r="V370" s="489">
        <v>40</v>
      </c>
      <c r="W370" s="490">
        <v>1</v>
      </c>
      <c r="X370" s="490">
        <v>1.03</v>
      </c>
      <c r="Y370" s="491">
        <v>1.03</v>
      </c>
      <c r="Z370" s="490">
        <v>1.02</v>
      </c>
      <c r="AA370" s="490">
        <v>0.98</v>
      </c>
      <c r="AC370" s="489">
        <v>40</v>
      </c>
      <c r="AD370" s="490">
        <v>1</v>
      </c>
      <c r="AE370" s="490">
        <v>1.06</v>
      </c>
      <c r="AF370" s="491">
        <v>1.1000000000000001</v>
      </c>
      <c r="AG370" s="490">
        <v>1.1200000000000001</v>
      </c>
      <c r="AH370" s="490">
        <v>1.1100000000000001</v>
      </c>
      <c r="AJ370" s="489">
        <v>40</v>
      </c>
      <c r="AK370" s="490">
        <v>1</v>
      </c>
      <c r="AL370" s="490">
        <v>1.1100000000000001</v>
      </c>
      <c r="AM370" s="491">
        <v>1.19</v>
      </c>
      <c r="AN370" s="490">
        <v>1.24</v>
      </c>
      <c r="AO370" s="490">
        <v>1.26</v>
      </c>
      <c r="AQ370" s="489">
        <v>40</v>
      </c>
      <c r="AR370" s="490">
        <v>1</v>
      </c>
      <c r="AS370" s="490">
        <v>1.1499999999999999</v>
      </c>
      <c r="AT370" s="491">
        <v>1.27</v>
      </c>
      <c r="AU370" s="490">
        <v>1.38</v>
      </c>
      <c r="AV370" s="490">
        <v>1.43</v>
      </c>
      <c r="AX370" s="489">
        <v>40</v>
      </c>
      <c r="AY370" s="490">
        <v>1</v>
      </c>
      <c r="AZ370" s="490">
        <v>1.18</v>
      </c>
      <c r="BA370" s="491">
        <v>1.33</v>
      </c>
      <c r="BB370" s="490">
        <v>1.45</v>
      </c>
      <c r="BC370" s="490">
        <v>1.52</v>
      </c>
      <c r="BE370" s="489">
        <v>40</v>
      </c>
      <c r="BF370" s="490">
        <v>1</v>
      </c>
      <c r="BG370" s="490">
        <v>1.1599999999999999</v>
      </c>
      <c r="BH370" s="491">
        <v>1.29</v>
      </c>
      <c r="BI370" s="490">
        <v>1.39</v>
      </c>
      <c r="BJ370" s="490">
        <v>1.46</v>
      </c>
      <c r="BL370" s="489">
        <v>40</v>
      </c>
      <c r="BM370" s="490">
        <v>1</v>
      </c>
      <c r="BN370" s="490">
        <v>1.1100000000000001</v>
      </c>
      <c r="BO370" s="491">
        <v>1.21</v>
      </c>
      <c r="BP370" s="490">
        <v>1.27</v>
      </c>
      <c r="BQ370" s="490">
        <v>1.31</v>
      </c>
      <c r="BS370" s="489">
        <v>40</v>
      </c>
      <c r="BT370" s="490">
        <v>1</v>
      </c>
      <c r="BU370" s="490">
        <v>1.07</v>
      </c>
      <c r="BV370" s="491">
        <v>1.1299999999999999</v>
      </c>
      <c r="BW370" s="490">
        <v>1.1499999999999999</v>
      </c>
      <c r="BX370" s="490">
        <v>1.1499999999999999</v>
      </c>
      <c r="BZ370" s="489">
        <v>40</v>
      </c>
      <c r="CA370" s="490">
        <v>1</v>
      </c>
      <c r="CB370" s="490">
        <v>1.04</v>
      </c>
      <c r="CC370" s="491">
        <v>1.05</v>
      </c>
      <c r="CD370" s="490">
        <v>1.05</v>
      </c>
      <c r="CE370" s="490">
        <v>1.02</v>
      </c>
      <c r="CG370" s="489">
        <v>40</v>
      </c>
      <c r="CH370" s="490">
        <v>1</v>
      </c>
      <c r="CI370" s="490">
        <v>1.01</v>
      </c>
      <c r="CJ370" s="491">
        <v>1</v>
      </c>
      <c r="CK370" s="490">
        <v>0.97</v>
      </c>
      <c r="CL370" s="490">
        <v>0.93</v>
      </c>
      <c r="CN370" s="489">
        <v>40</v>
      </c>
      <c r="CO370" s="490">
        <v>1</v>
      </c>
      <c r="CP370" s="490">
        <v>1</v>
      </c>
      <c r="CQ370" s="491">
        <v>0.97</v>
      </c>
      <c r="CR370" s="490">
        <v>0.93</v>
      </c>
      <c r="CS370" s="490">
        <v>0.88</v>
      </c>
    </row>
    <row r="371" spans="3:97" ht="15.75" thickBot="1" x14ac:dyDescent="0.3">
      <c r="C371" s="489">
        <v>150</v>
      </c>
      <c r="D371" s="490">
        <v>0.88</v>
      </c>
      <c r="E371" s="490">
        <v>0.83</v>
      </c>
      <c r="F371" s="490">
        <v>0.76</v>
      </c>
      <c r="G371" s="491">
        <v>0.68</v>
      </c>
      <c r="H371" s="490">
        <v>0.59</v>
      </c>
      <c r="I371" s="490">
        <v>0.51</v>
      </c>
      <c r="J371" s="490">
        <v>0.44</v>
      </c>
      <c r="K371" s="490">
        <v>0.38</v>
      </c>
      <c r="L371" s="490">
        <v>0.33</v>
      </c>
      <c r="M371" s="490">
        <v>0.3</v>
      </c>
      <c r="O371" s="489">
        <v>50</v>
      </c>
      <c r="P371" s="490">
        <v>1</v>
      </c>
      <c r="Q371" s="490">
        <v>1</v>
      </c>
      <c r="R371" s="491">
        <v>0.98</v>
      </c>
      <c r="S371" s="490">
        <v>0.95</v>
      </c>
      <c r="T371" s="490">
        <v>0.9</v>
      </c>
      <c r="V371" s="489">
        <v>50</v>
      </c>
      <c r="W371" s="490">
        <v>1</v>
      </c>
      <c r="X371" s="490">
        <v>1.02</v>
      </c>
      <c r="Y371" s="491">
        <v>1.03</v>
      </c>
      <c r="Z371" s="490">
        <v>1.01</v>
      </c>
      <c r="AA371" s="490">
        <v>0.98</v>
      </c>
      <c r="AC371" s="489">
        <v>50</v>
      </c>
      <c r="AD371" s="490">
        <v>1</v>
      </c>
      <c r="AE371" s="490">
        <v>1.05</v>
      </c>
      <c r="AF371" s="491">
        <v>1.0900000000000001</v>
      </c>
      <c r="AG371" s="490">
        <v>1.0900000000000001</v>
      </c>
      <c r="AH371" s="490">
        <v>1.08</v>
      </c>
      <c r="AJ371" s="489">
        <v>50</v>
      </c>
      <c r="AK371" s="490">
        <v>1</v>
      </c>
      <c r="AL371" s="490">
        <v>1.0900000000000001</v>
      </c>
      <c r="AM371" s="491">
        <v>1.1499999999999999</v>
      </c>
      <c r="AN371" s="490">
        <v>1.2</v>
      </c>
      <c r="AO371" s="490">
        <v>1.21</v>
      </c>
      <c r="AQ371" s="489">
        <v>50</v>
      </c>
      <c r="AR371" s="490">
        <v>1</v>
      </c>
      <c r="AS371" s="490">
        <v>1.1299999999999999</v>
      </c>
      <c r="AT371" s="491">
        <v>1.23</v>
      </c>
      <c r="AU371" s="490">
        <v>1.31</v>
      </c>
      <c r="AV371" s="490">
        <v>1.36</v>
      </c>
      <c r="AX371" s="489">
        <v>50</v>
      </c>
      <c r="AY371" s="490">
        <v>1</v>
      </c>
      <c r="AZ371" s="490">
        <v>1.1499999999999999</v>
      </c>
      <c r="BA371" s="491">
        <v>1.28</v>
      </c>
      <c r="BB371" s="490">
        <v>1.37</v>
      </c>
      <c r="BC371" s="490">
        <v>1.44</v>
      </c>
      <c r="BE371" s="489">
        <v>50</v>
      </c>
      <c r="BF371" s="490">
        <v>1</v>
      </c>
      <c r="BG371" s="490">
        <v>1.1299999999999999</v>
      </c>
      <c r="BH371" s="491">
        <v>1.24</v>
      </c>
      <c r="BI371" s="490">
        <v>1.33</v>
      </c>
      <c r="BJ371" s="490">
        <v>1.38</v>
      </c>
      <c r="BL371" s="489">
        <v>50</v>
      </c>
      <c r="BM371" s="490">
        <v>1</v>
      </c>
      <c r="BN371" s="490">
        <v>1.1000000000000001</v>
      </c>
      <c r="BO371" s="491">
        <v>1.17</v>
      </c>
      <c r="BP371" s="490">
        <v>1.23</v>
      </c>
      <c r="BQ371" s="490">
        <v>1.25</v>
      </c>
      <c r="BS371" s="489">
        <v>50</v>
      </c>
      <c r="BT371" s="490">
        <v>1</v>
      </c>
      <c r="BU371" s="490">
        <v>1.06</v>
      </c>
      <c r="BV371" s="491">
        <v>1.1000000000000001</v>
      </c>
      <c r="BW371" s="490">
        <v>1.1200000000000001</v>
      </c>
      <c r="BX371" s="490">
        <v>1.1100000000000001</v>
      </c>
      <c r="BZ371" s="489">
        <v>50</v>
      </c>
      <c r="CA371" s="490">
        <v>1</v>
      </c>
      <c r="CB371" s="490">
        <v>1.03</v>
      </c>
      <c r="CC371" s="491">
        <v>1.04</v>
      </c>
      <c r="CD371" s="490">
        <v>1.03</v>
      </c>
      <c r="CE371" s="490">
        <v>1</v>
      </c>
      <c r="CG371" s="489">
        <v>50</v>
      </c>
      <c r="CH371" s="490">
        <v>1</v>
      </c>
      <c r="CI371" s="490">
        <v>1.01</v>
      </c>
      <c r="CJ371" s="491">
        <v>1</v>
      </c>
      <c r="CK371" s="490">
        <v>0.98</v>
      </c>
      <c r="CL371" s="490">
        <v>0.93</v>
      </c>
      <c r="CN371" s="489">
        <v>50</v>
      </c>
      <c r="CO371" s="490">
        <v>1</v>
      </c>
      <c r="CP371" s="490">
        <v>1</v>
      </c>
      <c r="CQ371" s="491">
        <v>0.98</v>
      </c>
      <c r="CR371" s="490">
        <v>0.94</v>
      </c>
      <c r="CS371" s="490">
        <v>0.89</v>
      </c>
    </row>
    <row r="372" spans="3:97" ht="15.75" thickBot="1" x14ac:dyDescent="0.3">
      <c r="C372" s="489">
        <v>160</v>
      </c>
      <c r="D372" s="490">
        <v>0.88</v>
      </c>
      <c r="E372" s="490">
        <v>0.82</v>
      </c>
      <c r="F372" s="490">
        <v>0.75</v>
      </c>
      <c r="G372" s="491">
        <v>0.66</v>
      </c>
      <c r="H372" s="490">
        <v>0.56999999999999995</v>
      </c>
      <c r="I372" s="490">
        <v>0.48</v>
      </c>
      <c r="J372" s="490">
        <v>0.4</v>
      </c>
      <c r="K372" s="490">
        <v>0.34</v>
      </c>
      <c r="L372" s="490">
        <v>0.3</v>
      </c>
      <c r="M372" s="490">
        <v>0.27</v>
      </c>
      <c r="O372" s="489">
        <v>60</v>
      </c>
      <c r="P372" s="490">
        <v>1</v>
      </c>
      <c r="Q372" s="490">
        <v>1</v>
      </c>
      <c r="R372" s="491">
        <v>0.99</v>
      </c>
      <c r="S372" s="490">
        <v>0.95</v>
      </c>
      <c r="T372" s="490">
        <v>0.91</v>
      </c>
      <c r="V372" s="489">
        <v>60</v>
      </c>
      <c r="W372" s="490">
        <v>1</v>
      </c>
      <c r="X372" s="490">
        <v>1.02</v>
      </c>
      <c r="Y372" s="491">
        <v>1.02</v>
      </c>
      <c r="Z372" s="490">
        <v>1</v>
      </c>
      <c r="AA372" s="490">
        <v>0.97</v>
      </c>
      <c r="AC372" s="489">
        <v>60</v>
      </c>
      <c r="AD372" s="490">
        <v>1</v>
      </c>
      <c r="AE372" s="490">
        <v>1.04</v>
      </c>
      <c r="AF372" s="491">
        <v>1.06</v>
      </c>
      <c r="AG372" s="490">
        <v>1.06</v>
      </c>
      <c r="AH372" s="490">
        <v>1.05</v>
      </c>
      <c r="AJ372" s="489">
        <v>60</v>
      </c>
      <c r="AK372" s="490">
        <v>1</v>
      </c>
      <c r="AL372" s="490">
        <v>1.07</v>
      </c>
      <c r="AM372" s="491">
        <v>1.1200000000000001</v>
      </c>
      <c r="AN372" s="490">
        <v>1.1499999999999999</v>
      </c>
      <c r="AO372" s="490">
        <v>1.1499999999999999</v>
      </c>
      <c r="AQ372" s="489">
        <v>60</v>
      </c>
      <c r="AR372" s="490">
        <v>1</v>
      </c>
      <c r="AS372" s="490">
        <v>1.1000000000000001</v>
      </c>
      <c r="AT372" s="491">
        <v>1.18</v>
      </c>
      <c r="AU372" s="490">
        <v>1.24</v>
      </c>
      <c r="AV372" s="490">
        <v>1.27</v>
      </c>
      <c r="AX372" s="489">
        <v>60</v>
      </c>
      <c r="AY372" s="490">
        <v>1</v>
      </c>
      <c r="AZ372" s="490">
        <v>1.1200000000000001</v>
      </c>
      <c r="BA372" s="491">
        <v>1.21</v>
      </c>
      <c r="BB372" s="490">
        <v>1.29</v>
      </c>
      <c r="BC372" s="490">
        <v>1.34</v>
      </c>
      <c r="BE372" s="489">
        <v>60</v>
      </c>
      <c r="BF372" s="490">
        <v>1</v>
      </c>
      <c r="BG372" s="490">
        <v>1.1100000000000001</v>
      </c>
      <c r="BH372" s="491">
        <v>1.2</v>
      </c>
      <c r="BI372" s="490">
        <v>1.26</v>
      </c>
      <c r="BJ372" s="490">
        <v>1.29</v>
      </c>
      <c r="BL372" s="489">
        <v>60</v>
      </c>
      <c r="BM372" s="490">
        <v>1</v>
      </c>
      <c r="BN372" s="490">
        <v>1.08</v>
      </c>
      <c r="BO372" s="491">
        <v>1.1399999999999999</v>
      </c>
      <c r="BP372" s="490">
        <v>1.18</v>
      </c>
      <c r="BQ372" s="490">
        <v>1.19</v>
      </c>
      <c r="BS372" s="489">
        <v>60</v>
      </c>
      <c r="BT372" s="490">
        <v>1</v>
      </c>
      <c r="BU372" s="490">
        <v>1.05</v>
      </c>
      <c r="BV372" s="491">
        <v>1.08</v>
      </c>
      <c r="BW372" s="490">
        <v>1.0900000000000001</v>
      </c>
      <c r="BX372" s="490">
        <v>1.08</v>
      </c>
      <c r="BZ372" s="489">
        <v>60</v>
      </c>
      <c r="CA372" s="490">
        <v>1</v>
      </c>
      <c r="CB372" s="490">
        <v>1.02</v>
      </c>
      <c r="CC372" s="491">
        <v>1.03</v>
      </c>
      <c r="CD372" s="490">
        <v>1.02</v>
      </c>
      <c r="CE372" s="490">
        <v>0.99</v>
      </c>
      <c r="CG372" s="489">
        <v>60</v>
      </c>
      <c r="CH372" s="490">
        <v>1</v>
      </c>
      <c r="CI372" s="490">
        <v>1.01</v>
      </c>
      <c r="CJ372" s="491">
        <v>1</v>
      </c>
      <c r="CK372" s="490">
        <v>0.98</v>
      </c>
      <c r="CL372" s="490">
        <v>0.93</v>
      </c>
      <c r="CN372" s="489">
        <v>60</v>
      </c>
      <c r="CO372" s="490">
        <v>1</v>
      </c>
      <c r="CP372" s="490">
        <v>1</v>
      </c>
      <c r="CQ372" s="491">
        <v>0.98</v>
      </c>
      <c r="CR372" s="490">
        <v>0.94</v>
      </c>
      <c r="CS372" s="490">
        <v>0.9</v>
      </c>
    </row>
    <row r="373" spans="3:97" ht="15.75" thickBot="1" x14ac:dyDescent="0.3">
      <c r="C373" s="489">
        <v>170</v>
      </c>
      <c r="D373" s="490">
        <v>0.88</v>
      </c>
      <c r="E373" s="490">
        <v>0.82</v>
      </c>
      <c r="F373" s="490">
        <v>0.75</v>
      </c>
      <c r="G373" s="491">
        <v>0.65</v>
      </c>
      <c r="H373" s="490">
        <v>0.56000000000000005</v>
      </c>
      <c r="I373" s="490">
        <v>0.47</v>
      </c>
      <c r="J373" s="490">
        <v>0.39</v>
      </c>
      <c r="K373" s="490">
        <v>0.32</v>
      </c>
      <c r="L373" s="490">
        <v>0.27</v>
      </c>
      <c r="M373" s="490">
        <v>0.25</v>
      </c>
      <c r="O373" s="489">
        <v>70</v>
      </c>
      <c r="P373" s="490">
        <v>1</v>
      </c>
      <c r="Q373" s="490">
        <v>1</v>
      </c>
      <c r="R373" s="491">
        <v>0.99</v>
      </c>
      <c r="S373" s="490">
        <v>0.95</v>
      </c>
      <c r="T373" s="490">
        <v>0.91</v>
      </c>
      <c r="V373" s="489">
        <v>70</v>
      </c>
      <c r="W373" s="490">
        <v>1</v>
      </c>
      <c r="X373" s="490">
        <v>1.01</v>
      </c>
      <c r="Y373" s="491">
        <v>1.01</v>
      </c>
      <c r="Z373" s="490">
        <v>0.99</v>
      </c>
      <c r="AA373" s="490">
        <v>0.96</v>
      </c>
      <c r="AC373" s="489">
        <v>70</v>
      </c>
      <c r="AD373" s="490">
        <v>1</v>
      </c>
      <c r="AE373" s="490">
        <v>1.03</v>
      </c>
      <c r="AF373" s="491">
        <v>1.04</v>
      </c>
      <c r="AG373" s="490">
        <v>1.03</v>
      </c>
      <c r="AH373" s="490">
        <v>1.01</v>
      </c>
      <c r="AJ373" s="489">
        <v>70</v>
      </c>
      <c r="AK373" s="490">
        <v>1</v>
      </c>
      <c r="AL373" s="490">
        <v>1.05</v>
      </c>
      <c r="AM373" s="491">
        <v>1.08</v>
      </c>
      <c r="AN373" s="490">
        <v>1.0900000000000001</v>
      </c>
      <c r="AO373" s="490">
        <v>1.0900000000000001</v>
      </c>
      <c r="AQ373" s="489">
        <v>70</v>
      </c>
      <c r="AR373" s="490">
        <v>1</v>
      </c>
      <c r="AS373" s="490">
        <v>1.07</v>
      </c>
      <c r="AT373" s="491">
        <v>1.1299999999999999</v>
      </c>
      <c r="AU373" s="490">
        <v>1.17</v>
      </c>
      <c r="AV373" s="490">
        <v>1.18</v>
      </c>
      <c r="AX373" s="489">
        <v>70</v>
      </c>
      <c r="AY373" s="490">
        <v>1</v>
      </c>
      <c r="AZ373" s="490">
        <v>1.08</v>
      </c>
      <c r="BA373" s="491">
        <v>1.1599999999999999</v>
      </c>
      <c r="BB373" s="490">
        <v>1.21</v>
      </c>
      <c r="BC373" s="490">
        <v>1.22</v>
      </c>
      <c r="BE373" s="489">
        <v>70</v>
      </c>
      <c r="BF373" s="490">
        <v>1</v>
      </c>
      <c r="BG373" s="490">
        <v>1.07</v>
      </c>
      <c r="BH373" s="491">
        <v>1.1299999999999999</v>
      </c>
      <c r="BI373" s="490">
        <v>1.18</v>
      </c>
      <c r="BJ373" s="490">
        <v>1.2</v>
      </c>
      <c r="BL373" s="489">
        <v>70</v>
      </c>
      <c r="BM373" s="490">
        <v>1</v>
      </c>
      <c r="BN373" s="490">
        <v>1.06</v>
      </c>
      <c r="BO373" s="491">
        <v>1.1000000000000001</v>
      </c>
      <c r="BP373" s="490">
        <v>1.1100000000000001</v>
      </c>
      <c r="BQ373" s="490">
        <v>1.1200000000000001</v>
      </c>
      <c r="BS373" s="489">
        <v>70</v>
      </c>
      <c r="BT373" s="490">
        <v>1</v>
      </c>
      <c r="BU373" s="490">
        <v>1.03</v>
      </c>
      <c r="BV373" s="491">
        <v>1.05</v>
      </c>
      <c r="BW373" s="490">
        <v>1.05</v>
      </c>
      <c r="BX373" s="490">
        <v>1.04</v>
      </c>
      <c r="BZ373" s="489">
        <v>70</v>
      </c>
      <c r="CA373" s="490">
        <v>1</v>
      </c>
      <c r="CB373" s="490">
        <v>1.02</v>
      </c>
      <c r="CC373" s="491">
        <v>1.01</v>
      </c>
      <c r="CD373" s="490">
        <v>1</v>
      </c>
      <c r="CE373" s="490">
        <v>0.97</v>
      </c>
      <c r="CG373" s="489">
        <v>70</v>
      </c>
      <c r="CH373" s="490">
        <v>1</v>
      </c>
      <c r="CI373" s="490">
        <v>1</v>
      </c>
      <c r="CJ373" s="491">
        <v>1</v>
      </c>
      <c r="CK373" s="490">
        <v>0.97</v>
      </c>
      <c r="CL373" s="490">
        <v>0.93</v>
      </c>
      <c r="CN373" s="489">
        <v>70</v>
      </c>
      <c r="CO373" s="490">
        <v>1</v>
      </c>
      <c r="CP373" s="490">
        <v>1</v>
      </c>
      <c r="CQ373" s="491">
        <v>0.98</v>
      </c>
      <c r="CR373" s="490">
        <v>0.95</v>
      </c>
      <c r="CS373" s="490">
        <v>0.9</v>
      </c>
    </row>
    <row r="374" spans="3:97" ht="15.75" thickBot="1" x14ac:dyDescent="0.3">
      <c r="C374" s="489">
        <v>180</v>
      </c>
      <c r="D374" s="490">
        <v>0.88</v>
      </c>
      <c r="E374" s="490">
        <v>0.82</v>
      </c>
      <c r="F374" s="490">
        <v>0.74</v>
      </c>
      <c r="G374" s="491">
        <v>0.65</v>
      </c>
      <c r="H374" s="490">
        <v>0.55000000000000004</v>
      </c>
      <c r="I374" s="490">
        <v>0.46</v>
      </c>
      <c r="J374" s="490">
        <v>0.38</v>
      </c>
      <c r="K374" s="490">
        <v>0.31</v>
      </c>
      <c r="L374" s="490">
        <v>0.26</v>
      </c>
      <c r="M374" s="490">
        <v>0.24</v>
      </c>
      <c r="O374" s="489">
        <v>80</v>
      </c>
      <c r="P374" s="490">
        <v>1</v>
      </c>
      <c r="Q374" s="490">
        <v>1</v>
      </c>
      <c r="R374" s="491">
        <v>0.98</v>
      </c>
      <c r="S374" s="490">
        <v>0.95</v>
      </c>
      <c r="T374" s="490">
        <v>0.91</v>
      </c>
      <c r="V374" s="489">
        <v>80</v>
      </c>
      <c r="W374" s="490">
        <v>1</v>
      </c>
      <c r="X374" s="490">
        <v>1.01</v>
      </c>
      <c r="Y374" s="491">
        <v>1</v>
      </c>
      <c r="Z374" s="490">
        <v>0.98</v>
      </c>
      <c r="AA374" s="490">
        <v>0.94</v>
      </c>
      <c r="AC374" s="489">
        <v>80</v>
      </c>
      <c r="AD374" s="490">
        <v>1</v>
      </c>
      <c r="AE374" s="490">
        <v>1.01</v>
      </c>
      <c r="AF374" s="491">
        <v>1.01</v>
      </c>
      <c r="AG374" s="490">
        <v>1</v>
      </c>
      <c r="AH374" s="490">
        <v>0.97</v>
      </c>
      <c r="AJ374" s="489">
        <v>80</v>
      </c>
      <c r="AK374" s="490">
        <v>1</v>
      </c>
      <c r="AL374" s="490">
        <v>1.02</v>
      </c>
      <c r="AM374" s="491">
        <v>1.04</v>
      </c>
      <c r="AN374" s="490">
        <v>1.04</v>
      </c>
      <c r="AO374" s="490">
        <v>1.02</v>
      </c>
      <c r="AQ374" s="489">
        <v>80</v>
      </c>
      <c r="AR374" s="490">
        <v>1</v>
      </c>
      <c r="AS374" s="490">
        <v>1.04</v>
      </c>
      <c r="AT374" s="491">
        <v>1.07</v>
      </c>
      <c r="AU374" s="490">
        <v>1.0900000000000001</v>
      </c>
      <c r="AV374" s="490">
        <v>1.08</v>
      </c>
      <c r="AX374" s="489">
        <v>80</v>
      </c>
      <c r="AY374" s="490">
        <v>1</v>
      </c>
      <c r="AZ374" s="490">
        <v>1.06</v>
      </c>
      <c r="BA374" s="491">
        <v>1.08</v>
      </c>
      <c r="BB374" s="490">
        <v>1.1100000000000001</v>
      </c>
      <c r="BC374" s="490">
        <v>1.1100000000000001</v>
      </c>
      <c r="BE374" s="489">
        <v>80</v>
      </c>
      <c r="BF374" s="490">
        <v>1</v>
      </c>
      <c r="BG374" s="490">
        <v>1.04</v>
      </c>
      <c r="BH374" s="491">
        <v>1.07</v>
      </c>
      <c r="BI374" s="490">
        <v>1.1000000000000001</v>
      </c>
      <c r="BJ374" s="490">
        <v>1.1000000000000001</v>
      </c>
      <c r="BL374" s="489">
        <v>80</v>
      </c>
      <c r="BM374" s="490">
        <v>1</v>
      </c>
      <c r="BN374" s="490">
        <v>1.03</v>
      </c>
      <c r="BO374" s="491">
        <v>1.05</v>
      </c>
      <c r="BP374" s="490">
        <v>1.06</v>
      </c>
      <c r="BQ374" s="490">
        <v>1.05</v>
      </c>
      <c r="BS374" s="489">
        <v>80</v>
      </c>
      <c r="BT374" s="490">
        <v>1</v>
      </c>
      <c r="BU374" s="490">
        <v>1.02</v>
      </c>
      <c r="BV374" s="491">
        <v>1.02</v>
      </c>
      <c r="BW374" s="490">
        <v>1.01</v>
      </c>
      <c r="BX374" s="490">
        <v>0.99</v>
      </c>
      <c r="BZ374" s="489">
        <v>80</v>
      </c>
      <c r="CA374" s="490">
        <v>1</v>
      </c>
      <c r="CB374" s="490">
        <v>1.01</v>
      </c>
      <c r="CC374" s="491">
        <v>1</v>
      </c>
      <c r="CD374" s="490">
        <v>0.98</v>
      </c>
      <c r="CE374" s="490">
        <v>0.95</v>
      </c>
      <c r="CG374" s="489">
        <v>80</v>
      </c>
      <c r="CH374" s="490">
        <v>1</v>
      </c>
      <c r="CI374" s="490">
        <v>1</v>
      </c>
      <c r="CJ374" s="491">
        <v>0.99</v>
      </c>
      <c r="CK374" s="490">
        <v>0.96</v>
      </c>
      <c r="CL374" s="490">
        <v>0.93</v>
      </c>
      <c r="CN374" s="489">
        <v>80</v>
      </c>
      <c r="CO374" s="490">
        <v>1</v>
      </c>
      <c r="CP374" s="490">
        <v>1</v>
      </c>
      <c r="CQ374" s="491">
        <v>0.98</v>
      </c>
      <c r="CR374" s="490">
        <v>0.95</v>
      </c>
      <c r="CS374" s="490">
        <v>0.91</v>
      </c>
    </row>
    <row r="375" spans="3:97" ht="15.75" thickBot="1" x14ac:dyDescent="0.3">
      <c r="C375" s="489">
        <v>190</v>
      </c>
      <c r="D375" s="490">
        <v>0.88</v>
      </c>
      <c r="E375" s="490">
        <v>0.82</v>
      </c>
      <c r="F375" s="490">
        <v>0.75</v>
      </c>
      <c r="G375" s="491">
        <v>0.65</v>
      </c>
      <c r="H375" s="490">
        <v>0.56000000000000005</v>
      </c>
      <c r="I375" s="490">
        <v>0.47</v>
      </c>
      <c r="J375" s="490">
        <v>0.39</v>
      </c>
      <c r="K375" s="490">
        <v>0.32</v>
      </c>
      <c r="L375" s="490">
        <v>0.27</v>
      </c>
      <c r="M375" s="490">
        <v>0.25</v>
      </c>
      <c r="O375" s="489">
        <v>90</v>
      </c>
      <c r="P375" s="490">
        <v>1</v>
      </c>
      <c r="Q375" s="490">
        <v>1</v>
      </c>
      <c r="R375" s="491">
        <v>0.98</v>
      </c>
      <c r="S375" s="490">
        <v>0.95</v>
      </c>
      <c r="T375" s="490">
        <v>0.91</v>
      </c>
      <c r="V375" s="489">
        <v>90</v>
      </c>
      <c r="W375" s="490">
        <v>1</v>
      </c>
      <c r="X375" s="490">
        <v>1</v>
      </c>
      <c r="Y375" s="491">
        <v>0.99</v>
      </c>
      <c r="Z375" s="490">
        <v>0.96</v>
      </c>
      <c r="AA375" s="490">
        <v>0.92</v>
      </c>
      <c r="AC375" s="489">
        <v>90</v>
      </c>
      <c r="AD375" s="490">
        <v>1</v>
      </c>
      <c r="AE375" s="490">
        <v>1</v>
      </c>
      <c r="AF375" s="491">
        <v>0.98</v>
      </c>
      <c r="AG375" s="490">
        <v>0.96</v>
      </c>
      <c r="AH375" s="490">
        <v>0.92</v>
      </c>
      <c r="AJ375" s="489">
        <v>90</v>
      </c>
      <c r="AK375" s="490">
        <v>1</v>
      </c>
      <c r="AL375" s="490">
        <v>1.01</v>
      </c>
      <c r="AM375" s="491">
        <v>0.99</v>
      </c>
      <c r="AN375" s="490">
        <v>0.98</v>
      </c>
      <c r="AO375" s="490">
        <v>0.95</v>
      </c>
      <c r="AQ375" s="489">
        <v>90</v>
      </c>
      <c r="AR375" s="490">
        <v>1</v>
      </c>
      <c r="AS375" s="490">
        <v>1.01</v>
      </c>
      <c r="AT375" s="491">
        <v>1.01</v>
      </c>
      <c r="AU375" s="490">
        <v>1</v>
      </c>
      <c r="AV375" s="490">
        <v>0.98</v>
      </c>
      <c r="AX375" s="489">
        <v>90</v>
      </c>
      <c r="AY375" s="490">
        <v>1</v>
      </c>
      <c r="AZ375" s="490">
        <v>1.02</v>
      </c>
      <c r="BA375" s="491">
        <v>1.02</v>
      </c>
      <c r="BB375" s="490">
        <v>1.02</v>
      </c>
      <c r="BC375" s="490">
        <v>1</v>
      </c>
      <c r="BE375" s="489">
        <v>90</v>
      </c>
      <c r="BF375" s="490">
        <v>1</v>
      </c>
      <c r="BG375" s="490">
        <v>1.01</v>
      </c>
      <c r="BH375" s="491">
        <v>1.01</v>
      </c>
      <c r="BI375" s="490">
        <v>1.01</v>
      </c>
      <c r="BJ375" s="490">
        <v>0.99</v>
      </c>
      <c r="BL375" s="489">
        <v>90</v>
      </c>
      <c r="BM375" s="490">
        <v>1</v>
      </c>
      <c r="BN375" s="490">
        <v>1.01</v>
      </c>
      <c r="BO375" s="491">
        <v>1.01</v>
      </c>
      <c r="BP375" s="490">
        <v>0.99</v>
      </c>
      <c r="BQ375" s="490">
        <v>0.96</v>
      </c>
      <c r="BS375" s="489">
        <v>90</v>
      </c>
      <c r="BT375" s="490">
        <v>1</v>
      </c>
      <c r="BU375" s="490">
        <v>1</v>
      </c>
      <c r="BV375" s="491">
        <v>0.99</v>
      </c>
      <c r="BW375" s="490">
        <v>0.97</v>
      </c>
      <c r="BX375" s="490">
        <v>0.94</v>
      </c>
      <c r="BZ375" s="489">
        <v>90</v>
      </c>
      <c r="CA375" s="490">
        <v>1</v>
      </c>
      <c r="CB375" s="490">
        <v>1</v>
      </c>
      <c r="CC375" s="491">
        <v>0.98</v>
      </c>
      <c r="CD375" s="490">
        <v>0.95</v>
      </c>
      <c r="CE375" s="490">
        <v>0.92</v>
      </c>
      <c r="CG375" s="489">
        <v>90</v>
      </c>
      <c r="CH375" s="490">
        <v>1</v>
      </c>
      <c r="CI375" s="490">
        <v>1</v>
      </c>
      <c r="CJ375" s="491">
        <v>0.99</v>
      </c>
      <c r="CK375" s="490">
        <v>0.96</v>
      </c>
      <c r="CL375" s="490">
        <v>0.92</v>
      </c>
      <c r="CN375" s="489">
        <v>90</v>
      </c>
      <c r="CO375" s="490">
        <v>1</v>
      </c>
      <c r="CP375" s="490">
        <v>1</v>
      </c>
      <c r="CQ375" s="491">
        <v>0.98</v>
      </c>
      <c r="CR375" s="490">
        <v>0.95</v>
      </c>
      <c r="CS375" s="490">
        <v>0.91</v>
      </c>
    </row>
    <row r="376" spans="3:97" ht="15.75" thickBot="1" x14ac:dyDescent="0.3">
      <c r="C376" s="489">
        <v>200</v>
      </c>
      <c r="D376" s="490">
        <v>0.88</v>
      </c>
      <c r="E376" s="490">
        <v>0.82</v>
      </c>
      <c r="F376" s="490">
        <v>0.75</v>
      </c>
      <c r="G376" s="491">
        <v>0.66</v>
      </c>
      <c r="H376" s="490">
        <v>0.56999999999999995</v>
      </c>
      <c r="I376" s="490">
        <v>0.49</v>
      </c>
      <c r="J376" s="490">
        <v>0.41</v>
      </c>
      <c r="K376" s="490">
        <v>0.34</v>
      </c>
      <c r="L376" s="490">
        <v>0.3</v>
      </c>
      <c r="M376" s="490">
        <v>0.27</v>
      </c>
    </row>
    <row r="377" spans="3:97" ht="15.75" thickBot="1" x14ac:dyDescent="0.3">
      <c r="C377" s="489">
        <v>210</v>
      </c>
      <c r="D377" s="490">
        <v>0.88</v>
      </c>
      <c r="E377" s="490">
        <v>0.83</v>
      </c>
      <c r="F377" s="490">
        <v>0.76</v>
      </c>
      <c r="G377" s="491">
        <v>0.68</v>
      </c>
      <c r="H377" s="490">
        <v>0.59</v>
      </c>
      <c r="I377" s="490">
        <v>0.51</v>
      </c>
      <c r="J377" s="490">
        <v>0.44</v>
      </c>
      <c r="K377" s="490">
        <v>0.38</v>
      </c>
      <c r="L377" s="490">
        <v>0.34</v>
      </c>
      <c r="M377" s="490">
        <v>0.3</v>
      </c>
    </row>
    <row r="378" spans="3:97" ht="15.75" thickBot="1" x14ac:dyDescent="0.3">
      <c r="C378" s="489">
        <v>220</v>
      </c>
      <c r="D378" s="490">
        <v>0.88</v>
      </c>
      <c r="E378" s="490">
        <v>0.84</v>
      </c>
      <c r="F378" s="490">
        <v>0.77</v>
      </c>
      <c r="G378" s="491">
        <v>0.7</v>
      </c>
      <c r="H378" s="490">
        <v>0.63</v>
      </c>
      <c r="I378" s="490">
        <v>0.55000000000000004</v>
      </c>
      <c r="J378" s="490">
        <v>0.49</v>
      </c>
      <c r="K378" s="490">
        <v>0.43</v>
      </c>
      <c r="L378" s="490">
        <v>0.38</v>
      </c>
      <c r="M378" s="490">
        <v>0.34</v>
      </c>
    </row>
    <row r="379" spans="3:97" ht="15.75" thickBot="1" x14ac:dyDescent="0.3">
      <c r="C379" s="489">
        <v>230</v>
      </c>
      <c r="D379" s="490">
        <v>0.88</v>
      </c>
      <c r="E379" s="490">
        <v>0.84</v>
      </c>
      <c r="F379" s="490">
        <v>0.79</v>
      </c>
      <c r="G379" s="491">
        <v>0.73</v>
      </c>
      <c r="H379" s="490">
        <v>0.66</v>
      </c>
      <c r="I379" s="490">
        <v>0.6</v>
      </c>
      <c r="J379" s="490">
        <v>0.53</v>
      </c>
      <c r="K379" s="490">
        <v>0.48</v>
      </c>
      <c r="L379" s="490">
        <v>0.43</v>
      </c>
      <c r="M379" s="490">
        <v>0.38</v>
      </c>
    </row>
    <row r="380" spans="3:97" ht="15.75" thickBot="1" x14ac:dyDescent="0.3">
      <c r="C380" s="489">
        <v>240</v>
      </c>
      <c r="D380" s="490">
        <v>0.88</v>
      </c>
      <c r="E380" s="490">
        <v>0.85</v>
      </c>
      <c r="F380" s="490">
        <v>0.81</v>
      </c>
      <c r="G380" s="491">
        <v>0.75</v>
      </c>
      <c r="H380" s="490">
        <v>0.7</v>
      </c>
      <c r="I380" s="490">
        <v>0.64</v>
      </c>
      <c r="J380" s="490">
        <v>0.57999999999999996</v>
      </c>
      <c r="K380" s="490">
        <v>0.53</v>
      </c>
      <c r="L380" s="490">
        <v>0.48</v>
      </c>
      <c r="M380" s="490">
        <v>0.43</v>
      </c>
    </row>
    <row r="381" spans="3:97" ht="15.75" thickBot="1" x14ac:dyDescent="0.3">
      <c r="C381" s="489">
        <v>250</v>
      </c>
      <c r="D381" s="490">
        <v>0.88</v>
      </c>
      <c r="E381" s="490">
        <v>0.86</v>
      </c>
      <c r="F381" s="490">
        <v>0.83</v>
      </c>
      <c r="G381" s="491">
        <v>0.79</v>
      </c>
      <c r="H381" s="490">
        <v>0.74</v>
      </c>
      <c r="I381" s="490">
        <v>0.69</v>
      </c>
      <c r="J381" s="490">
        <v>0.63</v>
      </c>
      <c r="K381" s="490">
        <v>0.57999999999999996</v>
      </c>
      <c r="L381" s="490">
        <v>0.52</v>
      </c>
      <c r="M381" s="490">
        <v>0.47</v>
      </c>
    </row>
    <row r="382" spans="3:97" ht="15.75" thickBot="1" x14ac:dyDescent="0.3">
      <c r="C382" s="489">
        <v>260</v>
      </c>
      <c r="D382" s="490">
        <v>0.88</v>
      </c>
      <c r="E382" s="490">
        <v>0.88</v>
      </c>
      <c r="F382" s="490">
        <v>0.85</v>
      </c>
      <c r="G382" s="491">
        <v>0.82</v>
      </c>
      <c r="H382" s="490">
        <v>0.78</v>
      </c>
      <c r="I382" s="490">
        <v>0.73</v>
      </c>
      <c r="J382" s="490">
        <v>0.68</v>
      </c>
      <c r="K382" s="490">
        <v>0.63</v>
      </c>
      <c r="L382" s="490">
        <v>0.56000000000000005</v>
      </c>
      <c r="M382" s="490">
        <v>0.5</v>
      </c>
    </row>
    <row r="383" spans="3:97" ht="15.75" thickBot="1" x14ac:dyDescent="0.3">
      <c r="C383" s="489">
        <v>270</v>
      </c>
      <c r="D383" s="490">
        <v>0.88</v>
      </c>
      <c r="E383" s="490">
        <v>0.88</v>
      </c>
      <c r="F383" s="490">
        <v>0.87</v>
      </c>
      <c r="G383" s="491">
        <v>0.85</v>
      </c>
      <c r="H383" s="490">
        <v>0.81</v>
      </c>
      <c r="I383" s="490">
        <v>0.77</v>
      </c>
      <c r="J383" s="490">
        <v>0.72</v>
      </c>
      <c r="K383" s="490">
        <v>0.67</v>
      </c>
      <c r="L383" s="490">
        <v>0.6</v>
      </c>
      <c r="M383" s="490">
        <v>0.54</v>
      </c>
    </row>
    <row r="384" spans="3:97" ht="15.75" thickBot="1" x14ac:dyDescent="0.3">
      <c r="C384" s="489">
        <v>280</v>
      </c>
      <c r="D384" s="490">
        <v>0.88</v>
      </c>
      <c r="E384" s="490">
        <v>0.89</v>
      </c>
      <c r="F384" s="490">
        <v>0.89</v>
      </c>
      <c r="G384" s="491">
        <v>0.88</v>
      </c>
      <c r="H384" s="490">
        <v>0.85</v>
      </c>
      <c r="I384" s="490">
        <v>0.81</v>
      </c>
      <c r="J384" s="490">
        <v>0.76</v>
      </c>
      <c r="K384" s="490">
        <v>0.7</v>
      </c>
      <c r="L384" s="490">
        <v>0.64</v>
      </c>
      <c r="M384" s="490">
        <v>0.56999999999999995</v>
      </c>
    </row>
    <row r="385" spans="3:97" ht="15.75" thickBot="1" x14ac:dyDescent="0.3">
      <c r="C385" s="489">
        <v>290</v>
      </c>
      <c r="D385" s="490">
        <v>0.88</v>
      </c>
      <c r="E385" s="490">
        <v>0.91</v>
      </c>
      <c r="F385" s="490">
        <v>0.91</v>
      </c>
      <c r="G385" s="491">
        <v>0.9</v>
      </c>
      <c r="H385" s="490">
        <v>0.88</v>
      </c>
      <c r="I385" s="490">
        <v>0.84</v>
      </c>
      <c r="J385" s="490">
        <v>0.79</v>
      </c>
      <c r="K385" s="490">
        <v>0.74</v>
      </c>
      <c r="L385" s="490">
        <v>0.67</v>
      </c>
      <c r="M385" s="490">
        <v>0.59</v>
      </c>
    </row>
    <row r="386" spans="3:97" ht="15.75" thickBot="1" x14ac:dyDescent="0.3">
      <c r="C386" s="489">
        <v>300</v>
      </c>
      <c r="D386" s="490">
        <v>0.88</v>
      </c>
      <c r="E386" s="490">
        <v>0.92</v>
      </c>
      <c r="F386" s="490">
        <v>0.93</v>
      </c>
      <c r="G386" s="491">
        <v>0.93</v>
      </c>
      <c r="H386" s="490">
        <v>0.91</v>
      </c>
      <c r="I386" s="490">
        <v>0.87</v>
      </c>
      <c r="J386" s="490">
        <v>0.82</v>
      </c>
      <c r="K386" s="490">
        <v>0.76</v>
      </c>
      <c r="L386" s="490">
        <v>0.69</v>
      </c>
      <c r="M386" s="490">
        <v>0.61</v>
      </c>
    </row>
    <row r="387" spans="3:97" ht="15.75" thickBot="1" x14ac:dyDescent="0.3">
      <c r="C387" s="489">
        <v>310</v>
      </c>
      <c r="D387" s="490">
        <v>0.88</v>
      </c>
      <c r="E387" s="490">
        <v>0.92</v>
      </c>
      <c r="F387" s="490">
        <v>0.94</v>
      </c>
      <c r="G387" s="491">
        <v>0.95</v>
      </c>
      <c r="H387" s="490">
        <v>0.93</v>
      </c>
      <c r="I387" s="490">
        <v>0.9</v>
      </c>
      <c r="J387" s="490">
        <v>0.85</v>
      </c>
      <c r="K387" s="490">
        <v>0.78</v>
      </c>
      <c r="L387" s="490">
        <v>0.7</v>
      </c>
      <c r="M387" s="490">
        <v>0.62</v>
      </c>
    </row>
    <row r="388" spans="3:97" ht="15.75" customHeight="1" thickBot="1" x14ac:dyDescent="0.3">
      <c r="C388" s="489">
        <v>320</v>
      </c>
      <c r="D388" s="490">
        <v>0.88</v>
      </c>
      <c r="E388" s="490">
        <v>0.93</v>
      </c>
      <c r="F388" s="490">
        <v>0.96</v>
      </c>
      <c r="G388" s="491">
        <v>0.97</v>
      </c>
      <c r="H388" s="490">
        <v>0.95</v>
      </c>
      <c r="I388" s="490">
        <v>0.92</v>
      </c>
      <c r="J388" s="490">
        <v>0.87</v>
      </c>
      <c r="K388" s="490">
        <v>0.8</v>
      </c>
      <c r="L388" s="490">
        <v>0.71</v>
      </c>
      <c r="M388" s="490">
        <v>0.62</v>
      </c>
    </row>
    <row r="389" spans="3:97" ht="15.75" customHeight="1" thickBot="1" x14ac:dyDescent="0.3">
      <c r="C389" s="489">
        <v>330</v>
      </c>
      <c r="D389" s="490">
        <v>0.88</v>
      </c>
      <c r="E389" s="490">
        <v>0.94</v>
      </c>
      <c r="F389" s="490">
        <v>0.97</v>
      </c>
      <c r="G389" s="491">
        <v>0.98</v>
      </c>
      <c r="H389" s="490">
        <v>0.97</v>
      </c>
      <c r="I389" s="490">
        <v>0.94</v>
      </c>
      <c r="J389" s="490">
        <v>0.88</v>
      </c>
      <c r="K389" s="490">
        <v>0.81</v>
      </c>
      <c r="L389" s="490">
        <v>0.72</v>
      </c>
      <c r="M389" s="490">
        <v>0.62</v>
      </c>
    </row>
    <row r="390" spans="3:97" ht="15.75" thickBot="1" x14ac:dyDescent="0.3">
      <c r="C390" s="489">
        <v>340</v>
      </c>
      <c r="D390" s="490">
        <v>0.88</v>
      </c>
      <c r="E390" s="490">
        <v>0.94</v>
      </c>
      <c r="F390" s="490">
        <v>0.98</v>
      </c>
      <c r="G390" s="491">
        <v>0.99</v>
      </c>
      <c r="H390" s="490">
        <v>0.98</v>
      </c>
      <c r="I390" s="490">
        <v>0.94</v>
      </c>
      <c r="J390" s="490">
        <v>0.89</v>
      </c>
      <c r="K390" s="490">
        <v>0.81</v>
      </c>
      <c r="L390" s="490">
        <v>0.72</v>
      </c>
      <c r="M390" s="490">
        <v>0.62</v>
      </c>
    </row>
    <row r="391" spans="3:97" ht="15.75" thickBot="1" x14ac:dyDescent="0.3">
      <c r="C391" s="489">
        <v>350</v>
      </c>
      <c r="D391" s="490">
        <v>0.88</v>
      </c>
      <c r="E391" s="490">
        <v>0.94</v>
      </c>
      <c r="F391" s="490">
        <v>0.98</v>
      </c>
      <c r="G391" s="490">
        <v>1</v>
      </c>
      <c r="H391" s="490">
        <v>0.99</v>
      </c>
      <c r="I391" s="490">
        <v>0.95</v>
      </c>
      <c r="J391" s="490">
        <v>0.89</v>
      </c>
      <c r="K391" s="490">
        <v>0.81</v>
      </c>
      <c r="L391" s="490">
        <v>0.72</v>
      </c>
      <c r="M391" s="490">
        <v>0.61</v>
      </c>
    </row>
    <row r="393" spans="3:97" ht="15.75" thickBot="1" x14ac:dyDescent="0.3">
      <c r="O393" s="486" t="s">
        <v>3733</v>
      </c>
    </row>
    <row r="394" spans="3:97" ht="16.5" customHeight="1" thickBot="1" x14ac:dyDescent="0.3">
      <c r="C394" s="784" t="s">
        <v>3734</v>
      </c>
      <c r="D394" s="785"/>
      <c r="E394" s="785"/>
      <c r="F394" s="785"/>
      <c r="G394" s="785"/>
      <c r="H394" s="785"/>
      <c r="I394" s="785"/>
      <c r="J394" s="785"/>
      <c r="K394" s="785"/>
      <c r="L394" s="785"/>
      <c r="M394" s="786"/>
      <c r="O394" s="777" t="str">
        <f>O393&amp;" - Janurary"</f>
        <v>CAIRNS  - Janurary</v>
      </c>
      <c r="P394" s="778"/>
      <c r="Q394" s="778"/>
      <c r="R394" s="778"/>
      <c r="S394" s="778"/>
      <c r="T394" s="779"/>
      <c r="V394" s="777" t="str">
        <f>O393&amp;" - February"</f>
        <v>CAIRNS  - February</v>
      </c>
      <c r="W394" s="778"/>
      <c r="X394" s="778"/>
      <c r="Y394" s="778"/>
      <c r="Z394" s="778"/>
      <c r="AA394" s="779"/>
      <c r="AC394" s="777" t="str">
        <f>O393&amp;" - March"</f>
        <v>CAIRNS  - March</v>
      </c>
      <c r="AD394" s="778"/>
      <c r="AE394" s="778"/>
      <c r="AF394" s="778"/>
      <c r="AG394" s="778"/>
      <c r="AH394" s="779"/>
      <c r="AJ394" s="777" t="str">
        <f>O393&amp;" - April"</f>
        <v>CAIRNS  - April</v>
      </c>
      <c r="AK394" s="778"/>
      <c r="AL394" s="778"/>
      <c r="AM394" s="778"/>
      <c r="AN394" s="778"/>
      <c r="AO394" s="779"/>
      <c r="AQ394" s="777" t="str">
        <f>O393&amp;" - May"</f>
        <v>CAIRNS  - May</v>
      </c>
      <c r="AR394" s="778"/>
      <c r="AS394" s="778"/>
      <c r="AT394" s="778"/>
      <c r="AU394" s="778"/>
      <c r="AV394" s="779"/>
      <c r="AX394" s="777" t="str">
        <f>O393&amp;" - June"</f>
        <v>CAIRNS  - June</v>
      </c>
      <c r="AY394" s="778"/>
      <c r="AZ394" s="778"/>
      <c r="BA394" s="778"/>
      <c r="BB394" s="778"/>
      <c r="BC394" s="779"/>
      <c r="BE394" s="777" t="str">
        <f>O393&amp;" - July"</f>
        <v>CAIRNS  - July</v>
      </c>
      <c r="BF394" s="778"/>
      <c r="BG394" s="778"/>
      <c r="BH394" s="778"/>
      <c r="BI394" s="778"/>
      <c r="BJ394" s="779"/>
      <c r="BL394" s="777" t="str">
        <f>O393&amp;" - August"</f>
        <v>CAIRNS  - August</v>
      </c>
      <c r="BM394" s="778"/>
      <c r="BN394" s="778"/>
      <c r="BO394" s="778"/>
      <c r="BP394" s="778"/>
      <c r="BQ394" s="779"/>
      <c r="BS394" s="777" t="str">
        <f>O393&amp;" - September"</f>
        <v>CAIRNS  - September</v>
      </c>
      <c r="BT394" s="778"/>
      <c r="BU394" s="778"/>
      <c r="BV394" s="778"/>
      <c r="BW394" s="778"/>
      <c r="BX394" s="779"/>
      <c r="BZ394" s="777" t="str">
        <f>O393&amp;" - October"</f>
        <v>CAIRNS  - October</v>
      </c>
      <c r="CA394" s="778"/>
      <c r="CB394" s="778"/>
      <c r="CC394" s="778"/>
      <c r="CD394" s="778"/>
      <c r="CE394" s="779"/>
      <c r="CG394" s="777" t="str">
        <f>O393&amp;" - November"</f>
        <v>CAIRNS  - November</v>
      </c>
      <c r="CH394" s="778"/>
      <c r="CI394" s="778"/>
      <c r="CJ394" s="778"/>
      <c r="CK394" s="778"/>
      <c r="CL394" s="779"/>
      <c r="CN394" s="777" t="str">
        <f>O393&amp;" - December"</f>
        <v>CAIRNS  - December</v>
      </c>
      <c r="CO394" s="778"/>
      <c r="CP394" s="778"/>
      <c r="CQ394" s="778"/>
      <c r="CR394" s="778"/>
      <c r="CS394" s="779"/>
    </row>
    <row r="395" spans="3:97" ht="15.75" customHeight="1" thickBot="1" x14ac:dyDescent="0.3">
      <c r="C395" s="780" t="s">
        <v>3720</v>
      </c>
      <c r="D395" s="781" t="s">
        <v>3721</v>
      </c>
      <c r="E395" s="782"/>
      <c r="F395" s="782"/>
      <c r="G395" s="782"/>
      <c r="H395" s="782"/>
      <c r="I395" s="782"/>
      <c r="J395" s="782"/>
      <c r="K395" s="782"/>
      <c r="L395" s="782"/>
      <c r="M395" s="783"/>
      <c r="O395" s="772" t="s">
        <v>3720</v>
      </c>
      <c r="P395" s="774" t="s">
        <v>3721</v>
      </c>
      <c r="Q395" s="775"/>
      <c r="R395" s="775"/>
      <c r="S395" s="775"/>
      <c r="T395" s="776"/>
      <c r="V395" s="772" t="s">
        <v>3720</v>
      </c>
      <c r="W395" s="774" t="s">
        <v>3721</v>
      </c>
      <c r="X395" s="775"/>
      <c r="Y395" s="775"/>
      <c r="Z395" s="775"/>
      <c r="AA395" s="776"/>
      <c r="AC395" s="772" t="s">
        <v>3720</v>
      </c>
      <c r="AD395" s="774" t="s">
        <v>3721</v>
      </c>
      <c r="AE395" s="775"/>
      <c r="AF395" s="775"/>
      <c r="AG395" s="775"/>
      <c r="AH395" s="776"/>
      <c r="AJ395" s="772" t="s">
        <v>3720</v>
      </c>
      <c r="AK395" s="774" t="s">
        <v>3721</v>
      </c>
      <c r="AL395" s="775"/>
      <c r="AM395" s="775"/>
      <c r="AN395" s="775"/>
      <c r="AO395" s="776"/>
      <c r="AQ395" s="772" t="s">
        <v>3720</v>
      </c>
      <c r="AR395" s="774" t="s">
        <v>3721</v>
      </c>
      <c r="AS395" s="775"/>
      <c r="AT395" s="775"/>
      <c r="AU395" s="775"/>
      <c r="AV395" s="776"/>
      <c r="AX395" s="772" t="s">
        <v>3720</v>
      </c>
      <c r="AY395" s="774" t="s">
        <v>3721</v>
      </c>
      <c r="AZ395" s="775"/>
      <c r="BA395" s="775"/>
      <c r="BB395" s="775"/>
      <c r="BC395" s="776"/>
      <c r="BE395" s="772" t="s">
        <v>3720</v>
      </c>
      <c r="BF395" s="774" t="s">
        <v>3721</v>
      </c>
      <c r="BG395" s="775"/>
      <c r="BH395" s="775"/>
      <c r="BI395" s="775"/>
      <c r="BJ395" s="776"/>
      <c r="BL395" s="772" t="s">
        <v>3720</v>
      </c>
      <c r="BM395" s="774" t="s">
        <v>3721</v>
      </c>
      <c r="BN395" s="775"/>
      <c r="BO395" s="775"/>
      <c r="BP395" s="775"/>
      <c r="BQ395" s="776"/>
      <c r="BS395" s="772" t="s">
        <v>3720</v>
      </c>
      <c r="BT395" s="774" t="s">
        <v>3721</v>
      </c>
      <c r="BU395" s="775"/>
      <c r="BV395" s="775"/>
      <c r="BW395" s="775"/>
      <c r="BX395" s="776"/>
      <c r="BZ395" s="772" t="s">
        <v>3720</v>
      </c>
      <c r="CA395" s="774" t="s">
        <v>3721</v>
      </c>
      <c r="CB395" s="775"/>
      <c r="CC395" s="775"/>
      <c r="CD395" s="775"/>
      <c r="CE395" s="776"/>
      <c r="CG395" s="772" t="s">
        <v>3720</v>
      </c>
      <c r="CH395" s="774" t="s">
        <v>3721</v>
      </c>
      <c r="CI395" s="775"/>
      <c r="CJ395" s="775"/>
      <c r="CK395" s="775"/>
      <c r="CL395" s="776"/>
      <c r="CN395" s="772" t="s">
        <v>3720</v>
      </c>
      <c r="CO395" s="774" t="s">
        <v>3721</v>
      </c>
      <c r="CP395" s="775"/>
      <c r="CQ395" s="775"/>
      <c r="CR395" s="775"/>
      <c r="CS395" s="776"/>
    </row>
    <row r="396" spans="3:97" ht="15.75" thickBot="1" x14ac:dyDescent="0.3">
      <c r="C396" s="773"/>
      <c r="D396" s="488">
        <v>0</v>
      </c>
      <c r="E396" s="488">
        <v>10</v>
      </c>
      <c r="F396" s="488">
        <v>20</v>
      </c>
      <c r="G396" s="488">
        <v>30</v>
      </c>
      <c r="H396" s="488">
        <v>40</v>
      </c>
      <c r="I396" s="488">
        <v>50</v>
      </c>
      <c r="J396" s="488">
        <v>60</v>
      </c>
      <c r="K396" s="488">
        <v>70</v>
      </c>
      <c r="L396" s="488">
        <v>80</v>
      </c>
      <c r="M396" s="488">
        <v>90</v>
      </c>
      <c r="O396" s="773"/>
      <c r="P396" s="488">
        <v>0</v>
      </c>
      <c r="Q396" s="488">
        <v>10</v>
      </c>
      <c r="R396" s="488">
        <v>20</v>
      </c>
      <c r="S396" s="488">
        <v>30</v>
      </c>
      <c r="T396" s="488">
        <v>40</v>
      </c>
      <c r="V396" s="773"/>
      <c r="W396" s="488">
        <v>0</v>
      </c>
      <c r="X396" s="488">
        <v>10</v>
      </c>
      <c r="Y396" s="488">
        <v>20</v>
      </c>
      <c r="Z396" s="488">
        <v>30</v>
      </c>
      <c r="AA396" s="488">
        <v>40</v>
      </c>
      <c r="AC396" s="773"/>
      <c r="AD396" s="488">
        <v>0</v>
      </c>
      <c r="AE396" s="488">
        <v>10</v>
      </c>
      <c r="AF396" s="488">
        <v>20</v>
      </c>
      <c r="AG396" s="488">
        <v>30</v>
      </c>
      <c r="AH396" s="488">
        <v>40</v>
      </c>
      <c r="AJ396" s="773"/>
      <c r="AK396" s="488">
        <v>0</v>
      </c>
      <c r="AL396" s="488">
        <v>10</v>
      </c>
      <c r="AM396" s="488">
        <v>20</v>
      </c>
      <c r="AN396" s="488">
        <v>30</v>
      </c>
      <c r="AO396" s="488">
        <v>40</v>
      </c>
      <c r="AQ396" s="773"/>
      <c r="AR396" s="488">
        <v>0</v>
      </c>
      <c r="AS396" s="488">
        <v>10</v>
      </c>
      <c r="AT396" s="488">
        <v>20</v>
      </c>
      <c r="AU396" s="488">
        <v>30</v>
      </c>
      <c r="AV396" s="488">
        <v>40</v>
      </c>
      <c r="AX396" s="773"/>
      <c r="AY396" s="488">
        <v>0</v>
      </c>
      <c r="AZ396" s="488">
        <v>10</v>
      </c>
      <c r="BA396" s="488">
        <v>20</v>
      </c>
      <c r="BB396" s="488">
        <v>30</v>
      </c>
      <c r="BC396" s="488">
        <v>40</v>
      </c>
      <c r="BE396" s="773"/>
      <c r="BF396" s="488">
        <v>0</v>
      </c>
      <c r="BG396" s="488">
        <v>10</v>
      </c>
      <c r="BH396" s="488">
        <v>20</v>
      </c>
      <c r="BI396" s="488">
        <v>30</v>
      </c>
      <c r="BJ396" s="488">
        <v>40</v>
      </c>
      <c r="BL396" s="773"/>
      <c r="BM396" s="488">
        <v>0</v>
      </c>
      <c r="BN396" s="488">
        <v>10</v>
      </c>
      <c r="BO396" s="488">
        <v>20</v>
      </c>
      <c r="BP396" s="488">
        <v>30</v>
      </c>
      <c r="BQ396" s="488">
        <v>40</v>
      </c>
      <c r="BS396" s="773"/>
      <c r="BT396" s="488">
        <v>0</v>
      </c>
      <c r="BU396" s="488">
        <v>10</v>
      </c>
      <c r="BV396" s="488">
        <v>20</v>
      </c>
      <c r="BW396" s="488">
        <v>30</v>
      </c>
      <c r="BX396" s="488">
        <v>40</v>
      </c>
      <c r="BZ396" s="773"/>
      <c r="CA396" s="488">
        <v>0</v>
      </c>
      <c r="CB396" s="488">
        <v>10</v>
      </c>
      <c r="CC396" s="488">
        <v>20</v>
      </c>
      <c r="CD396" s="488">
        <v>30</v>
      </c>
      <c r="CE396" s="488">
        <v>40</v>
      </c>
      <c r="CG396" s="773"/>
      <c r="CH396" s="488">
        <v>0</v>
      </c>
      <c r="CI396" s="488">
        <v>10</v>
      </c>
      <c r="CJ396" s="488">
        <v>20</v>
      </c>
      <c r="CK396" s="488">
        <v>30</v>
      </c>
      <c r="CL396" s="488">
        <v>40</v>
      </c>
      <c r="CN396" s="773"/>
      <c r="CO396" s="488">
        <v>0</v>
      </c>
      <c r="CP396" s="488">
        <v>10</v>
      </c>
      <c r="CQ396" s="488">
        <v>20</v>
      </c>
      <c r="CR396" s="488">
        <v>30</v>
      </c>
      <c r="CS396" s="488">
        <v>40</v>
      </c>
    </row>
    <row r="397" spans="3:97" ht="15.75" thickBot="1" x14ac:dyDescent="0.3">
      <c r="C397" s="489">
        <v>0</v>
      </c>
      <c r="D397" s="490">
        <v>0.95</v>
      </c>
      <c r="E397" s="490">
        <v>0.99</v>
      </c>
      <c r="F397" s="490">
        <v>1</v>
      </c>
      <c r="G397" s="490">
        <v>0.99</v>
      </c>
      <c r="H397" s="490">
        <v>0.96</v>
      </c>
      <c r="I397" s="490">
        <v>0.9</v>
      </c>
      <c r="J397" s="490">
        <v>0.82</v>
      </c>
      <c r="K397" s="490">
        <v>0.73</v>
      </c>
      <c r="L397" s="490">
        <v>0.62</v>
      </c>
      <c r="M397" s="490">
        <v>0.52</v>
      </c>
      <c r="O397" s="489">
        <v>270</v>
      </c>
      <c r="P397" s="490">
        <v>1</v>
      </c>
      <c r="Q397" s="490">
        <v>1</v>
      </c>
      <c r="R397" s="490">
        <v>0.98</v>
      </c>
      <c r="S397" s="490">
        <v>0.95</v>
      </c>
      <c r="T397" s="490">
        <v>0.9</v>
      </c>
      <c r="V397" s="489">
        <v>270</v>
      </c>
      <c r="W397" s="490">
        <v>1</v>
      </c>
      <c r="X397" s="490">
        <v>1</v>
      </c>
      <c r="Y397" s="490">
        <v>0.98</v>
      </c>
      <c r="Z397" s="490">
        <v>0.95</v>
      </c>
      <c r="AA397" s="490">
        <v>0.91</v>
      </c>
      <c r="AC397" s="489">
        <v>270</v>
      </c>
      <c r="AD397" s="490">
        <v>1</v>
      </c>
      <c r="AE397" s="490">
        <v>1</v>
      </c>
      <c r="AF397" s="490">
        <v>0.99</v>
      </c>
      <c r="AG397" s="490">
        <v>0.97</v>
      </c>
      <c r="AH397" s="490">
        <v>0.93</v>
      </c>
      <c r="AJ397" s="489">
        <v>270</v>
      </c>
      <c r="AK397" s="490">
        <v>1</v>
      </c>
      <c r="AL397" s="490">
        <v>1.01</v>
      </c>
      <c r="AM397" s="490">
        <v>1.01</v>
      </c>
      <c r="AN397" s="490">
        <v>0.98</v>
      </c>
      <c r="AO397" s="490">
        <v>0.95</v>
      </c>
      <c r="AQ397" s="489">
        <v>270</v>
      </c>
      <c r="AR397" s="490">
        <v>1</v>
      </c>
      <c r="AS397" s="490">
        <v>1.01</v>
      </c>
      <c r="AT397" s="490">
        <v>1</v>
      </c>
      <c r="AU397" s="490">
        <v>0.98</v>
      </c>
      <c r="AV397" s="490">
        <v>0.94</v>
      </c>
      <c r="AX397" s="489">
        <v>270</v>
      </c>
      <c r="AY397" s="490">
        <v>1</v>
      </c>
      <c r="AZ397" s="490">
        <v>1.01</v>
      </c>
      <c r="BA397" s="490">
        <v>1</v>
      </c>
      <c r="BB397" s="490">
        <v>0.98</v>
      </c>
      <c r="BC397" s="490">
        <v>0.96</v>
      </c>
      <c r="BE397" s="489">
        <v>270</v>
      </c>
      <c r="BF397" s="490">
        <v>1</v>
      </c>
      <c r="BG397" s="490">
        <v>1.01</v>
      </c>
      <c r="BH397" s="490">
        <v>1</v>
      </c>
      <c r="BI397" s="490">
        <v>0.98</v>
      </c>
      <c r="BJ397" s="490">
        <v>0.95</v>
      </c>
      <c r="BL397" s="489">
        <v>270</v>
      </c>
      <c r="BM397" s="490">
        <v>1</v>
      </c>
      <c r="BN397" s="490">
        <v>1.01</v>
      </c>
      <c r="BO397" s="490">
        <v>1</v>
      </c>
      <c r="BP397" s="490">
        <v>0.98</v>
      </c>
      <c r="BQ397" s="490">
        <v>0.94</v>
      </c>
      <c r="BS397" s="489">
        <v>270</v>
      </c>
      <c r="BT397" s="490">
        <v>1</v>
      </c>
      <c r="BU397" s="490">
        <v>1</v>
      </c>
      <c r="BV397" s="490">
        <v>1</v>
      </c>
      <c r="BW397" s="490">
        <v>0.97</v>
      </c>
      <c r="BX397" s="490">
        <v>0.93</v>
      </c>
      <c r="BZ397" s="489">
        <v>270</v>
      </c>
      <c r="CA397" s="490">
        <v>1</v>
      </c>
      <c r="CB397" s="490">
        <v>1.01</v>
      </c>
      <c r="CC397" s="490">
        <v>1</v>
      </c>
      <c r="CD397" s="490">
        <v>0.97</v>
      </c>
      <c r="CE397" s="490">
        <v>0.93</v>
      </c>
      <c r="CG397" s="489">
        <v>270</v>
      </c>
      <c r="CH397" s="490">
        <v>1</v>
      </c>
      <c r="CI397" s="490">
        <v>1.01</v>
      </c>
      <c r="CJ397" s="490">
        <v>0.99</v>
      </c>
      <c r="CK397" s="490">
        <v>0.96</v>
      </c>
      <c r="CL397" s="490">
        <v>0.92</v>
      </c>
      <c r="CN397" s="489">
        <v>270</v>
      </c>
      <c r="CO397" s="490">
        <v>1</v>
      </c>
      <c r="CP397" s="490">
        <v>1</v>
      </c>
      <c r="CQ397" s="490">
        <v>0.99</v>
      </c>
      <c r="CR397" s="490">
        <v>0.96</v>
      </c>
      <c r="CS397" s="490">
        <v>0.91</v>
      </c>
    </row>
    <row r="398" spans="3:97" ht="15.75" thickBot="1" x14ac:dyDescent="0.3">
      <c r="C398" s="489">
        <v>10</v>
      </c>
      <c r="D398" s="490">
        <v>0.95</v>
      </c>
      <c r="E398" s="490">
        <v>0.99</v>
      </c>
      <c r="F398" s="490">
        <v>1</v>
      </c>
      <c r="G398" s="490">
        <v>0.99</v>
      </c>
      <c r="H398" s="490">
        <v>0.95</v>
      </c>
      <c r="I398" s="490">
        <v>0.9</v>
      </c>
      <c r="J398" s="490">
        <v>0.82</v>
      </c>
      <c r="K398" s="490">
        <v>0.73</v>
      </c>
      <c r="L398" s="490">
        <v>0.62</v>
      </c>
      <c r="M398" s="490">
        <v>0.52</v>
      </c>
      <c r="O398" s="489">
        <v>280</v>
      </c>
      <c r="P398" s="490">
        <v>1</v>
      </c>
      <c r="Q398" s="490">
        <v>1</v>
      </c>
      <c r="R398" s="490">
        <v>0.97</v>
      </c>
      <c r="S398" s="490">
        <v>0.94</v>
      </c>
      <c r="T398" s="490">
        <v>0.89</v>
      </c>
      <c r="V398" s="489">
        <v>280</v>
      </c>
      <c r="W398" s="490">
        <v>1</v>
      </c>
      <c r="X398" s="490">
        <v>1</v>
      </c>
      <c r="Y398" s="490">
        <v>0.98</v>
      </c>
      <c r="Z398" s="490">
        <v>0.95</v>
      </c>
      <c r="AA398" s="490">
        <v>0.91</v>
      </c>
      <c r="AC398" s="489">
        <v>280</v>
      </c>
      <c r="AD398" s="490">
        <v>1</v>
      </c>
      <c r="AE398" s="490">
        <v>1.01</v>
      </c>
      <c r="AF398" s="490">
        <v>1</v>
      </c>
      <c r="AG398" s="490">
        <v>0.98</v>
      </c>
      <c r="AH398" s="490">
        <v>0.94</v>
      </c>
      <c r="AJ398" s="489">
        <v>280</v>
      </c>
      <c r="AK398" s="490">
        <v>1</v>
      </c>
      <c r="AL398" s="490">
        <v>1.02</v>
      </c>
      <c r="AM398" s="490">
        <v>1.03</v>
      </c>
      <c r="AN398" s="490">
        <v>1.02</v>
      </c>
      <c r="AO398" s="490">
        <v>0.98</v>
      </c>
      <c r="AQ398" s="489">
        <v>280</v>
      </c>
      <c r="AR398" s="490">
        <v>1</v>
      </c>
      <c r="AS398" s="490">
        <v>1.03</v>
      </c>
      <c r="AT398" s="490">
        <v>1.04</v>
      </c>
      <c r="AU398" s="490">
        <v>1.03</v>
      </c>
      <c r="AV398" s="490">
        <v>1.01</v>
      </c>
      <c r="AX398" s="489">
        <v>280</v>
      </c>
      <c r="AY398" s="490">
        <v>1</v>
      </c>
      <c r="AZ398" s="490">
        <v>1.03</v>
      </c>
      <c r="BA398" s="490">
        <v>1.04</v>
      </c>
      <c r="BB398" s="490">
        <v>1.04</v>
      </c>
      <c r="BC398" s="490">
        <v>1.03</v>
      </c>
      <c r="BE398" s="489">
        <v>280</v>
      </c>
      <c r="BF398" s="490">
        <v>1</v>
      </c>
      <c r="BG398" s="490">
        <v>1.03</v>
      </c>
      <c r="BH398" s="490">
        <v>1.04</v>
      </c>
      <c r="BI398" s="490">
        <v>1.04</v>
      </c>
      <c r="BJ398" s="490">
        <v>1.02</v>
      </c>
      <c r="BL398" s="489">
        <v>280</v>
      </c>
      <c r="BM398" s="490">
        <v>1</v>
      </c>
      <c r="BN398" s="490">
        <v>1.02</v>
      </c>
      <c r="BO398" s="490">
        <v>1.03</v>
      </c>
      <c r="BP398" s="490">
        <v>1.02</v>
      </c>
      <c r="BQ398" s="490">
        <v>0.99</v>
      </c>
      <c r="BS398" s="489">
        <v>280</v>
      </c>
      <c r="BT398" s="490">
        <v>1</v>
      </c>
      <c r="BU398" s="490">
        <v>1.01</v>
      </c>
      <c r="BV398" s="490">
        <v>1.01</v>
      </c>
      <c r="BW398" s="490">
        <v>1</v>
      </c>
      <c r="BX398" s="490">
        <v>0.96</v>
      </c>
      <c r="BZ398" s="489">
        <v>280</v>
      </c>
      <c r="CA398" s="490">
        <v>1</v>
      </c>
      <c r="CB398" s="490">
        <v>1.01</v>
      </c>
      <c r="CC398" s="490">
        <v>1</v>
      </c>
      <c r="CD398" s="490">
        <v>0.97</v>
      </c>
      <c r="CE398" s="490">
        <v>0.94</v>
      </c>
      <c r="CG398" s="489">
        <v>280</v>
      </c>
      <c r="CH398" s="490">
        <v>1</v>
      </c>
      <c r="CI398" s="490">
        <v>1</v>
      </c>
      <c r="CJ398" s="490">
        <v>0.99</v>
      </c>
      <c r="CK398" s="490">
        <v>0.96</v>
      </c>
      <c r="CL398" s="490">
        <v>0.91</v>
      </c>
      <c r="CN398" s="489">
        <v>280</v>
      </c>
      <c r="CO398" s="490">
        <v>1</v>
      </c>
      <c r="CP398" s="490">
        <v>1</v>
      </c>
      <c r="CQ398" s="490">
        <v>0.98</v>
      </c>
      <c r="CR398" s="490">
        <v>0.94</v>
      </c>
      <c r="CS398" s="490">
        <v>0.89</v>
      </c>
    </row>
    <row r="399" spans="3:97" ht="15.75" thickBot="1" x14ac:dyDescent="0.3">
      <c r="C399" s="489">
        <v>20</v>
      </c>
      <c r="D399" s="490">
        <v>0.95</v>
      </c>
      <c r="E399" s="490">
        <v>0.98</v>
      </c>
      <c r="F399" s="490">
        <v>1</v>
      </c>
      <c r="G399" s="490">
        <v>0.98</v>
      </c>
      <c r="H399" s="490">
        <v>0.95</v>
      </c>
      <c r="I399" s="490">
        <v>0.9</v>
      </c>
      <c r="J399" s="490">
        <v>0.82</v>
      </c>
      <c r="K399" s="490">
        <v>0.73</v>
      </c>
      <c r="L399" s="490">
        <v>0.63</v>
      </c>
      <c r="M399" s="490">
        <v>0.53</v>
      </c>
      <c r="O399" s="489">
        <v>290</v>
      </c>
      <c r="P399" s="490">
        <v>1</v>
      </c>
      <c r="Q399" s="490">
        <v>0.99</v>
      </c>
      <c r="R399" s="490">
        <v>0.97</v>
      </c>
      <c r="S399" s="490">
        <v>0.93</v>
      </c>
      <c r="T399" s="490">
        <v>0.87</v>
      </c>
      <c r="V399" s="489">
        <v>290</v>
      </c>
      <c r="W399" s="490">
        <v>1</v>
      </c>
      <c r="X399" s="490">
        <v>1</v>
      </c>
      <c r="Y399" s="490">
        <v>0.98</v>
      </c>
      <c r="Z399" s="490">
        <v>0.95</v>
      </c>
      <c r="AA399" s="490">
        <v>0.9</v>
      </c>
      <c r="AC399" s="489">
        <v>290</v>
      </c>
      <c r="AD399" s="490">
        <v>1</v>
      </c>
      <c r="AE399" s="490">
        <v>1.01</v>
      </c>
      <c r="AF399" s="490">
        <v>1.01</v>
      </c>
      <c r="AG399" s="490">
        <v>1</v>
      </c>
      <c r="AH399" s="490">
        <v>0.96</v>
      </c>
      <c r="AJ399" s="489">
        <v>290</v>
      </c>
      <c r="AK399" s="490">
        <v>1</v>
      </c>
      <c r="AL399" s="490">
        <v>1.03</v>
      </c>
      <c r="AM399" s="490">
        <v>1.05</v>
      </c>
      <c r="AN399" s="490">
        <v>1.04</v>
      </c>
      <c r="AO399" s="490">
        <v>1.03</v>
      </c>
      <c r="AQ399" s="489">
        <v>290</v>
      </c>
      <c r="AR399" s="490">
        <v>1</v>
      </c>
      <c r="AS399" s="490">
        <v>1.04</v>
      </c>
      <c r="AT399" s="490">
        <v>1.07</v>
      </c>
      <c r="AU399" s="490">
        <v>1.08</v>
      </c>
      <c r="AV399" s="490">
        <v>1.07</v>
      </c>
      <c r="AX399" s="489">
        <v>290</v>
      </c>
      <c r="AY399" s="490">
        <v>1</v>
      </c>
      <c r="AZ399" s="490">
        <v>1.06</v>
      </c>
      <c r="BA399" s="490">
        <v>1.0900000000000001</v>
      </c>
      <c r="BB399" s="490">
        <v>1.1000000000000001</v>
      </c>
      <c r="BC399" s="490">
        <v>1.0900000000000001</v>
      </c>
      <c r="BE399" s="489">
        <v>290</v>
      </c>
      <c r="BF399" s="490">
        <v>1</v>
      </c>
      <c r="BG399" s="490">
        <v>1.05</v>
      </c>
      <c r="BH399" s="490">
        <v>1.08</v>
      </c>
      <c r="BI399" s="490">
        <v>1.1000000000000001</v>
      </c>
      <c r="BJ399" s="490">
        <v>1.0900000000000001</v>
      </c>
      <c r="BL399" s="489">
        <v>290</v>
      </c>
      <c r="BM399" s="490">
        <v>1</v>
      </c>
      <c r="BN399" s="490">
        <v>1.04</v>
      </c>
      <c r="BO399" s="490">
        <v>1.06</v>
      </c>
      <c r="BP399" s="490">
        <v>1.06</v>
      </c>
      <c r="BQ399" s="490">
        <v>1.04</v>
      </c>
      <c r="BS399" s="489">
        <v>290</v>
      </c>
      <c r="BT399" s="490">
        <v>1</v>
      </c>
      <c r="BU399" s="490">
        <v>1.02</v>
      </c>
      <c r="BV399" s="490">
        <v>1.03</v>
      </c>
      <c r="BW399" s="490">
        <v>1.01</v>
      </c>
      <c r="BX399" s="490">
        <v>0.99</v>
      </c>
      <c r="BZ399" s="489">
        <v>290</v>
      </c>
      <c r="CA399" s="490">
        <v>1</v>
      </c>
      <c r="CB399" s="490">
        <v>1.01</v>
      </c>
      <c r="CC399" s="490">
        <v>1</v>
      </c>
      <c r="CD399" s="490">
        <v>0.98</v>
      </c>
      <c r="CE399" s="490">
        <v>0.94</v>
      </c>
      <c r="CG399" s="489">
        <v>290</v>
      </c>
      <c r="CH399" s="490">
        <v>1</v>
      </c>
      <c r="CI399" s="490">
        <v>1</v>
      </c>
      <c r="CJ399" s="490">
        <v>0.98</v>
      </c>
      <c r="CK399" s="490">
        <v>0.94</v>
      </c>
      <c r="CL399" s="490">
        <v>0.9</v>
      </c>
      <c r="CN399" s="489">
        <v>290</v>
      </c>
      <c r="CO399" s="490">
        <v>1</v>
      </c>
      <c r="CP399" s="490">
        <v>0.99</v>
      </c>
      <c r="CQ399" s="490">
        <v>0.96</v>
      </c>
      <c r="CR399" s="490">
        <v>0.92</v>
      </c>
      <c r="CS399" s="490">
        <v>0.87</v>
      </c>
    </row>
    <row r="400" spans="3:97" ht="15.75" thickBot="1" x14ac:dyDescent="0.3">
      <c r="C400" s="489">
        <v>30</v>
      </c>
      <c r="D400" s="490">
        <v>0.95</v>
      </c>
      <c r="E400" s="490">
        <v>0.98</v>
      </c>
      <c r="F400" s="491">
        <v>0.99</v>
      </c>
      <c r="G400" s="490">
        <v>0.98</v>
      </c>
      <c r="H400" s="490">
        <v>0.94</v>
      </c>
      <c r="I400" s="490">
        <v>0.89</v>
      </c>
      <c r="J400" s="490">
        <v>0.82</v>
      </c>
      <c r="K400" s="490">
        <v>0.73</v>
      </c>
      <c r="L400" s="490">
        <v>0.64</v>
      </c>
      <c r="M400" s="490">
        <v>0.54</v>
      </c>
      <c r="O400" s="489">
        <v>300</v>
      </c>
      <c r="P400" s="490">
        <v>1</v>
      </c>
      <c r="Q400" s="490">
        <v>0.99</v>
      </c>
      <c r="R400" s="491">
        <v>0.96</v>
      </c>
      <c r="S400" s="490">
        <v>0.91</v>
      </c>
      <c r="T400" s="490">
        <v>0.86</v>
      </c>
      <c r="V400" s="489">
        <v>300</v>
      </c>
      <c r="W400" s="490">
        <v>1</v>
      </c>
      <c r="X400" s="490">
        <v>1</v>
      </c>
      <c r="Y400" s="491">
        <v>0.98</v>
      </c>
      <c r="Z400" s="490">
        <v>0.94</v>
      </c>
      <c r="AA400" s="490">
        <v>0.9</v>
      </c>
      <c r="AC400" s="489">
        <v>300</v>
      </c>
      <c r="AD400" s="490">
        <v>1</v>
      </c>
      <c r="AE400" s="490">
        <v>1.02</v>
      </c>
      <c r="AF400" s="491">
        <v>1.02</v>
      </c>
      <c r="AG400" s="490">
        <v>1</v>
      </c>
      <c r="AH400" s="490">
        <v>0.97</v>
      </c>
      <c r="AJ400" s="489">
        <v>300</v>
      </c>
      <c r="AK400" s="490">
        <v>1</v>
      </c>
      <c r="AL400" s="490">
        <v>1.04</v>
      </c>
      <c r="AM400" s="491">
        <v>1.07</v>
      </c>
      <c r="AN400" s="490">
        <v>1.07</v>
      </c>
      <c r="AO400" s="490">
        <v>1.05</v>
      </c>
      <c r="AQ400" s="489">
        <v>300</v>
      </c>
      <c r="AR400" s="490">
        <v>1</v>
      </c>
      <c r="AS400" s="490">
        <v>1.07</v>
      </c>
      <c r="AT400" s="491">
        <v>1.1100000000000001</v>
      </c>
      <c r="AU400" s="490">
        <v>1.1200000000000001</v>
      </c>
      <c r="AV400" s="490">
        <v>1.1200000000000001</v>
      </c>
      <c r="AX400" s="489">
        <v>300</v>
      </c>
      <c r="AY400" s="490">
        <v>1</v>
      </c>
      <c r="AZ400" s="490">
        <v>1.08</v>
      </c>
      <c r="BA400" s="491">
        <v>1.1299999999999999</v>
      </c>
      <c r="BB400" s="490">
        <v>1.1499999999999999</v>
      </c>
      <c r="BC400" s="490">
        <v>1.1599999999999999</v>
      </c>
      <c r="BE400" s="489">
        <v>300</v>
      </c>
      <c r="BF400" s="490">
        <v>1</v>
      </c>
      <c r="BG400" s="490">
        <v>1.08</v>
      </c>
      <c r="BH400" s="491">
        <v>1.1200000000000001</v>
      </c>
      <c r="BI400" s="490">
        <v>1.1499999999999999</v>
      </c>
      <c r="BJ400" s="490">
        <v>1.1499999999999999</v>
      </c>
      <c r="BL400" s="489">
        <v>300</v>
      </c>
      <c r="BM400" s="490">
        <v>1</v>
      </c>
      <c r="BN400" s="490">
        <v>1.06</v>
      </c>
      <c r="BO400" s="491">
        <v>1.0900000000000001</v>
      </c>
      <c r="BP400" s="490">
        <v>1.1000000000000001</v>
      </c>
      <c r="BQ400" s="490">
        <v>1.0900000000000001</v>
      </c>
      <c r="BS400" s="489">
        <v>300</v>
      </c>
      <c r="BT400" s="490">
        <v>1</v>
      </c>
      <c r="BU400" s="490">
        <v>1.03</v>
      </c>
      <c r="BV400" s="491">
        <v>1.04</v>
      </c>
      <c r="BW400" s="490">
        <v>1.03</v>
      </c>
      <c r="BX400" s="490">
        <v>1.01</v>
      </c>
      <c r="BZ400" s="489">
        <v>300</v>
      </c>
      <c r="CA400" s="490">
        <v>1</v>
      </c>
      <c r="CB400" s="490">
        <v>1.01</v>
      </c>
      <c r="CC400" s="491">
        <v>1</v>
      </c>
      <c r="CD400" s="490">
        <v>0.98</v>
      </c>
      <c r="CE400" s="490">
        <v>0.94</v>
      </c>
      <c r="CG400" s="489">
        <v>300</v>
      </c>
      <c r="CH400" s="490">
        <v>1</v>
      </c>
      <c r="CI400" s="490">
        <v>1</v>
      </c>
      <c r="CJ400" s="491">
        <v>0.97</v>
      </c>
      <c r="CK400" s="490">
        <v>0.93</v>
      </c>
      <c r="CL400" s="490">
        <v>0.88</v>
      </c>
      <c r="CN400" s="489">
        <v>300</v>
      </c>
      <c r="CO400" s="490">
        <v>1</v>
      </c>
      <c r="CP400" s="490">
        <v>0.98</v>
      </c>
      <c r="CQ400" s="491">
        <v>0.95</v>
      </c>
      <c r="CR400" s="490">
        <v>0.9</v>
      </c>
      <c r="CS400" s="490">
        <v>0.85</v>
      </c>
    </row>
    <row r="401" spans="3:98" ht="15.75" thickBot="1" x14ac:dyDescent="0.3">
      <c r="C401" s="489">
        <v>40</v>
      </c>
      <c r="D401" s="490">
        <v>0.95</v>
      </c>
      <c r="E401" s="490">
        <v>0.98</v>
      </c>
      <c r="F401" s="491">
        <v>0.99</v>
      </c>
      <c r="G401" s="490">
        <v>0.97</v>
      </c>
      <c r="H401" s="490">
        <v>0.94</v>
      </c>
      <c r="I401" s="490">
        <v>0.88</v>
      </c>
      <c r="J401" s="490">
        <v>0.81</v>
      </c>
      <c r="K401" s="490">
        <v>0.73</v>
      </c>
      <c r="L401" s="490">
        <v>0.64</v>
      </c>
      <c r="M401" s="490">
        <v>0.55000000000000004</v>
      </c>
      <c r="O401" s="489">
        <v>310</v>
      </c>
      <c r="P401" s="490">
        <v>1</v>
      </c>
      <c r="Q401" s="490">
        <v>0.98</v>
      </c>
      <c r="R401" s="491">
        <v>0.95</v>
      </c>
      <c r="S401" s="490">
        <v>0.9</v>
      </c>
      <c r="T401" s="490">
        <v>0.83</v>
      </c>
      <c r="V401" s="489">
        <v>310</v>
      </c>
      <c r="W401" s="490">
        <v>1</v>
      </c>
      <c r="X401" s="490">
        <v>1</v>
      </c>
      <c r="Y401" s="491">
        <v>0.98</v>
      </c>
      <c r="Z401" s="490">
        <v>0.94</v>
      </c>
      <c r="AA401" s="490">
        <v>0.89</v>
      </c>
      <c r="AC401" s="489">
        <v>310</v>
      </c>
      <c r="AD401" s="490">
        <v>1</v>
      </c>
      <c r="AE401" s="490">
        <v>1.02</v>
      </c>
      <c r="AF401" s="491">
        <v>1.03</v>
      </c>
      <c r="AG401" s="490">
        <v>1.01</v>
      </c>
      <c r="AH401" s="490">
        <v>0.98</v>
      </c>
      <c r="AJ401" s="489">
        <v>310</v>
      </c>
      <c r="AK401" s="490">
        <v>1</v>
      </c>
      <c r="AL401" s="490">
        <v>1.05</v>
      </c>
      <c r="AM401" s="491">
        <v>1.0900000000000001</v>
      </c>
      <c r="AN401" s="490">
        <v>1.1000000000000001</v>
      </c>
      <c r="AO401" s="490">
        <v>1.08</v>
      </c>
      <c r="AQ401" s="489">
        <v>310</v>
      </c>
      <c r="AR401" s="490">
        <v>1</v>
      </c>
      <c r="AS401" s="490">
        <v>1.08</v>
      </c>
      <c r="AT401" s="491">
        <v>1.1399999999999999</v>
      </c>
      <c r="AU401" s="490">
        <v>1.17</v>
      </c>
      <c r="AV401" s="490">
        <v>1.17</v>
      </c>
      <c r="AX401" s="489">
        <v>310</v>
      </c>
      <c r="AY401" s="490">
        <v>1</v>
      </c>
      <c r="AZ401" s="490">
        <v>1.0900000000000001</v>
      </c>
      <c r="BA401" s="491">
        <v>1.1599999999999999</v>
      </c>
      <c r="BB401" s="490">
        <v>1.2</v>
      </c>
      <c r="BC401" s="490">
        <v>1.21</v>
      </c>
      <c r="BE401" s="489">
        <v>310</v>
      </c>
      <c r="BF401" s="490">
        <v>1</v>
      </c>
      <c r="BG401" s="490">
        <v>1.0900000000000001</v>
      </c>
      <c r="BH401" s="491">
        <v>1.1599999999999999</v>
      </c>
      <c r="BI401" s="490">
        <v>1.2</v>
      </c>
      <c r="BJ401" s="490">
        <v>1.2</v>
      </c>
      <c r="BL401" s="489">
        <v>310</v>
      </c>
      <c r="BM401" s="490">
        <v>1</v>
      </c>
      <c r="BN401" s="490">
        <v>1.07</v>
      </c>
      <c r="BO401" s="491">
        <v>1.1100000000000001</v>
      </c>
      <c r="BP401" s="490">
        <v>1.1299999999999999</v>
      </c>
      <c r="BQ401" s="490">
        <v>1.1299999999999999</v>
      </c>
      <c r="BS401" s="489">
        <v>310</v>
      </c>
      <c r="BT401" s="490">
        <v>1</v>
      </c>
      <c r="BU401" s="490">
        <v>1.04</v>
      </c>
      <c r="BV401" s="491">
        <v>1.06</v>
      </c>
      <c r="BW401" s="490">
        <v>1.05</v>
      </c>
      <c r="BX401" s="490">
        <v>1.03</v>
      </c>
      <c r="BZ401" s="489">
        <v>310</v>
      </c>
      <c r="CA401" s="490">
        <v>1</v>
      </c>
      <c r="CB401" s="490">
        <v>1.01</v>
      </c>
      <c r="CC401" s="491">
        <v>1</v>
      </c>
      <c r="CD401" s="490">
        <v>0.98</v>
      </c>
      <c r="CE401" s="490">
        <v>0.93</v>
      </c>
      <c r="CG401" s="489">
        <v>310</v>
      </c>
      <c r="CH401" s="490">
        <v>1</v>
      </c>
      <c r="CI401" s="490">
        <v>0.99</v>
      </c>
      <c r="CJ401" s="491">
        <v>0.96</v>
      </c>
      <c r="CK401" s="490">
        <v>0.92</v>
      </c>
      <c r="CL401" s="490">
        <v>0.86</v>
      </c>
      <c r="CN401" s="489">
        <v>310</v>
      </c>
      <c r="CO401" s="490">
        <v>1</v>
      </c>
      <c r="CP401" s="490">
        <v>0.98</v>
      </c>
      <c r="CQ401" s="491">
        <v>0.94</v>
      </c>
      <c r="CR401" s="490">
        <v>0.89</v>
      </c>
      <c r="CS401" s="490">
        <v>0.82</v>
      </c>
    </row>
    <row r="402" spans="3:98" ht="15.75" thickBot="1" x14ac:dyDescent="0.3">
      <c r="C402" s="489">
        <v>50</v>
      </c>
      <c r="D402" s="490">
        <v>0.95</v>
      </c>
      <c r="E402" s="490">
        <v>0.97</v>
      </c>
      <c r="F402" s="491">
        <v>0.98</v>
      </c>
      <c r="G402" s="490">
        <v>0.96</v>
      </c>
      <c r="H402" s="490">
        <v>0.93</v>
      </c>
      <c r="I402" s="490">
        <v>0.87</v>
      </c>
      <c r="J402" s="490">
        <v>0.8</v>
      </c>
      <c r="K402" s="490">
        <v>0.73</v>
      </c>
      <c r="L402" s="490">
        <v>0.64</v>
      </c>
      <c r="M402" s="490">
        <v>0.56000000000000005</v>
      </c>
      <c r="O402" s="489">
        <v>320</v>
      </c>
      <c r="P402" s="490">
        <v>1</v>
      </c>
      <c r="Q402" s="490">
        <v>0.98</v>
      </c>
      <c r="R402" s="491">
        <v>0.94</v>
      </c>
      <c r="S402" s="490">
        <v>0.89</v>
      </c>
      <c r="T402" s="490">
        <v>0.82</v>
      </c>
      <c r="V402" s="489">
        <v>320</v>
      </c>
      <c r="W402" s="490">
        <v>1</v>
      </c>
      <c r="X402" s="490">
        <v>1</v>
      </c>
      <c r="Y402" s="491">
        <v>0.98</v>
      </c>
      <c r="Z402" s="490">
        <v>0.93</v>
      </c>
      <c r="AA402" s="490">
        <v>0.88</v>
      </c>
      <c r="AC402" s="489">
        <v>320</v>
      </c>
      <c r="AD402" s="490">
        <v>1</v>
      </c>
      <c r="AE402" s="490">
        <v>1.03</v>
      </c>
      <c r="AF402" s="491">
        <v>1.04</v>
      </c>
      <c r="AG402" s="490">
        <v>1.02</v>
      </c>
      <c r="AH402" s="490">
        <v>0.99</v>
      </c>
      <c r="AJ402" s="489">
        <v>320</v>
      </c>
      <c r="AK402" s="490">
        <v>1</v>
      </c>
      <c r="AL402" s="490">
        <v>1.06</v>
      </c>
      <c r="AM402" s="491">
        <v>1.1000000000000001</v>
      </c>
      <c r="AN402" s="490">
        <v>1.1200000000000001</v>
      </c>
      <c r="AO402" s="490">
        <v>1.1100000000000001</v>
      </c>
      <c r="AQ402" s="489">
        <v>320</v>
      </c>
      <c r="AR402" s="490">
        <v>1</v>
      </c>
      <c r="AS402" s="490">
        <v>1.1000000000000001</v>
      </c>
      <c r="AT402" s="491">
        <v>1.1599999999999999</v>
      </c>
      <c r="AU402" s="490">
        <v>1.21</v>
      </c>
      <c r="AV402" s="490">
        <v>1.22</v>
      </c>
      <c r="AX402" s="489">
        <v>320</v>
      </c>
      <c r="AY402" s="490">
        <v>1</v>
      </c>
      <c r="AZ402" s="490">
        <v>1.1100000000000001</v>
      </c>
      <c r="BA402" s="491">
        <v>1.19</v>
      </c>
      <c r="BB402" s="490">
        <v>1.25</v>
      </c>
      <c r="BC402" s="490">
        <v>1.27</v>
      </c>
      <c r="BE402" s="489">
        <v>320</v>
      </c>
      <c r="BF402" s="490">
        <v>1</v>
      </c>
      <c r="BG402" s="490">
        <v>1.1000000000000001</v>
      </c>
      <c r="BH402" s="491">
        <v>1.19</v>
      </c>
      <c r="BI402" s="490">
        <v>1.24</v>
      </c>
      <c r="BJ402" s="490">
        <v>1.26</v>
      </c>
      <c r="BL402" s="489">
        <v>320</v>
      </c>
      <c r="BM402" s="490">
        <v>1</v>
      </c>
      <c r="BN402" s="490">
        <v>1.08</v>
      </c>
      <c r="BO402" s="491">
        <v>1.1399999999999999</v>
      </c>
      <c r="BP402" s="490">
        <v>1.1599999999999999</v>
      </c>
      <c r="BQ402" s="490">
        <v>1.1599999999999999</v>
      </c>
      <c r="BS402" s="489">
        <v>320</v>
      </c>
      <c r="BT402" s="490">
        <v>1</v>
      </c>
      <c r="BU402" s="490">
        <v>1.05</v>
      </c>
      <c r="BV402" s="491">
        <v>1.07</v>
      </c>
      <c r="BW402" s="490">
        <v>1.06</v>
      </c>
      <c r="BX402" s="490">
        <v>1.04</v>
      </c>
      <c r="BZ402" s="489">
        <v>320</v>
      </c>
      <c r="CA402" s="490">
        <v>1</v>
      </c>
      <c r="CB402" s="490">
        <v>1.02</v>
      </c>
      <c r="CC402" s="491">
        <v>1</v>
      </c>
      <c r="CD402" s="490">
        <v>0.98</v>
      </c>
      <c r="CE402" s="490">
        <v>0.92</v>
      </c>
      <c r="CG402" s="489">
        <v>320</v>
      </c>
      <c r="CH402" s="490">
        <v>1</v>
      </c>
      <c r="CI402" s="490">
        <v>0.99</v>
      </c>
      <c r="CJ402" s="491">
        <v>0.96</v>
      </c>
      <c r="CK402" s="490">
        <v>0.91</v>
      </c>
      <c r="CL402" s="490">
        <v>0.84</v>
      </c>
      <c r="CN402" s="489">
        <v>320</v>
      </c>
      <c r="CO402" s="490">
        <v>1</v>
      </c>
      <c r="CP402" s="490">
        <v>0.98</v>
      </c>
      <c r="CQ402" s="491">
        <v>0.93</v>
      </c>
      <c r="CR402" s="490">
        <v>0.87</v>
      </c>
      <c r="CS402" s="490">
        <v>0.8</v>
      </c>
    </row>
    <row r="403" spans="3:98" ht="15.75" thickBot="1" x14ac:dyDescent="0.3">
      <c r="C403" s="489">
        <v>60</v>
      </c>
      <c r="D403" s="490">
        <v>0.95</v>
      </c>
      <c r="E403" s="490">
        <v>0.97</v>
      </c>
      <c r="F403" s="491">
        <v>0.97</v>
      </c>
      <c r="G403" s="490">
        <v>0.95</v>
      </c>
      <c r="H403" s="490">
        <v>0.91</v>
      </c>
      <c r="I403" s="490">
        <v>0.86</v>
      </c>
      <c r="J403" s="490">
        <v>0.79</v>
      </c>
      <c r="K403" s="490">
        <v>0.72</v>
      </c>
      <c r="L403" s="490">
        <v>0.64</v>
      </c>
      <c r="M403" s="490">
        <v>0.56000000000000005</v>
      </c>
      <c r="O403" s="489">
        <v>330</v>
      </c>
      <c r="P403" s="490">
        <v>1</v>
      </c>
      <c r="Q403" s="490">
        <v>0.98</v>
      </c>
      <c r="R403" s="491">
        <v>0.93</v>
      </c>
      <c r="S403" s="490">
        <v>0.87</v>
      </c>
      <c r="T403" s="490">
        <v>0.8</v>
      </c>
      <c r="V403" s="489">
        <v>330</v>
      </c>
      <c r="W403" s="490">
        <v>1</v>
      </c>
      <c r="X403" s="490">
        <v>1</v>
      </c>
      <c r="Y403" s="491">
        <v>0.98</v>
      </c>
      <c r="Z403" s="490">
        <v>0.93</v>
      </c>
      <c r="AA403" s="490">
        <v>0.87</v>
      </c>
      <c r="AC403" s="489">
        <v>330</v>
      </c>
      <c r="AD403" s="490">
        <v>1</v>
      </c>
      <c r="AE403" s="490">
        <v>1.03</v>
      </c>
      <c r="AF403" s="491">
        <v>1.04</v>
      </c>
      <c r="AG403" s="490">
        <v>1.03</v>
      </c>
      <c r="AH403" s="490">
        <v>0.99</v>
      </c>
      <c r="AJ403" s="489">
        <v>330</v>
      </c>
      <c r="AK403" s="490">
        <v>1</v>
      </c>
      <c r="AL403" s="490">
        <v>1.07</v>
      </c>
      <c r="AM403" s="491">
        <v>1.1100000000000001</v>
      </c>
      <c r="AN403" s="490">
        <v>1.1299999999999999</v>
      </c>
      <c r="AO403" s="490">
        <v>1.1200000000000001</v>
      </c>
      <c r="AQ403" s="489">
        <v>330</v>
      </c>
      <c r="AR403" s="490">
        <v>1</v>
      </c>
      <c r="AS403" s="490">
        <v>1.1100000000000001</v>
      </c>
      <c r="AT403" s="491">
        <v>1.19</v>
      </c>
      <c r="AU403" s="490">
        <v>1.24</v>
      </c>
      <c r="AV403" s="490">
        <v>1.26</v>
      </c>
      <c r="AX403" s="489">
        <v>330</v>
      </c>
      <c r="AY403" s="490">
        <v>1</v>
      </c>
      <c r="AZ403" s="490">
        <v>1.1299999999999999</v>
      </c>
      <c r="BA403" s="491">
        <v>1.22</v>
      </c>
      <c r="BB403" s="490">
        <v>1.28</v>
      </c>
      <c r="BC403" s="490">
        <v>1.32</v>
      </c>
      <c r="BE403" s="489">
        <v>330</v>
      </c>
      <c r="BF403" s="490">
        <v>1</v>
      </c>
      <c r="BG403" s="490">
        <v>1.1200000000000001</v>
      </c>
      <c r="BH403" s="491">
        <v>1.21</v>
      </c>
      <c r="BI403" s="490">
        <v>1.27</v>
      </c>
      <c r="BJ403" s="490">
        <v>1.3</v>
      </c>
      <c r="BL403" s="489">
        <v>330</v>
      </c>
      <c r="BM403" s="490">
        <v>1</v>
      </c>
      <c r="BN403" s="490">
        <v>1.0900000000000001</v>
      </c>
      <c r="BO403" s="491">
        <v>1.1499999999999999</v>
      </c>
      <c r="BP403" s="490">
        <v>1.19</v>
      </c>
      <c r="BQ403" s="490">
        <v>1.19</v>
      </c>
      <c r="BS403" s="489">
        <v>330</v>
      </c>
      <c r="BT403" s="490">
        <v>1</v>
      </c>
      <c r="BU403" s="490">
        <v>1.05</v>
      </c>
      <c r="BV403" s="491">
        <v>1.08</v>
      </c>
      <c r="BW403" s="490">
        <v>1.08</v>
      </c>
      <c r="BX403" s="490">
        <v>1.05</v>
      </c>
      <c r="BZ403" s="489">
        <v>330</v>
      </c>
      <c r="CA403" s="490">
        <v>1</v>
      </c>
      <c r="CB403" s="490">
        <v>1.01</v>
      </c>
      <c r="CC403" s="491">
        <v>1</v>
      </c>
      <c r="CD403" s="490">
        <v>0.97</v>
      </c>
      <c r="CE403" s="490">
        <v>0.92</v>
      </c>
      <c r="CG403" s="489">
        <v>330</v>
      </c>
      <c r="CH403" s="490">
        <v>1</v>
      </c>
      <c r="CI403" s="490">
        <v>0.99</v>
      </c>
      <c r="CJ403" s="491">
        <v>0.95</v>
      </c>
      <c r="CK403" s="490">
        <v>0.9</v>
      </c>
      <c r="CL403" s="490">
        <v>0.82</v>
      </c>
      <c r="CN403" s="489">
        <v>330</v>
      </c>
      <c r="CO403" s="490">
        <v>1</v>
      </c>
      <c r="CP403" s="490">
        <v>0.97</v>
      </c>
      <c r="CQ403" s="491">
        <v>0.92</v>
      </c>
      <c r="CR403" s="490">
        <v>0.85</v>
      </c>
      <c r="CS403" s="490">
        <v>0.77</v>
      </c>
    </row>
    <row r="404" spans="3:98" ht="15.75" thickBot="1" x14ac:dyDescent="0.3">
      <c r="C404" s="489">
        <v>70</v>
      </c>
      <c r="D404" s="490">
        <v>0.95</v>
      </c>
      <c r="E404" s="490">
        <v>0.96</v>
      </c>
      <c r="F404" s="491">
        <v>0.96</v>
      </c>
      <c r="G404" s="490">
        <v>0.94</v>
      </c>
      <c r="H404" s="490">
        <v>0.9</v>
      </c>
      <c r="I404" s="490">
        <v>0.84</v>
      </c>
      <c r="J404" s="490">
        <v>0.78</v>
      </c>
      <c r="K404" s="490">
        <v>0.71</v>
      </c>
      <c r="L404" s="490">
        <v>0.63</v>
      </c>
      <c r="M404" s="490">
        <v>0.55000000000000004</v>
      </c>
      <c r="O404" s="489">
        <v>340</v>
      </c>
      <c r="P404" s="490">
        <v>1</v>
      </c>
      <c r="Q404" s="490">
        <v>0.98</v>
      </c>
      <c r="R404" s="491">
        <v>0.93</v>
      </c>
      <c r="S404" s="490">
        <v>0.87</v>
      </c>
      <c r="T404" s="490">
        <v>0.78</v>
      </c>
      <c r="V404" s="489">
        <v>340</v>
      </c>
      <c r="W404" s="490">
        <v>1</v>
      </c>
      <c r="X404" s="490">
        <v>1</v>
      </c>
      <c r="Y404" s="491">
        <v>0.97</v>
      </c>
      <c r="Z404" s="490">
        <v>0.93</v>
      </c>
      <c r="AA404" s="490">
        <v>0.87</v>
      </c>
      <c r="AC404" s="489">
        <v>340</v>
      </c>
      <c r="AD404" s="490">
        <v>1</v>
      </c>
      <c r="AE404" s="490">
        <v>1.03</v>
      </c>
      <c r="AF404" s="491">
        <v>1.04</v>
      </c>
      <c r="AG404" s="490">
        <v>1.03</v>
      </c>
      <c r="AH404" s="490">
        <v>1</v>
      </c>
      <c r="AJ404" s="489">
        <v>340</v>
      </c>
      <c r="AK404" s="490">
        <v>1</v>
      </c>
      <c r="AL404" s="490">
        <v>1.08</v>
      </c>
      <c r="AM404" s="491">
        <v>1.1200000000000001</v>
      </c>
      <c r="AN404" s="490">
        <v>1.1499999999999999</v>
      </c>
      <c r="AO404" s="490">
        <v>1.1399999999999999</v>
      </c>
      <c r="AQ404" s="489">
        <v>340</v>
      </c>
      <c r="AR404" s="490">
        <v>1</v>
      </c>
      <c r="AS404" s="490">
        <v>1.1200000000000001</v>
      </c>
      <c r="AT404" s="491">
        <v>1.2</v>
      </c>
      <c r="AU404" s="490">
        <v>1.26</v>
      </c>
      <c r="AV404" s="490">
        <v>1.29</v>
      </c>
      <c r="AX404" s="489">
        <v>340</v>
      </c>
      <c r="AY404" s="490">
        <v>1</v>
      </c>
      <c r="AZ404" s="490">
        <v>1.1299999999999999</v>
      </c>
      <c r="BA404" s="491">
        <v>1.24</v>
      </c>
      <c r="BB404" s="490">
        <v>1.31</v>
      </c>
      <c r="BC404" s="490">
        <v>1.35</v>
      </c>
      <c r="BE404" s="489">
        <v>340</v>
      </c>
      <c r="BF404" s="490">
        <v>1</v>
      </c>
      <c r="BG404" s="490">
        <v>1.1299999999999999</v>
      </c>
      <c r="BH404" s="491">
        <v>1.23</v>
      </c>
      <c r="BI404" s="490">
        <v>1.3</v>
      </c>
      <c r="BJ404" s="490">
        <v>1.34</v>
      </c>
      <c r="BL404" s="489">
        <v>340</v>
      </c>
      <c r="BM404" s="490">
        <v>1</v>
      </c>
      <c r="BN404" s="490">
        <v>1.1000000000000001</v>
      </c>
      <c r="BO404" s="491">
        <v>1.17</v>
      </c>
      <c r="BP404" s="490">
        <v>1.21</v>
      </c>
      <c r="BQ404" s="490">
        <v>1.21</v>
      </c>
      <c r="BS404" s="489">
        <v>340</v>
      </c>
      <c r="BT404" s="490">
        <v>1</v>
      </c>
      <c r="BU404" s="490">
        <v>1.06</v>
      </c>
      <c r="BV404" s="491">
        <v>1.08</v>
      </c>
      <c r="BW404" s="490">
        <v>1.08</v>
      </c>
      <c r="BX404" s="490">
        <v>1.06</v>
      </c>
      <c r="BZ404" s="489">
        <v>340</v>
      </c>
      <c r="CA404" s="490">
        <v>1</v>
      </c>
      <c r="CB404" s="490">
        <v>1.01</v>
      </c>
      <c r="CC404" s="491">
        <v>1</v>
      </c>
      <c r="CD404" s="490">
        <v>0.97</v>
      </c>
      <c r="CE404" s="490">
        <v>0.91</v>
      </c>
      <c r="CG404" s="489">
        <v>340</v>
      </c>
      <c r="CH404" s="490">
        <v>1</v>
      </c>
      <c r="CI404" s="490">
        <v>0.98</v>
      </c>
      <c r="CJ404" s="491">
        <v>0.95</v>
      </c>
      <c r="CK404" s="490">
        <v>0.89</v>
      </c>
      <c r="CL404" s="490">
        <v>0.81</v>
      </c>
      <c r="CN404" s="489">
        <v>340</v>
      </c>
      <c r="CO404" s="490">
        <v>1</v>
      </c>
      <c r="CP404" s="490">
        <v>0.97</v>
      </c>
      <c r="CQ404" s="491">
        <v>0.91</v>
      </c>
      <c r="CR404" s="490">
        <v>0.84</v>
      </c>
      <c r="CS404" s="490">
        <v>0.75</v>
      </c>
    </row>
    <row r="405" spans="3:98" ht="15.75" thickBot="1" x14ac:dyDescent="0.3">
      <c r="C405" s="489">
        <v>80</v>
      </c>
      <c r="D405" s="490">
        <v>0.95</v>
      </c>
      <c r="E405" s="490">
        <v>0.96</v>
      </c>
      <c r="F405" s="491">
        <v>0.95</v>
      </c>
      <c r="G405" s="490">
        <v>0.92</v>
      </c>
      <c r="H405" s="490">
        <v>0.88</v>
      </c>
      <c r="I405" s="490">
        <v>0.82</v>
      </c>
      <c r="J405" s="490">
        <v>0.76</v>
      </c>
      <c r="K405" s="490">
        <v>0.69</v>
      </c>
      <c r="L405" s="490">
        <v>0.62</v>
      </c>
      <c r="M405" s="490">
        <v>0.54</v>
      </c>
      <c r="O405" s="489">
        <v>350</v>
      </c>
      <c r="P405" s="490">
        <v>1</v>
      </c>
      <c r="Q405" s="490">
        <v>0.97</v>
      </c>
      <c r="R405" s="491">
        <v>0.93</v>
      </c>
      <c r="S405" s="490">
        <v>0.86</v>
      </c>
      <c r="T405" s="490">
        <v>0.77</v>
      </c>
      <c r="V405" s="489">
        <v>350</v>
      </c>
      <c r="W405" s="490">
        <v>1</v>
      </c>
      <c r="X405" s="490">
        <v>1</v>
      </c>
      <c r="Y405" s="491">
        <v>0.97</v>
      </c>
      <c r="Z405" s="490">
        <v>0.92</v>
      </c>
      <c r="AA405" s="490">
        <v>0.86</v>
      </c>
      <c r="AC405" s="489">
        <v>350</v>
      </c>
      <c r="AD405" s="490">
        <v>1</v>
      </c>
      <c r="AE405" s="490">
        <v>1.04</v>
      </c>
      <c r="AF405" s="491">
        <v>1.05</v>
      </c>
      <c r="AG405" s="490">
        <v>1.03</v>
      </c>
      <c r="AH405" s="490">
        <v>1</v>
      </c>
      <c r="AJ405" s="489">
        <v>350</v>
      </c>
      <c r="AK405" s="490">
        <v>1</v>
      </c>
      <c r="AL405" s="490">
        <v>1.08</v>
      </c>
      <c r="AM405" s="491">
        <v>1.1299999999999999</v>
      </c>
      <c r="AN405" s="490">
        <v>1.1499999999999999</v>
      </c>
      <c r="AO405" s="490">
        <v>1.1499999999999999</v>
      </c>
      <c r="AQ405" s="489">
        <v>350</v>
      </c>
      <c r="AR405" s="490">
        <v>1</v>
      </c>
      <c r="AS405" s="490">
        <v>1.1200000000000001</v>
      </c>
      <c r="AT405" s="491">
        <v>1.21</v>
      </c>
      <c r="AU405" s="490">
        <v>1.28</v>
      </c>
      <c r="AV405" s="490">
        <v>1.31</v>
      </c>
      <c r="AX405" s="489">
        <v>350</v>
      </c>
      <c r="AY405" s="490">
        <v>1</v>
      </c>
      <c r="AZ405" s="490">
        <v>1.1399999999999999</v>
      </c>
      <c r="BA405" s="491">
        <v>1.25</v>
      </c>
      <c r="BB405" s="490">
        <v>1.33</v>
      </c>
      <c r="BC405" s="490">
        <v>1.38</v>
      </c>
      <c r="BE405" s="489">
        <v>350</v>
      </c>
      <c r="BF405" s="490">
        <v>1</v>
      </c>
      <c r="BG405" s="490">
        <v>1.1299999999999999</v>
      </c>
      <c r="BH405" s="491">
        <v>1.24</v>
      </c>
      <c r="BI405" s="490">
        <v>1.31</v>
      </c>
      <c r="BJ405" s="490">
        <v>1.35</v>
      </c>
      <c r="BL405" s="489">
        <v>350</v>
      </c>
      <c r="BM405" s="490">
        <v>1</v>
      </c>
      <c r="BN405" s="490">
        <v>1.1000000000000001</v>
      </c>
      <c r="BO405" s="491">
        <v>1.17</v>
      </c>
      <c r="BP405" s="490">
        <v>1.22</v>
      </c>
      <c r="BQ405" s="490">
        <v>1.23</v>
      </c>
      <c r="BS405" s="489">
        <v>350</v>
      </c>
      <c r="BT405" s="490">
        <v>1</v>
      </c>
      <c r="BU405" s="490">
        <v>1.06</v>
      </c>
      <c r="BV405" s="491">
        <v>1.0900000000000001</v>
      </c>
      <c r="BW405" s="490">
        <v>1.0900000000000001</v>
      </c>
      <c r="BX405" s="490">
        <v>1.06</v>
      </c>
      <c r="BZ405" s="489">
        <v>350</v>
      </c>
      <c r="CA405" s="490">
        <v>1</v>
      </c>
      <c r="CB405" s="490">
        <v>1.01</v>
      </c>
      <c r="CC405" s="491">
        <v>1</v>
      </c>
      <c r="CD405" s="490">
        <v>0.96</v>
      </c>
      <c r="CE405" s="490">
        <v>0.9</v>
      </c>
      <c r="CG405" s="489">
        <v>350</v>
      </c>
      <c r="CH405" s="490">
        <v>1</v>
      </c>
      <c r="CI405" s="490">
        <v>0.98</v>
      </c>
      <c r="CJ405" s="491">
        <v>0.94</v>
      </c>
      <c r="CK405" s="490">
        <v>0.88</v>
      </c>
      <c r="CL405" s="490">
        <v>0.8</v>
      </c>
      <c r="CN405" s="489">
        <v>350</v>
      </c>
      <c r="CO405" s="490">
        <v>1</v>
      </c>
      <c r="CP405" s="490">
        <v>0.96</v>
      </c>
      <c r="CQ405" s="491">
        <v>0.91</v>
      </c>
      <c r="CR405" s="490">
        <v>0.83</v>
      </c>
      <c r="CS405" s="490">
        <v>0.74</v>
      </c>
    </row>
    <row r="406" spans="3:98" ht="15.75" thickBot="1" x14ac:dyDescent="0.3">
      <c r="C406" s="489">
        <v>90</v>
      </c>
      <c r="D406" s="490">
        <v>0.95</v>
      </c>
      <c r="E406" s="490">
        <v>0.95</v>
      </c>
      <c r="F406" s="491">
        <v>0.94</v>
      </c>
      <c r="G406" s="490">
        <v>0.9</v>
      </c>
      <c r="H406" s="490">
        <v>0.85</v>
      </c>
      <c r="I406" s="490">
        <v>0.8</v>
      </c>
      <c r="J406" s="490">
        <v>0.74</v>
      </c>
      <c r="K406" s="490">
        <v>0.67</v>
      </c>
      <c r="L406" s="490">
        <v>0.6</v>
      </c>
      <c r="M406" s="490">
        <v>0.53</v>
      </c>
      <c r="O406" s="489">
        <v>0</v>
      </c>
      <c r="P406" s="490">
        <v>1</v>
      </c>
      <c r="Q406" s="490">
        <v>0.97</v>
      </c>
      <c r="R406" s="491">
        <v>0.93</v>
      </c>
      <c r="S406" s="490">
        <v>0.86</v>
      </c>
      <c r="T406" s="490">
        <v>0.77</v>
      </c>
      <c r="V406" s="489">
        <v>0</v>
      </c>
      <c r="W406" s="490">
        <v>1</v>
      </c>
      <c r="X406" s="490">
        <v>1</v>
      </c>
      <c r="Y406" s="491">
        <v>0.98</v>
      </c>
      <c r="Z406" s="490">
        <v>0.93</v>
      </c>
      <c r="AA406" s="490">
        <v>0.86</v>
      </c>
      <c r="AC406" s="489">
        <v>0</v>
      </c>
      <c r="AD406" s="490">
        <v>1</v>
      </c>
      <c r="AE406" s="490">
        <v>1.04</v>
      </c>
      <c r="AF406" s="491">
        <v>1.05</v>
      </c>
      <c r="AG406" s="490">
        <v>1.03</v>
      </c>
      <c r="AH406" s="490">
        <v>1</v>
      </c>
      <c r="AJ406" s="489">
        <v>0</v>
      </c>
      <c r="AK406" s="490">
        <v>1</v>
      </c>
      <c r="AL406" s="490">
        <v>1.08</v>
      </c>
      <c r="AM406" s="491">
        <v>1.1299999999999999</v>
      </c>
      <c r="AN406" s="490">
        <v>1.1599999999999999</v>
      </c>
      <c r="AO406" s="490">
        <v>1.1499999999999999</v>
      </c>
      <c r="AQ406" s="489">
        <v>0</v>
      </c>
      <c r="AR406" s="490">
        <v>1</v>
      </c>
      <c r="AS406" s="490">
        <v>1.1200000000000001</v>
      </c>
      <c r="AT406" s="491">
        <v>1.22</v>
      </c>
      <c r="AU406" s="490">
        <v>1.28</v>
      </c>
      <c r="AV406" s="490">
        <v>1.31</v>
      </c>
      <c r="AX406" s="489">
        <v>0</v>
      </c>
      <c r="AY406" s="490">
        <v>1</v>
      </c>
      <c r="AZ406" s="490">
        <v>1.1399999999999999</v>
      </c>
      <c r="BA406" s="491">
        <v>1.25</v>
      </c>
      <c r="BB406" s="490">
        <v>1.33</v>
      </c>
      <c r="BC406" s="490">
        <v>1.38</v>
      </c>
      <c r="BE406" s="489">
        <v>0</v>
      </c>
      <c r="BF406" s="490">
        <v>1</v>
      </c>
      <c r="BG406" s="490">
        <v>1.1299999999999999</v>
      </c>
      <c r="BH406" s="491">
        <v>1.24</v>
      </c>
      <c r="BI406" s="490">
        <v>1.32</v>
      </c>
      <c r="BJ406" s="490">
        <v>1.37</v>
      </c>
      <c r="BL406" s="489">
        <v>0</v>
      </c>
      <c r="BM406" s="490">
        <v>1</v>
      </c>
      <c r="BN406" s="490">
        <v>1.1000000000000001</v>
      </c>
      <c r="BO406" s="491">
        <v>1.18</v>
      </c>
      <c r="BP406" s="490">
        <v>1.22</v>
      </c>
      <c r="BQ406" s="490">
        <v>1.23</v>
      </c>
      <c r="BS406" s="489">
        <v>0</v>
      </c>
      <c r="BT406" s="490">
        <v>1</v>
      </c>
      <c r="BU406" s="490">
        <v>1.06</v>
      </c>
      <c r="BV406" s="491">
        <v>1.0900000000000001</v>
      </c>
      <c r="BW406" s="490">
        <v>1.0900000000000001</v>
      </c>
      <c r="BX406" s="490">
        <v>1.06</v>
      </c>
      <c r="BZ406" s="489">
        <v>0</v>
      </c>
      <c r="CA406" s="490">
        <v>1</v>
      </c>
      <c r="CB406" s="490">
        <v>1.01</v>
      </c>
      <c r="CC406" s="491">
        <v>1</v>
      </c>
      <c r="CD406" s="490">
        <v>0.96</v>
      </c>
      <c r="CE406" s="490">
        <v>0.9</v>
      </c>
      <c r="CG406" s="489">
        <v>0</v>
      </c>
      <c r="CH406" s="490">
        <v>1</v>
      </c>
      <c r="CI406" s="490">
        <v>0.98</v>
      </c>
      <c r="CJ406" s="491">
        <v>0.94</v>
      </c>
      <c r="CK406" s="490">
        <v>0.88</v>
      </c>
      <c r="CL406" s="490">
        <v>0.79</v>
      </c>
      <c r="CN406" s="489">
        <v>0</v>
      </c>
      <c r="CO406" s="490">
        <v>1</v>
      </c>
      <c r="CP406" s="490">
        <v>0.96</v>
      </c>
      <c r="CQ406" s="491">
        <v>0.91</v>
      </c>
      <c r="CR406" s="490">
        <v>0.83</v>
      </c>
      <c r="CS406" s="490">
        <v>0.74</v>
      </c>
    </row>
    <row r="407" spans="3:98" ht="15.75" thickBot="1" x14ac:dyDescent="0.3">
      <c r="C407" s="489">
        <v>100</v>
      </c>
      <c r="D407" s="490">
        <v>0.95</v>
      </c>
      <c r="E407" s="490">
        <v>0.95</v>
      </c>
      <c r="F407" s="491">
        <v>0.92</v>
      </c>
      <c r="G407" s="490">
        <v>0.89</v>
      </c>
      <c r="H407" s="490">
        <v>0.83</v>
      </c>
      <c r="I407" s="490">
        <v>0.78</v>
      </c>
      <c r="J407" s="490">
        <v>0.71</v>
      </c>
      <c r="K407" s="490">
        <v>0.64</v>
      </c>
      <c r="L407" s="490">
        <v>0.57999999999999996</v>
      </c>
      <c r="M407" s="490">
        <v>0.51</v>
      </c>
      <c r="O407" s="489">
        <v>10</v>
      </c>
      <c r="P407" s="490">
        <v>1</v>
      </c>
      <c r="Q407" s="490">
        <v>0.98</v>
      </c>
      <c r="R407" s="491">
        <v>0.93</v>
      </c>
      <c r="S407" s="490">
        <v>0.87</v>
      </c>
      <c r="T407" s="490">
        <v>0.78</v>
      </c>
      <c r="V407" s="489">
        <v>10</v>
      </c>
      <c r="W407" s="490">
        <v>1</v>
      </c>
      <c r="X407" s="490">
        <v>1</v>
      </c>
      <c r="Y407" s="491">
        <v>0.98</v>
      </c>
      <c r="Z407" s="490">
        <v>0.93</v>
      </c>
      <c r="AA407" s="490">
        <v>0.87</v>
      </c>
      <c r="AC407" s="489">
        <v>10</v>
      </c>
      <c r="AD407" s="490">
        <v>1</v>
      </c>
      <c r="AE407" s="490">
        <v>1.04</v>
      </c>
      <c r="AF407" s="491">
        <v>1.05</v>
      </c>
      <c r="AG407" s="490">
        <v>1.03</v>
      </c>
      <c r="AH407" s="490">
        <v>1</v>
      </c>
      <c r="AJ407" s="489">
        <v>10</v>
      </c>
      <c r="AK407" s="490">
        <v>1</v>
      </c>
      <c r="AL407" s="490">
        <v>1.08</v>
      </c>
      <c r="AM407" s="491">
        <v>1.1299999999999999</v>
      </c>
      <c r="AN407" s="490">
        <v>1.1499999999999999</v>
      </c>
      <c r="AO407" s="490">
        <v>1.1499999999999999</v>
      </c>
      <c r="AQ407" s="489">
        <v>10</v>
      </c>
      <c r="AR407" s="490">
        <v>1</v>
      </c>
      <c r="AS407" s="490">
        <v>1.1200000000000001</v>
      </c>
      <c r="AT407" s="491">
        <v>1.21</v>
      </c>
      <c r="AU407" s="490">
        <v>1.28</v>
      </c>
      <c r="AV407" s="490">
        <v>1.31</v>
      </c>
      <c r="AX407" s="489">
        <v>10</v>
      </c>
      <c r="AY407" s="490">
        <v>1</v>
      </c>
      <c r="AZ407" s="490">
        <v>1.1399999999999999</v>
      </c>
      <c r="BA407" s="491">
        <v>1.25</v>
      </c>
      <c r="BB407" s="490">
        <v>1.33</v>
      </c>
      <c r="BC407" s="490">
        <v>1.38</v>
      </c>
      <c r="BE407" s="489">
        <v>10</v>
      </c>
      <c r="BF407" s="490">
        <v>1</v>
      </c>
      <c r="BG407" s="490">
        <v>1.1299999999999999</v>
      </c>
      <c r="BH407" s="491">
        <v>1.24</v>
      </c>
      <c r="BI407" s="490">
        <v>1.31</v>
      </c>
      <c r="BJ407" s="490">
        <v>1.35</v>
      </c>
      <c r="BL407" s="489">
        <v>10</v>
      </c>
      <c r="BM407" s="490">
        <v>1</v>
      </c>
      <c r="BN407" s="490">
        <v>1.1000000000000001</v>
      </c>
      <c r="BO407" s="491">
        <v>1.17</v>
      </c>
      <c r="BP407" s="490">
        <v>1.22</v>
      </c>
      <c r="BQ407" s="490">
        <v>1.23</v>
      </c>
      <c r="BS407" s="489">
        <v>10</v>
      </c>
      <c r="BT407" s="490">
        <v>1</v>
      </c>
      <c r="BU407" s="490">
        <v>1.06</v>
      </c>
      <c r="BV407" s="491">
        <v>1.0900000000000001</v>
      </c>
      <c r="BW407" s="490">
        <v>1.0900000000000001</v>
      </c>
      <c r="BX407" s="490">
        <v>1.06</v>
      </c>
      <c r="BZ407" s="489">
        <v>10</v>
      </c>
      <c r="CA407" s="490">
        <v>1</v>
      </c>
      <c r="CB407" s="490">
        <v>1.01</v>
      </c>
      <c r="CC407" s="491">
        <v>1</v>
      </c>
      <c r="CD407" s="490">
        <v>0.96</v>
      </c>
      <c r="CE407" s="490">
        <v>0.9</v>
      </c>
      <c r="CG407" s="489">
        <v>10</v>
      </c>
      <c r="CH407" s="490">
        <v>1</v>
      </c>
      <c r="CI407" s="490">
        <v>0.98</v>
      </c>
      <c r="CJ407" s="491">
        <v>0.94</v>
      </c>
      <c r="CK407" s="490">
        <v>0.88</v>
      </c>
      <c r="CL407" s="490">
        <v>0.79</v>
      </c>
      <c r="CN407" s="489">
        <v>10</v>
      </c>
      <c r="CO407" s="490">
        <v>1</v>
      </c>
      <c r="CP407" s="490">
        <v>0.96</v>
      </c>
      <c r="CQ407" s="491">
        <v>0.91</v>
      </c>
      <c r="CR407" s="490">
        <v>0.83</v>
      </c>
      <c r="CS407" s="490">
        <v>0.74</v>
      </c>
    </row>
    <row r="408" spans="3:98" ht="15.75" thickBot="1" x14ac:dyDescent="0.3">
      <c r="C408" s="489">
        <v>110</v>
      </c>
      <c r="D408" s="490">
        <v>0.95</v>
      </c>
      <c r="E408" s="490">
        <v>0.94</v>
      </c>
      <c r="F408" s="491">
        <v>0.91</v>
      </c>
      <c r="G408" s="490">
        <v>0.87</v>
      </c>
      <c r="H408" s="490">
        <v>0.81</v>
      </c>
      <c r="I408" s="490">
        <v>0.75</v>
      </c>
      <c r="J408" s="490">
        <v>0.68</v>
      </c>
      <c r="K408" s="490">
        <v>0.61</v>
      </c>
      <c r="L408" s="490">
        <v>0.54</v>
      </c>
      <c r="M408" s="490">
        <v>0.48</v>
      </c>
      <c r="O408" s="489">
        <v>20</v>
      </c>
      <c r="P408" s="490">
        <v>1</v>
      </c>
      <c r="Q408" s="490">
        <v>0.98</v>
      </c>
      <c r="R408" s="491">
        <v>0.93</v>
      </c>
      <c r="S408" s="490">
        <v>0.87</v>
      </c>
      <c r="T408" s="490">
        <v>0.79</v>
      </c>
      <c r="V408" s="489">
        <v>20</v>
      </c>
      <c r="W408" s="490">
        <v>1</v>
      </c>
      <c r="X408" s="490">
        <v>1</v>
      </c>
      <c r="Y408" s="491">
        <v>0.98</v>
      </c>
      <c r="Z408" s="490">
        <v>0.94</v>
      </c>
      <c r="AA408" s="490">
        <v>0.88</v>
      </c>
      <c r="AC408" s="489">
        <v>20</v>
      </c>
      <c r="AD408" s="490">
        <v>1</v>
      </c>
      <c r="AE408" s="490">
        <v>1.03</v>
      </c>
      <c r="AF408" s="491">
        <v>1.04</v>
      </c>
      <c r="AG408" s="490">
        <v>1.03</v>
      </c>
      <c r="AH408" s="490">
        <v>1</v>
      </c>
      <c r="AJ408" s="489">
        <v>20</v>
      </c>
      <c r="AK408" s="490">
        <v>1</v>
      </c>
      <c r="AL408" s="490">
        <v>1.08</v>
      </c>
      <c r="AM408" s="491">
        <v>1.1200000000000001</v>
      </c>
      <c r="AN408" s="490">
        <v>1.1399999999999999</v>
      </c>
      <c r="AO408" s="490">
        <v>1.1299999999999999</v>
      </c>
      <c r="AQ408" s="489">
        <v>20</v>
      </c>
      <c r="AR408" s="490">
        <v>1</v>
      </c>
      <c r="AS408" s="490">
        <v>1.1200000000000001</v>
      </c>
      <c r="AT408" s="491">
        <v>1.2</v>
      </c>
      <c r="AU408" s="490">
        <v>1.26</v>
      </c>
      <c r="AV408" s="490">
        <v>1.29</v>
      </c>
      <c r="AX408" s="489">
        <v>20</v>
      </c>
      <c r="AY408" s="490">
        <v>1</v>
      </c>
      <c r="AZ408" s="490">
        <v>1.1299999999999999</v>
      </c>
      <c r="BA408" s="491">
        <v>1.24</v>
      </c>
      <c r="BB408" s="490">
        <v>1.31</v>
      </c>
      <c r="BC408" s="490">
        <v>1.35</v>
      </c>
      <c r="BE408" s="489">
        <v>20</v>
      </c>
      <c r="BF408" s="490">
        <v>1</v>
      </c>
      <c r="BG408" s="490">
        <v>1.1299999999999999</v>
      </c>
      <c r="BH408" s="491">
        <v>1.23</v>
      </c>
      <c r="BI408" s="490">
        <v>1.3</v>
      </c>
      <c r="BJ408" s="490">
        <v>1.33</v>
      </c>
      <c r="BL408" s="489">
        <v>20</v>
      </c>
      <c r="BM408" s="490">
        <v>1</v>
      </c>
      <c r="BN408" s="490">
        <v>1.1000000000000001</v>
      </c>
      <c r="BO408" s="491">
        <v>1.1599999999999999</v>
      </c>
      <c r="BP408" s="490">
        <v>1.2</v>
      </c>
      <c r="BQ408" s="490">
        <v>1.21</v>
      </c>
      <c r="BS408" s="489">
        <v>20</v>
      </c>
      <c r="BT408" s="490">
        <v>1</v>
      </c>
      <c r="BU408" s="490">
        <v>1.05</v>
      </c>
      <c r="BV408" s="491">
        <v>1.08</v>
      </c>
      <c r="BW408" s="490">
        <v>1.08</v>
      </c>
      <c r="BX408" s="490">
        <v>1.05</v>
      </c>
      <c r="BZ408" s="489">
        <v>20</v>
      </c>
      <c r="CA408" s="490">
        <v>1</v>
      </c>
      <c r="CB408" s="490">
        <v>1.01</v>
      </c>
      <c r="CC408" s="491">
        <v>1</v>
      </c>
      <c r="CD408" s="490">
        <v>0.96</v>
      </c>
      <c r="CE408" s="490">
        <v>0.9</v>
      </c>
      <c r="CG408" s="489">
        <v>20</v>
      </c>
      <c r="CH408" s="490">
        <v>1</v>
      </c>
      <c r="CI408" s="490">
        <v>0.98</v>
      </c>
      <c r="CJ408" s="491">
        <v>0.94</v>
      </c>
      <c r="CK408" s="490">
        <v>0.88</v>
      </c>
      <c r="CL408" s="490">
        <v>0.8</v>
      </c>
      <c r="CN408" s="489">
        <v>20</v>
      </c>
      <c r="CO408" s="490">
        <v>1</v>
      </c>
      <c r="CP408" s="490">
        <v>0.97</v>
      </c>
      <c r="CQ408" s="491">
        <v>0.91</v>
      </c>
      <c r="CR408" s="490">
        <v>0.84</v>
      </c>
      <c r="CS408" s="490">
        <v>0.76</v>
      </c>
    </row>
    <row r="409" spans="3:98" ht="15.75" thickBot="1" x14ac:dyDescent="0.3">
      <c r="C409" s="489">
        <v>120</v>
      </c>
      <c r="D409" s="490">
        <v>0.95</v>
      </c>
      <c r="E409" s="490">
        <v>0.94</v>
      </c>
      <c r="F409" s="491">
        <v>0.9</v>
      </c>
      <c r="G409" s="490">
        <v>0.85</v>
      </c>
      <c r="H409" s="490">
        <v>0.79</v>
      </c>
      <c r="I409" s="490">
        <v>0.72</v>
      </c>
      <c r="J409" s="490">
        <v>0.65</v>
      </c>
      <c r="K409" s="490">
        <v>0.57999999999999996</v>
      </c>
      <c r="L409" s="490">
        <v>0.51</v>
      </c>
      <c r="M409" s="490">
        <v>0.45</v>
      </c>
      <c r="O409" s="489">
        <v>30</v>
      </c>
      <c r="P409" s="490">
        <v>1</v>
      </c>
      <c r="Q409" s="490">
        <v>0.98</v>
      </c>
      <c r="R409" s="491">
        <v>0.94</v>
      </c>
      <c r="S409" s="490">
        <v>0.88</v>
      </c>
      <c r="T409" s="490">
        <v>0.81</v>
      </c>
      <c r="V409" s="489">
        <v>30</v>
      </c>
      <c r="W409" s="490">
        <v>1</v>
      </c>
      <c r="X409" s="490">
        <v>1</v>
      </c>
      <c r="Y409" s="491">
        <v>0.98</v>
      </c>
      <c r="Z409" s="490">
        <v>0.94</v>
      </c>
      <c r="AA409" s="490">
        <v>0.89</v>
      </c>
      <c r="AC409" s="489">
        <v>30</v>
      </c>
      <c r="AD409" s="490">
        <v>1</v>
      </c>
      <c r="AE409" s="490">
        <v>1.03</v>
      </c>
      <c r="AF409" s="491">
        <v>1.04</v>
      </c>
      <c r="AG409" s="490">
        <v>1.03</v>
      </c>
      <c r="AH409" s="490">
        <v>0.99</v>
      </c>
      <c r="AJ409" s="489">
        <v>30</v>
      </c>
      <c r="AK409" s="490">
        <v>1</v>
      </c>
      <c r="AL409" s="490">
        <v>1.06</v>
      </c>
      <c r="AM409" s="491">
        <v>1.1100000000000001</v>
      </c>
      <c r="AN409" s="490">
        <v>1.1200000000000001</v>
      </c>
      <c r="AO409" s="490">
        <v>1.1100000000000001</v>
      </c>
      <c r="AQ409" s="489">
        <v>30</v>
      </c>
      <c r="AR409" s="490">
        <v>1</v>
      </c>
      <c r="AS409" s="490">
        <v>1.1100000000000001</v>
      </c>
      <c r="AT409" s="491">
        <v>1.19</v>
      </c>
      <c r="AU409" s="490">
        <v>1.24</v>
      </c>
      <c r="AV409" s="490">
        <v>1.25</v>
      </c>
      <c r="AX409" s="489">
        <v>30</v>
      </c>
      <c r="AY409" s="490">
        <v>1</v>
      </c>
      <c r="AZ409" s="490">
        <v>1.1200000000000001</v>
      </c>
      <c r="BA409" s="491">
        <v>1.21</v>
      </c>
      <c r="BB409" s="490">
        <v>1.28</v>
      </c>
      <c r="BC409" s="490">
        <v>1.31</v>
      </c>
      <c r="BE409" s="489">
        <v>30</v>
      </c>
      <c r="BF409" s="490">
        <v>1</v>
      </c>
      <c r="BG409" s="490">
        <v>1.1200000000000001</v>
      </c>
      <c r="BH409" s="491">
        <v>1.21</v>
      </c>
      <c r="BI409" s="490">
        <v>1.27</v>
      </c>
      <c r="BJ409" s="490">
        <v>1.3</v>
      </c>
      <c r="BL409" s="489">
        <v>30</v>
      </c>
      <c r="BM409" s="490">
        <v>1</v>
      </c>
      <c r="BN409" s="490">
        <v>1.0900000000000001</v>
      </c>
      <c r="BO409" s="491">
        <v>1.1499999999999999</v>
      </c>
      <c r="BP409" s="490">
        <v>1.18</v>
      </c>
      <c r="BQ409" s="490">
        <v>1.19</v>
      </c>
      <c r="BS409" s="489">
        <v>30</v>
      </c>
      <c r="BT409" s="490">
        <v>1</v>
      </c>
      <c r="BU409" s="490">
        <v>1.05</v>
      </c>
      <c r="BV409" s="491">
        <v>1.07</v>
      </c>
      <c r="BW409" s="490">
        <v>1.07</v>
      </c>
      <c r="BX409" s="490">
        <v>1.04</v>
      </c>
      <c r="BZ409" s="489">
        <v>30</v>
      </c>
      <c r="CA409" s="490">
        <v>1</v>
      </c>
      <c r="CB409" s="490">
        <v>1.01</v>
      </c>
      <c r="CC409" s="491">
        <v>0.99</v>
      </c>
      <c r="CD409" s="490">
        <v>0.96</v>
      </c>
      <c r="CE409" s="490">
        <v>0.9</v>
      </c>
      <c r="CG409" s="489">
        <v>30</v>
      </c>
      <c r="CH409" s="490">
        <v>1</v>
      </c>
      <c r="CI409" s="490">
        <v>0.98</v>
      </c>
      <c r="CJ409" s="491">
        <v>0.95</v>
      </c>
      <c r="CK409" s="490">
        <v>0.89</v>
      </c>
      <c r="CL409" s="490">
        <v>0.82</v>
      </c>
      <c r="CN409" s="489">
        <v>30</v>
      </c>
      <c r="CO409" s="490">
        <v>1</v>
      </c>
      <c r="CP409" s="490">
        <v>0.97</v>
      </c>
      <c r="CQ409" s="491">
        <v>0.92</v>
      </c>
      <c r="CR409" s="490">
        <v>0.85</v>
      </c>
      <c r="CS409" s="490">
        <v>0.78</v>
      </c>
    </row>
    <row r="410" spans="3:98" ht="15.75" thickBot="1" x14ac:dyDescent="0.3">
      <c r="C410" s="489">
        <v>130</v>
      </c>
      <c r="D410" s="490">
        <v>0.95</v>
      </c>
      <c r="E410" s="490">
        <v>0.93</v>
      </c>
      <c r="F410" s="491">
        <v>0.89</v>
      </c>
      <c r="G410" s="490">
        <v>0.83</v>
      </c>
      <c r="H410" s="490">
        <v>0.76</v>
      </c>
      <c r="I410" s="490">
        <v>0.69</v>
      </c>
      <c r="J410" s="490">
        <v>0.62</v>
      </c>
      <c r="K410" s="490">
        <v>0.54</v>
      </c>
      <c r="L410" s="490">
        <v>0.48</v>
      </c>
      <c r="M410" s="490">
        <v>0.41</v>
      </c>
      <c r="O410" s="489">
        <v>40</v>
      </c>
      <c r="P410" s="490">
        <v>1</v>
      </c>
      <c r="Q410" s="490">
        <v>0.99</v>
      </c>
      <c r="R410" s="491">
        <v>0.95</v>
      </c>
      <c r="S410" s="490">
        <v>0.9</v>
      </c>
      <c r="T410" s="490">
        <v>0.83</v>
      </c>
      <c r="V410" s="489">
        <v>40</v>
      </c>
      <c r="W410" s="490">
        <v>1</v>
      </c>
      <c r="X410" s="490">
        <v>1</v>
      </c>
      <c r="Y410" s="491">
        <v>0.99</v>
      </c>
      <c r="Z410" s="490">
        <v>0.95</v>
      </c>
      <c r="AA410" s="490">
        <v>0.9</v>
      </c>
      <c r="AC410" s="489">
        <v>40</v>
      </c>
      <c r="AD410" s="490">
        <v>1</v>
      </c>
      <c r="AE410" s="490">
        <v>1.03</v>
      </c>
      <c r="AF410" s="491">
        <v>1.04</v>
      </c>
      <c r="AG410" s="490">
        <v>1.02</v>
      </c>
      <c r="AH410" s="490">
        <v>0.99</v>
      </c>
      <c r="AJ410" s="489">
        <v>40</v>
      </c>
      <c r="AK410" s="490">
        <v>1</v>
      </c>
      <c r="AL410" s="490">
        <v>1.06</v>
      </c>
      <c r="AM410" s="491">
        <v>1.0900000000000001</v>
      </c>
      <c r="AN410" s="490">
        <v>1.1000000000000001</v>
      </c>
      <c r="AO410" s="490">
        <v>1.0900000000000001</v>
      </c>
      <c r="AQ410" s="489">
        <v>40</v>
      </c>
      <c r="AR410" s="490">
        <v>1</v>
      </c>
      <c r="AS410" s="490">
        <v>1.1000000000000001</v>
      </c>
      <c r="AT410" s="491">
        <v>1.1599999999999999</v>
      </c>
      <c r="AU410" s="490">
        <v>1.2</v>
      </c>
      <c r="AV410" s="490">
        <v>1.21</v>
      </c>
      <c r="AX410" s="489">
        <v>40</v>
      </c>
      <c r="AY410" s="490">
        <v>1</v>
      </c>
      <c r="AZ410" s="490">
        <v>1.1100000000000001</v>
      </c>
      <c r="BA410" s="491">
        <v>1.19</v>
      </c>
      <c r="BB410" s="490">
        <v>1.24</v>
      </c>
      <c r="BC410" s="490">
        <v>1.26</v>
      </c>
      <c r="BE410" s="489">
        <v>40</v>
      </c>
      <c r="BF410" s="490">
        <v>1</v>
      </c>
      <c r="BG410" s="490">
        <v>1.1000000000000001</v>
      </c>
      <c r="BH410" s="491">
        <v>1.18</v>
      </c>
      <c r="BI410" s="490">
        <v>1.23</v>
      </c>
      <c r="BJ410" s="490">
        <v>1.24</v>
      </c>
      <c r="BL410" s="489">
        <v>40</v>
      </c>
      <c r="BM410" s="490">
        <v>1</v>
      </c>
      <c r="BN410" s="490">
        <v>1.08</v>
      </c>
      <c r="BO410" s="491">
        <v>1.1299999999999999</v>
      </c>
      <c r="BP410" s="490">
        <v>1.1599999999999999</v>
      </c>
      <c r="BQ410" s="490">
        <v>1.1499999999999999</v>
      </c>
      <c r="BS410" s="489">
        <v>40</v>
      </c>
      <c r="BT410" s="490">
        <v>1</v>
      </c>
      <c r="BU410" s="490">
        <v>1.04</v>
      </c>
      <c r="BV410" s="491">
        <v>1.06</v>
      </c>
      <c r="BW410" s="490">
        <v>1.05</v>
      </c>
      <c r="BX410" s="490">
        <v>1.03</v>
      </c>
      <c r="BZ410" s="489">
        <v>40</v>
      </c>
      <c r="CA410" s="490">
        <v>1</v>
      </c>
      <c r="CB410" s="490">
        <v>1.01</v>
      </c>
      <c r="CC410" s="491">
        <v>0.99</v>
      </c>
      <c r="CD410" s="490">
        <v>0.96</v>
      </c>
      <c r="CE410" s="490">
        <v>0.9</v>
      </c>
      <c r="CG410" s="489">
        <v>40</v>
      </c>
      <c r="CH410" s="490">
        <v>1</v>
      </c>
      <c r="CI410" s="490">
        <v>0.99</v>
      </c>
      <c r="CJ410" s="491">
        <v>0.95</v>
      </c>
      <c r="CK410" s="490">
        <v>0.9</v>
      </c>
      <c r="CL410" s="490">
        <v>0.83</v>
      </c>
      <c r="CN410" s="489">
        <v>40</v>
      </c>
      <c r="CO410" s="490">
        <v>1</v>
      </c>
      <c r="CP410" s="490">
        <v>0.98</v>
      </c>
      <c r="CQ410" s="491">
        <v>0.93</v>
      </c>
      <c r="CR410" s="490">
        <v>0.87</v>
      </c>
      <c r="CS410" s="490">
        <v>0.8</v>
      </c>
    </row>
    <row r="411" spans="3:98" ht="15.75" thickBot="1" x14ac:dyDescent="0.3">
      <c r="C411" s="489">
        <v>140</v>
      </c>
      <c r="D411" s="490">
        <v>0.95</v>
      </c>
      <c r="E411" s="490">
        <v>0.93</v>
      </c>
      <c r="F411" s="491">
        <v>0.88</v>
      </c>
      <c r="G411" s="490">
        <v>0.82</v>
      </c>
      <c r="H411" s="490">
        <v>0.74</v>
      </c>
      <c r="I411" s="490">
        <v>0.66</v>
      </c>
      <c r="J411" s="490">
        <v>0.57999999999999996</v>
      </c>
      <c r="K411" s="490">
        <v>0.5</v>
      </c>
      <c r="L411" s="490">
        <v>0.44</v>
      </c>
      <c r="M411" s="490">
        <v>0.38</v>
      </c>
      <c r="O411" s="489">
        <v>50</v>
      </c>
      <c r="P411" s="490">
        <v>1</v>
      </c>
      <c r="Q411" s="490">
        <v>0.99</v>
      </c>
      <c r="R411" s="491">
        <v>0.96</v>
      </c>
      <c r="S411" s="490">
        <v>0.91</v>
      </c>
      <c r="T411" s="490">
        <v>0.86</v>
      </c>
      <c r="V411" s="489">
        <v>50</v>
      </c>
      <c r="W411" s="490">
        <v>1</v>
      </c>
      <c r="X411" s="490">
        <v>1</v>
      </c>
      <c r="Y411" s="491">
        <v>0.99</v>
      </c>
      <c r="Z411" s="490">
        <v>0.96</v>
      </c>
      <c r="AA411" s="490">
        <v>0.91</v>
      </c>
      <c r="AC411" s="489">
        <v>50</v>
      </c>
      <c r="AD411" s="490">
        <v>1</v>
      </c>
      <c r="AE411" s="490">
        <v>1.02</v>
      </c>
      <c r="AF411" s="491">
        <v>1.03</v>
      </c>
      <c r="AG411" s="490">
        <v>1.01</v>
      </c>
      <c r="AH411" s="490">
        <v>0.98</v>
      </c>
      <c r="AJ411" s="489">
        <v>50</v>
      </c>
      <c r="AK411" s="490">
        <v>1</v>
      </c>
      <c r="AL411" s="490">
        <v>1.05</v>
      </c>
      <c r="AM411" s="491">
        <v>1.08</v>
      </c>
      <c r="AN411" s="490">
        <v>1.08</v>
      </c>
      <c r="AO411" s="490">
        <v>1.06</v>
      </c>
      <c r="AQ411" s="489">
        <v>50</v>
      </c>
      <c r="AR411" s="490">
        <v>1</v>
      </c>
      <c r="AS411" s="490">
        <v>1.08</v>
      </c>
      <c r="AT411" s="491">
        <v>1.1299999999999999</v>
      </c>
      <c r="AU411" s="490">
        <v>1.1599999999999999</v>
      </c>
      <c r="AV411" s="490">
        <v>1.17</v>
      </c>
      <c r="AX411" s="489">
        <v>50</v>
      </c>
      <c r="AY411" s="490">
        <v>1</v>
      </c>
      <c r="AZ411" s="490">
        <v>1.0900000000000001</v>
      </c>
      <c r="BA411" s="491">
        <v>1.1599999999999999</v>
      </c>
      <c r="BB411" s="490">
        <v>1.19</v>
      </c>
      <c r="BC411" s="490">
        <v>1.21</v>
      </c>
      <c r="BE411" s="489">
        <v>50</v>
      </c>
      <c r="BF411" s="490">
        <v>1</v>
      </c>
      <c r="BG411" s="490">
        <v>1.0900000000000001</v>
      </c>
      <c r="BH411" s="491">
        <v>1.1499999999999999</v>
      </c>
      <c r="BI411" s="490">
        <v>1.19</v>
      </c>
      <c r="BJ411" s="490">
        <v>1.2</v>
      </c>
      <c r="BL411" s="489">
        <v>50</v>
      </c>
      <c r="BM411" s="490">
        <v>1</v>
      </c>
      <c r="BN411" s="490">
        <v>1.07</v>
      </c>
      <c r="BO411" s="491">
        <v>1.1100000000000001</v>
      </c>
      <c r="BP411" s="490">
        <v>1.1200000000000001</v>
      </c>
      <c r="BQ411" s="490">
        <v>1.1200000000000001</v>
      </c>
      <c r="BS411" s="489">
        <v>50</v>
      </c>
      <c r="BT411" s="490">
        <v>1</v>
      </c>
      <c r="BU411" s="490">
        <v>1.03</v>
      </c>
      <c r="BV411" s="491">
        <v>1.05</v>
      </c>
      <c r="BW411" s="490">
        <v>1.04</v>
      </c>
      <c r="BX411" s="490">
        <v>1.01</v>
      </c>
      <c r="BZ411" s="489">
        <v>50</v>
      </c>
      <c r="CA411" s="490">
        <v>1</v>
      </c>
      <c r="CB411" s="490">
        <v>1</v>
      </c>
      <c r="CC411" s="491">
        <v>0.99</v>
      </c>
      <c r="CD411" s="490">
        <v>0.96</v>
      </c>
      <c r="CE411" s="490">
        <v>0.9</v>
      </c>
      <c r="CG411" s="489">
        <v>50</v>
      </c>
      <c r="CH411" s="490">
        <v>1</v>
      </c>
      <c r="CI411" s="490">
        <v>0.99</v>
      </c>
      <c r="CJ411" s="491">
        <v>0.96</v>
      </c>
      <c r="CK411" s="490">
        <v>0.91</v>
      </c>
      <c r="CL411" s="490">
        <v>0.85</v>
      </c>
      <c r="CN411" s="489">
        <v>50</v>
      </c>
      <c r="CO411" s="490">
        <v>1</v>
      </c>
      <c r="CP411" s="490">
        <v>0.98</v>
      </c>
      <c r="CQ411" s="491">
        <v>0.94</v>
      </c>
      <c r="CR411" s="490">
        <v>0.89</v>
      </c>
      <c r="CS411" s="490">
        <v>0.82</v>
      </c>
    </row>
    <row r="412" spans="3:98" ht="15.75" thickBot="1" x14ac:dyDescent="0.3">
      <c r="C412" s="489">
        <v>150</v>
      </c>
      <c r="D412" s="490">
        <v>0.95</v>
      </c>
      <c r="E412" s="490">
        <v>0.92</v>
      </c>
      <c r="F412" s="491">
        <v>0.87</v>
      </c>
      <c r="G412" s="490">
        <v>0.8</v>
      </c>
      <c r="H412" s="490">
        <v>0.72</v>
      </c>
      <c r="I412" s="490">
        <v>0.63</v>
      </c>
      <c r="J412" s="490">
        <v>0.55000000000000004</v>
      </c>
      <c r="K412" s="490">
        <v>0.47</v>
      </c>
      <c r="L412" s="490">
        <v>0.4</v>
      </c>
      <c r="M412" s="490">
        <v>0.35</v>
      </c>
      <c r="O412" s="489">
        <v>60</v>
      </c>
      <c r="P412" s="490">
        <v>1</v>
      </c>
      <c r="Q412" s="490">
        <v>1</v>
      </c>
      <c r="R412" s="491">
        <v>0.97</v>
      </c>
      <c r="S412" s="490">
        <v>0.93</v>
      </c>
      <c r="T412" s="490">
        <v>0.87</v>
      </c>
      <c r="V412" s="489">
        <v>60</v>
      </c>
      <c r="W412" s="490">
        <v>1</v>
      </c>
      <c r="X412" s="490">
        <v>1</v>
      </c>
      <c r="Y412" s="491">
        <v>1</v>
      </c>
      <c r="Z412" s="490">
        <v>0.97</v>
      </c>
      <c r="AA412" s="490">
        <v>0.92</v>
      </c>
      <c r="AC412" s="489">
        <v>60</v>
      </c>
      <c r="AD412" s="490">
        <v>1</v>
      </c>
      <c r="AE412" s="490">
        <v>1.02</v>
      </c>
      <c r="AF412" s="491">
        <v>1.02</v>
      </c>
      <c r="AG412" s="490">
        <v>1</v>
      </c>
      <c r="AH412" s="490">
        <v>0.97</v>
      </c>
      <c r="AJ412" s="489">
        <v>60</v>
      </c>
      <c r="AK412" s="490">
        <v>1</v>
      </c>
      <c r="AL412" s="490">
        <v>1.04</v>
      </c>
      <c r="AM412" s="491">
        <v>1.05</v>
      </c>
      <c r="AN412" s="490">
        <v>1.05</v>
      </c>
      <c r="AO412" s="490">
        <v>1.03</v>
      </c>
      <c r="AQ412" s="489">
        <v>60</v>
      </c>
      <c r="AR412" s="490">
        <v>1</v>
      </c>
      <c r="AS412" s="490">
        <v>1.06</v>
      </c>
      <c r="AT412" s="491">
        <v>1.1000000000000001</v>
      </c>
      <c r="AU412" s="490">
        <v>1.1200000000000001</v>
      </c>
      <c r="AV412" s="490">
        <v>1.1100000000000001</v>
      </c>
      <c r="AX412" s="489">
        <v>60</v>
      </c>
      <c r="AY412" s="490">
        <v>1</v>
      </c>
      <c r="AZ412" s="490">
        <v>1.08</v>
      </c>
      <c r="BA412" s="491">
        <v>1.1200000000000001</v>
      </c>
      <c r="BB412" s="490">
        <v>1.1499999999999999</v>
      </c>
      <c r="BC412" s="490">
        <v>1.1499999999999999</v>
      </c>
      <c r="BE412" s="489">
        <v>60</v>
      </c>
      <c r="BF412" s="490">
        <v>1</v>
      </c>
      <c r="BG412" s="490">
        <v>1.07</v>
      </c>
      <c r="BH412" s="491">
        <v>1.1100000000000001</v>
      </c>
      <c r="BI412" s="490">
        <v>1.1399999999999999</v>
      </c>
      <c r="BJ412" s="490">
        <v>1.1299999999999999</v>
      </c>
      <c r="BL412" s="489">
        <v>60</v>
      </c>
      <c r="BM412" s="490">
        <v>1</v>
      </c>
      <c r="BN412" s="490">
        <v>1.05</v>
      </c>
      <c r="BO412" s="491">
        <v>1.08</v>
      </c>
      <c r="BP412" s="490">
        <v>1.0900000000000001</v>
      </c>
      <c r="BQ412" s="490">
        <v>1.08</v>
      </c>
      <c r="BS412" s="489">
        <v>60</v>
      </c>
      <c r="BT412" s="490">
        <v>1</v>
      </c>
      <c r="BU412" s="490">
        <v>1.03</v>
      </c>
      <c r="BV412" s="491">
        <v>1.03</v>
      </c>
      <c r="BW412" s="490">
        <v>1.02</v>
      </c>
      <c r="BX412" s="490">
        <v>0.99</v>
      </c>
      <c r="BZ412" s="489">
        <v>60</v>
      </c>
      <c r="CA412" s="490">
        <v>1</v>
      </c>
      <c r="CB412" s="490">
        <v>1</v>
      </c>
      <c r="CC412" s="491">
        <v>0.98</v>
      </c>
      <c r="CD412" s="490">
        <v>0.95</v>
      </c>
      <c r="CE412" s="490">
        <v>0.9</v>
      </c>
      <c r="CG412" s="489">
        <v>60</v>
      </c>
      <c r="CH412" s="490">
        <v>1</v>
      </c>
      <c r="CI412" s="490">
        <v>0.99</v>
      </c>
      <c r="CJ412" s="491">
        <v>0.96</v>
      </c>
      <c r="CK412" s="490">
        <v>0.92</v>
      </c>
      <c r="CL412" s="490">
        <v>0.87</v>
      </c>
      <c r="CN412" s="489">
        <v>60</v>
      </c>
      <c r="CO412" s="490">
        <v>1</v>
      </c>
      <c r="CP412" s="490">
        <v>0.98</v>
      </c>
      <c r="CQ412" s="491">
        <v>0.95</v>
      </c>
      <c r="CR412" s="490">
        <v>0.91</v>
      </c>
      <c r="CS412" s="490">
        <v>0.85</v>
      </c>
    </row>
    <row r="413" spans="3:98" ht="15.75" thickBot="1" x14ac:dyDescent="0.3">
      <c r="C413" s="489">
        <v>160</v>
      </c>
      <c r="D413" s="490">
        <v>0.95</v>
      </c>
      <c r="E413" s="490">
        <v>0.92</v>
      </c>
      <c r="F413" s="491">
        <v>0.87</v>
      </c>
      <c r="G413" s="490">
        <v>0.79</v>
      </c>
      <c r="H413" s="490">
        <v>0.71</v>
      </c>
      <c r="I413" s="490">
        <v>0.61</v>
      </c>
      <c r="J413" s="490">
        <v>0.52</v>
      </c>
      <c r="K413" s="490">
        <v>0.45</v>
      </c>
      <c r="L413" s="490">
        <v>0.38</v>
      </c>
      <c r="M413" s="490">
        <v>0.33</v>
      </c>
      <c r="O413" s="489">
        <v>70</v>
      </c>
      <c r="P413" s="490">
        <v>1</v>
      </c>
      <c r="Q413" s="490">
        <v>1</v>
      </c>
      <c r="R413" s="491">
        <v>0.98</v>
      </c>
      <c r="S413" s="490">
        <v>0.94</v>
      </c>
      <c r="T413" s="490">
        <v>0.9</v>
      </c>
      <c r="V413" s="489">
        <v>70</v>
      </c>
      <c r="W413" s="490">
        <v>1</v>
      </c>
      <c r="X413" s="490">
        <v>1</v>
      </c>
      <c r="Y413" s="491">
        <v>1</v>
      </c>
      <c r="Z413" s="490">
        <v>0.97</v>
      </c>
      <c r="AA413" s="490">
        <v>0.93</v>
      </c>
      <c r="AC413" s="489">
        <v>70</v>
      </c>
      <c r="AD413" s="490">
        <v>1</v>
      </c>
      <c r="AE413" s="490">
        <v>1.01</v>
      </c>
      <c r="AF413" s="491">
        <v>1.01</v>
      </c>
      <c r="AG413" s="490">
        <v>1</v>
      </c>
      <c r="AH413" s="490">
        <v>0.96</v>
      </c>
      <c r="AJ413" s="489">
        <v>70</v>
      </c>
      <c r="AK413" s="490">
        <v>1</v>
      </c>
      <c r="AL413" s="490">
        <v>1.03</v>
      </c>
      <c r="AM413" s="491">
        <v>1.03</v>
      </c>
      <c r="AN413" s="490">
        <v>1.03</v>
      </c>
      <c r="AO413" s="490">
        <v>1</v>
      </c>
      <c r="AQ413" s="489">
        <v>70</v>
      </c>
      <c r="AR413" s="490">
        <v>1</v>
      </c>
      <c r="AS413" s="490">
        <v>1.04</v>
      </c>
      <c r="AT413" s="491">
        <v>1.07</v>
      </c>
      <c r="AU413" s="490">
        <v>1.07</v>
      </c>
      <c r="AV413" s="490">
        <v>1.06</v>
      </c>
      <c r="AX413" s="489">
        <v>70</v>
      </c>
      <c r="AY413" s="490">
        <v>1</v>
      </c>
      <c r="AZ413" s="490">
        <v>1.05</v>
      </c>
      <c r="BA413" s="491">
        <v>1.08</v>
      </c>
      <c r="BB413" s="490">
        <v>1.0900000000000001</v>
      </c>
      <c r="BC413" s="490">
        <v>1.08</v>
      </c>
      <c r="BE413" s="489">
        <v>70</v>
      </c>
      <c r="BF413" s="490">
        <v>1</v>
      </c>
      <c r="BG413" s="490">
        <v>1.05</v>
      </c>
      <c r="BH413" s="491">
        <v>1.08</v>
      </c>
      <c r="BI413" s="490">
        <v>1.0900000000000001</v>
      </c>
      <c r="BJ413" s="490">
        <v>1.07</v>
      </c>
      <c r="BL413" s="489">
        <v>70</v>
      </c>
      <c r="BM413" s="490">
        <v>1</v>
      </c>
      <c r="BN413" s="490">
        <v>1.04</v>
      </c>
      <c r="BO413" s="491">
        <v>1.05</v>
      </c>
      <c r="BP413" s="490">
        <v>1.05</v>
      </c>
      <c r="BQ413" s="490">
        <v>1.03</v>
      </c>
      <c r="BS413" s="489">
        <v>70</v>
      </c>
      <c r="BT413" s="490">
        <v>1</v>
      </c>
      <c r="BU413" s="490">
        <v>1.02</v>
      </c>
      <c r="BV413" s="491">
        <v>1.02</v>
      </c>
      <c r="BW413" s="490">
        <v>1</v>
      </c>
      <c r="BX413" s="490">
        <v>0.97</v>
      </c>
      <c r="BZ413" s="489">
        <v>70</v>
      </c>
      <c r="CA413" s="490">
        <v>1</v>
      </c>
      <c r="CB413" s="490">
        <v>1</v>
      </c>
      <c r="CC413" s="491">
        <v>0.98</v>
      </c>
      <c r="CD413" s="490">
        <v>0.95</v>
      </c>
      <c r="CE413" s="490">
        <v>0.9</v>
      </c>
      <c r="CG413" s="489">
        <v>70</v>
      </c>
      <c r="CH413" s="490">
        <v>1</v>
      </c>
      <c r="CI413" s="490">
        <v>1</v>
      </c>
      <c r="CJ413" s="491">
        <v>0.97</v>
      </c>
      <c r="CK413" s="490">
        <v>0.93</v>
      </c>
      <c r="CL413" s="490">
        <v>0.88</v>
      </c>
      <c r="CN413" s="489">
        <v>70</v>
      </c>
      <c r="CO413" s="490">
        <v>1</v>
      </c>
      <c r="CP413" s="490">
        <v>0.99</v>
      </c>
      <c r="CQ413" s="491">
        <v>0.96</v>
      </c>
      <c r="CR413" s="490">
        <v>0.92</v>
      </c>
      <c r="CS413" s="490">
        <v>0.87</v>
      </c>
    </row>
    <row r="414" spans="3:98" ht="15.75" thickBot="1" x14ac:dyDescent="0.3">
      <c r="C414" s="489">
        <v>170</v>
      </c>
      <c r="D414" s="490">
        <v>0.95</v>
      </c>
      <c r="E414" s="490">
        <v>0.92</v>
      </c>
      <c r="F414" s="491">
        <v>0.87</v>
      </c>
      <c r="G414" s="490">
        <v>0.79</v>
      </c>
      <c r="H414" s="490">
        <v>0.7</v>
      </c>
      <c r="I414" s="490">
        <v>0.6</v>
      </c>
      <c r="J414" s="490">
        <v>0.51</v>
      </c>
      <c r="K414" s="490">
        <v>0.44</v>
      </c>
      <c r="L414" s="490">
        <v>0.37</v>
      </c>
      <c r="M414" s="490">
        <v>0.31</v>
      </c>
      <c r="O414" s="489">
        <v>80</v>
      </c>
      <c r="P414" s="490">
        <v>1</v>
      </c>
      <c r="Q414" s="490">
        <v>1</v>
      </c>
      <c r="R414" s="491">
        <v>0.99</v>
      </c>
      <c r="S414" s="490">
        <v>0.96</v>
      </c>
      <c r="T414" s="490">
        <v>0.91</v>
      </c>
      <c r="V414" s="489">
        <v>80</v>
      </c>
      <c r="W414" s="490">
        <v>1</v>
      </c>
      <c r="X414" s="490">
        <v>1.01</v>
      </c>
      <c r="Y414" s="491">
        <v>1</v>
      </c>
      <c r="Z414" s="490">
        <v>0.98</v>
      </c>
      <c r="AA414" s="490">
        <v>0.93</v>
      </c>
      <c r="AC414" s="489">
        <v>80</v>
      </c>
      <c r="AD414" s="490">
        <v>1</v>
      </c>
      <c r="AE414" s="490">
        <v>1.01</v>
      </c>
      <c r="AF414" s="491">
        <v>1</v>
      </c>
      <c r="AG414" s="490">
        <v>0.99</v>
      </c>
      <c r="AH414" s="490">
        <v>0.95</v>
      </c>
      <c r="AJ414" s="489">
        <v>80</v>
      </c>
      <c r="AK414" s="490">
        <v>1</v>
      </c>
      <c r="AL414" s="490">
        <v>1.02</v>
      </c>
      <c r="AM414" s="491">
        <v>1.01</v>
      </c>
      <c r="AN414" s="490">
        <v>0.99</v>
      </c>
      <c r="AO414" s="490">
        <v>0.97</v>
      </c>
      <c r="AQ414" s="489">
        <v>80</v>
      </c>
      <c r="AR414" s="490">
        <v>1</v>
      </c>
      <c r="AS414" s="490">
        <v>1.02</v>
      </c>
      <c r="AT414" s="491">
        <v>1.03</v>
      </c>
      <c r="AU414" s="490">
        <v>1.02</v>
      </c>
      <c r="AV414" s="490">
        <v>1</v>
      </c>
      <c r="AX414" s="489">
        <v>80</v>
      </c>
      <c r="AY414" s="490">
        <v>1</v>
      </c>
      <c r="AZ414" s="490">
        <v>1.03</v>
      </c>
      <c r="BA414" s="491">
        <v>1.04</v>
      </c>
      <c r="BB414" s="490">
        <v>1.03</v>
      </c>
      <c r="BC414" s="490">
        <v>1.02</v>
      </c>
      <c r="BE414" s="489">
        <v>80</v>
      </c>
      <c r="BF414" s="490">
        <v>1</v>
      </c>
      <c r="BG414" s="490">
        <v>1.03</v>
      </c>
      <c r="BH414" s="491">
        <v>1.03</v>
      </c>
      <c r="BI414" s="490">
        <v>1.03</v>
      </c>
      <c r="BJ414" s="490">
        <v>1.01</v>
      </c>
      <c r="BL414" s="489">
        <v>80</v>
      </c>
      <c r="BM414" s="490">
        <v>1</v>
      </c>
      <c r="BN414" s="490">
        <v>1.02</v>
      </c>
      <c r="BO414" s="491">
        <v>1.02</v>
      </c>
      <c r="BP414" s="490">
        <v>1.01</v>
      </c>
      <c r="BQ414" s="490">
        <v>0.98</v>
      </c>
      <c r="BS414" s="489">
        <v>80</v>
      </c>
      <c r="BT414" s="490">
        <v>1</v>
      </c>
      <c r="BU414" s="490">
        <v>1.01</v>
      </c>
      <c r="BV414" s="491">
        <v>1</v>
      </c>
      <c r="BW414" s="490">
        <v>0.98</v>
      </c>
      <c r="BX414" s="490">
        <v>0.94</v>
      </c>
      <c r="BZ414" s="489">
        <v>80</v>
      </c>
      <c r="CA414" s="490">
        <v>1</v>
      </c>
      <c r="CB414" s="490">
        <v>1</v>
      </c>
      <c r="CC414" s="491">
        <v>0.98</v>
      </c>
      <c r="CD414" s="490">
        <v>0.94</v>
      </c>
      <c r="CE414" s="490">
        <v>0.9</v>
      </c>
      <c r="CG414" s="489">
        <v>80</v>
      </c>
      <c r="CH414" s="490">
        <v>1</v>
      </c>
      <c r="CI414" s="490">
        <v>1</v>
      </c>
      <c r="CJ414" s="491">
        <v>0.98</v>
      </c>
      <c r="CK414" s="490">
        <v>0.94</v>
      </c>
      <c r="CL414" s="490">
        <v>0.89</v>
      </c>
      <c r="CN414" s="489">
        <v>80</v>
      </c>
      <c r="CO414" s="490">
        <v>1</v>
      </c>
      <c r="CP414" s="490">
        <v>1</v>
      </c>
      <c r="CQ414" s="491">
        <v>0.98</v>
      </c>
      <c r="CR414" s="490">
        <v>0.94</v>
      </c>
      <c r="CS414" s="490">
        <v>0.89</v>
      </c>
    </row>
    <row r="415" spans="3:98" ht="15.75" thickBot="1" x14ac:dyDescent="0.3">
      <c r="C415" s="489">
        <v>180</v>
      </c>
      <c r="D415" s="490">
        <v>0.95</v>
      </c>
      <c r="E415" s="490">
        <v>0.92</v>
      </c>
      <c r="F415" s="491">
        <v>0.86</v>
      </c>
      <c r="G415" s="490">
        <v>0.79</v>
      </c>
      <c r="H415" s="490">
        <v>0.69</v>
      </c>
      <c r="I415" s="490">
        <v>0.6</v>
      </c>
      <c r="J415" s="490">
        <v>0.51</v>
      </c>
      <c r="K415" s="490">
        <v>0.43</v>
      </c>
      <c r="L415" s="490">
        <v>0.36</v>
      </c>
      <c r="M415" s="490">
        <v>0.31</v>
      </c>
      <c r="O415" s="489">
        <v>90</v>
      </c>
      <c r="P415" s="490">
        <v>1</v>
      </c>
      <c r="Q415" s="490">
        <v>1.01</v>
      </c>
      <c r="R415" s="491">
        <v>1</v>
      </c>
      <c r="S415" s="490">
        <v>0.97</v>
      </c>
      <c r="T415" s="490">
        <v>0.93</v>
      </c>
      <c r="V415" s="489">
        <v>90</v>
      </c>
      <c r="W415" s="490">
        <v>1</v>
      </c>
      <c r="X415" s="490">
        <v>1.01</v>
      </c>
      <c r="Y415" s="491">
        <v>1</v>
      </c>
      <c r="Z415" s="490">
        <v>0.98</v>
      </c>
      <c r="AA415" s="490">
        <v>0.94</v>
      </c>
      <c r="AC415" s="489">
        <v>90</v>
      </c>
      <c r="AD415" s="490">
        <v>1</v>
      </c>
      <c r="AE415" s="490">
        <v>1</v>
      </c>
      <c r="AF415" s="491">
        <v>0.99</v>
      </c>
      <c r="AG415" s="490">
        <v>0.97</v>
      </c>
      <c r="AH415" s="490">
        <v>0.93</v>
      </c>
      <c r="AJ415" s="489">
        <v>90</v>
      </c>
      <c r="AK415" s="490">
        <v>1</v>
      </c>
      <c r="AL415" s="490">
        <v>1.01</v>
      </c>
      <c r="AM415" s="491">
        <v>0.99</v>
      </c>
      <c r="AN415" s="490">
        <v>0.96</v>
      </c>
      <c r="AO415" s="490">
        <v>0.92</v>
      </c>
      <c r="AQ415" s="489">
        <v>90</v>
      </c>
      <c r="AR415" s="490">
        <v>1</v>
      </c>
      <c r="AS415" s="490">
        <v>1.01</v>
      </c>
      <c r="AT415" s="491">
        <v>0.99</v>
      </c>
      <c r="AU415" s="490">
        <v>0.97</v>
      </c>
      <c r="AV415" s="490">
        <v>0.94</v>
      </c>
      <c r="AX415" s="489">
        <v>90</v>
      </c>
      <c r="AY415" s="490">
        <v>1</v>
      </c>
      <c r="AZ415" s="490">
        <v>1.01</v>
      </c>
      <c r="BA415" s="491">
        <v>1</v>
      </c>
      <c r="BB415" s="490">
        <v>0.97</v>
      </c>
      <c r="BC415" s="490">
        <v>0.94</v>
      </c>
      <c r="BE415" s="489">
        <v>90</v>
      </c>
      <c r="BF415" s="490">
        <v>1</v>
      </c>
      <c r="BG415" s="490">
        <v>1.01</v>
      </c>
      <c r="BH415" s="491">
        <v>0.99</v>
      </c>
      <c r="BI415" s="490">
        <v>0.97</v>
      </c>
      <c r="BJ415" s="490">
        <v>0.94</v>
      </c>
      <c r="BL415" s="489">
        <v>90</v>
      </c>
      <c r="BM415" s="490">
        <v>1</v>
      </c>
      <c r="BN415" s="490">
        <v>1</v>
      </c>
      <c r="BO415" s="491">
        <v>0.99</v>
      </c>
      <c r="BP415" s="490">
        <v>0.96</v>
      </c>
      <c r="BQ415" s="490">
        <v>0.93</v>
      </c>
      <c r="BS415" s="489">
        <v>90</v>
      </c>
      <c r="BT415" s="490">
        <v>1</v>
      </c>
      <c r="BU415" s="490">
        <v>1</v>
      </c>
      <c r="BV415" s="491">
        <v>0.98</v>
      </c>
      <c r="BW415" s="490">
        <v>0.95</v>
      </c>
      <c r="BX415" s="490">
        <v>0.91</v>
      </c>
      <c r="BZ415" s="489">
        <v>90</v>
      </c>
      <c r="CA415" s="490">
        <v>1</v>
      </c>
      <c r="CB415" s="490">
        <v>1</v>
      </c>
      <c r="CC415" s="491">
        <v>0.98</v>
      </c>
      <c r="CD415" s="490">
        <v>0.94</v>
      </c>
      <c r="CE415" s="490">
        <v>0.9</v>
      </c>
      <c r="CG415" s="489">
        <v>90</v>
      </c>
      <c r="CH415" s="490">
        <v>1</v>
      </c>
      <c r="CI415" s="490">
        <v>1</v>
      </c>
      <c r="CJ415" s="491">
        <v>0.98</v>
      </c>
      <c r="CK415" s="490">
        <v>0.95</v>
      </c>
      <c r="CL415" s="490">
        <v>0.91</v>
      </c>
      <c r="CN415" s="489">
        <v>90</v>
      </c>
      <c r="CO415" s="490">
        <v>1</v>
      </c>
      <c r="CP415" s="490">
        <v>1</v>
      </c>
      <c r="CQ415" s="491">
        <v>0.99</v>
      </c>
      <c r="CR415" s="490">
        <v>0.96</v>
      </c>
      <c r="CS415" s="490">
        <v>0.91</v>
      </c>
    </row>
    <row r="416" spans="3:98" ht="15.75" thickBot="1" x14ac:dyDescent="0.3">
      <c r="C416" s="489">
        <v>190</v>
      </c>
      <c r="D416" s="490">
        <v>0.95</v>
      </c>
      <c r="E416" s="490">
        <v>0.92</v>
      </c>
      <c r="F416" s="491">
        <v>0.87</v>
      </c>
      <c r="G416" s="490">
        <v>0.79</v>
      </c>
      <c r="H416" s="490">
        <v>0.7</v>
      </c>
      <c r="I416" s="490">
        <v>0.6</v>
      </c>
      <c r="J416" s="490">
        <v>0.51</v>
      </c>
      <c r="K416" s="490">
        <v>0.44</v>
      </c>
      <c r="L416" s="490">
        <v>0.37</v>
      </c>
      <c r="M416" s="490">
        <v>0.31</v>
      </c>
      <c r="P416" s="492"/>
      <c r="Q416" s="492"/>
      <c r="R416" s="492"/>
      <c r="S416" s="492"/>
      <c r="T416" s="492"/>
      <c r="U416" s="492"/>
      <c r="V416" s="492"/>
      <c r="W416" s="492"/>
      <c r="X416" s="492"/>
      <c r="Y416" s="492"/>
      <c r="Z416" s="492"/>
      <c r="AA416" s="492"/>
      <c r="AB416" s="492"/>
      <c r="AC416" s="492"/>
      <c r="AD416" s="492"/>
      <c r="AE416" s="492"/>
      <c r="AF416" s="492"/>
      <c r="AG416" s="492"/>
      <c r="AH416" s="492"/>
      <c r="AI416" s="492"/>
      <c r="AJ416" s="492"/>
      <c r="AK416" s="492"/>
      <c r="AL416" s="492"/>
      <c r="AM416" s="492"/>
      <c r="AN416" s="492"/>
      <c r="AO416" s="492"/>
      <c r="AP416" s="492"/>
      <c r="AQ416" s="492"/>
      <c r="AR416" s="492"/>
      <c r="AS416" s="492"/>
      <c r="AT416" s="492"/>
      <c r="AU416" s="492"/>
      <c r="AV416" s="492"/>
      <c r="AW416" s="492"/>
      <c r="AX416" s="492"/>
      <c r="AY416" s="492"/>
      <c r="AZ416" s="492"/>
      <c r="BA416" s="492"/>
      <c r="BB416" s="492"/>
      <c r="BC416" s="492"/>
      <c r="BD416" s="492"/>
      <c r="BE416" s="492"/>
      <c r="BF416" s="492"/>
      <c r="BG416" s="492"/>
      <c r="BH416" s="492"/>
      <c r="BI416" s="492"/>
      <c r="BJ416" s="492"/>
      <c r="BK416" s="492"/>
      <c r="BL416" s="492"/>
      <c r="BM416" s="492"/>
      <c r="BN416" s="492"/>
      <c r="BO416" s="492"/>
      <c r="BP416" s="492"/>
      <c r="BQ416" s="492"/>
      <c r="BR416" s="492"/>
      <c r="BS416" s="492"/>
      <c r="BT416" s="492"/>
      <c r="BU416" s="492"/>
      <c r="BV416" s="492"/>
      <c r="BW416" s="492"/>
      <c r="BX416" s="492"/>
      <c r="BY416" s="492"/>
      <c r="BZ416" s="492"/>
      <c r="CA416" s="492"/>
      <c r="CB416" s="492"/>
      <c r="CC416" s="492"/>
      <c r="CD416" s="492"/>
      <c r="CE416" s="492"/>
      <c r="CF416" s="492"/>
      <c r="CG416" s="492"/>
      <c r="CH416" s="492"/>
      <c r="CI416" s="492"/>
      <c r="CJ416" s="492"/>
      <c r="CK416" s="492"/>
      <c r="CL416" s="492"/>
      <c r="CM416" s="492"/>
      <c r="CN416" s="492"/>
      <c r="CO416" s="492"/>
      <c r="CP416" s="492"/>
      <c r="CQ416" s="492"/>
      <c r="CR416" s="492"/>
      <c r="CS416" s="492"/>
      <c r="CT416" s="492"/>
    </row>
    <row r="417" spans="3:98" ht="15.75" thickBot="1" x14ac:dyDescent="0.3">
      <c r="C417" s="489">
        <v>200</v>
      </c>
      <c r="D417" s="490">
        <v>0.95</v>
      </c>
      <c r="E417" s="490">
        <v>0.92</v>
      </c>
      <c r="F417" s="491">
        <v>0.87</v>
      </c>
      <c r="G417" s="490">
        <v>0.8</v>
      </c>
      <c r="H417" s="490">
        <v>0.71</v>
      </c>
      <c r="I417" s="490">
        <v>0.62</v>
      </c>
      <c r="J417" s="490">
        <v>0.53</v>
      </c>
      <c r="K417" s="490">
        <v>0.45</v>
      </c>
      <c r="L417" s="490">
        <v>0.38</v>
      </c>
      <c r="M417" s="490">
        <v>0.33</v>
      </c>
      <c r="P417" s="492"/>
      <c r="Q417" s="492"/>
      <c r="R417" s="492"/>
      <c r="S417" s="492"/>
      <c r="T417" s="492"/>
      <c r="U417" s="492"/>
      <c r="W417" s="492"/>
      <c r="X417" s="492"/>
      <c r="Y417" s="492"/>
      <c r="Z417" s="492"/>
      <c r="AA417" s="492"/>
      <c r="AB417" s="492"/>
      <c r="AD417" s="492"/>
      <c r="AE417" s="492"/>
      <c r="AF417" s="492"/>
      <c r="AG417" s="492"/>
      <c r="AH417" s="492"/>
      <c r="AI417" s="492"/>
      <c r="AJ417" s="492"/>
      <c r="AK417" s="492"/>
      <c r="AL417" s="492"/>
      <c r="AM417" s="492"/>
      <c r="AN417" s="492"/>
      <c r="AO417" s="492"/>
      <c r="AP417" s="492"/>
      <c r="AQ417" s="492"/>
      <c r="AR417" s="492"/>
      <c r="AS417" s="492"/>
      <c r="AT417" s="492"/>
      <c r="AU417" s="492"/>
      <c r="AV417" s="492"/>
      <c r="AW417" s="492"/>
      <c r="AX417" s="492"/>
      <c r="AY417" s="492"/>
      <c r="AZ417" s="492"/>
      <c r="BA417" s="492"/>
      <c r="BB417" s="492"/>
      <c r="BC417" s="492"/>
      <c r="BD417" s="492"/>
      <c r="BE417" s="492"/>
      <c r="BF417" s="492"/>
      <c r="BG417" s="492"/>
      <c r="BH417" s="492"/>
      <c r="BI417" s="492"/>
      <c r="BJ417" s="492"/>
      <c r="BK417" s="492"/>
      <c r="BL417" s="492"/>
      <c r="BM417" s="492"/>
      <c r="BN417" s="492"/>
      <c r="BO417" s="492"/>
      <c r="BP417" s="492"/>
      <c r="BQ417" s="492"/>
      <c r="BR417" s="492"/>
      <c r="BS417" s="492"/>
      <c r="BT417" s="492"/>
      <c r="BU417" s="492"/>
      <c r="BV417" s="492"/>
      <c r="BW417" s="492"/>
      <c r="BX417" s="492"/>
      <c r="BY417" s="492"/>
      <c r="BZ417" s="492"/>
      <c r="CA417" s="492"/>
      <c r="CB417" s="492"/>
      <c r="CC417" s="492"/>
      <c r="CD417" s="492"/>
      <c r="CE417" s="492"/>
      <c r="CF417" s="492"/>
      <c r="CG417" s="492"/>
      <c r="CH417" s="492"/>
      <c r="CI417" s="492"/>
      <c r="CJ417" s="492"/>
      <c r="CK417" s="492"/>
      <c r="CL417" s="492"/>
      <c r="CM417" s="492"/>
      <c r="CN417" s="492"/>
      <c r="CO417" s="492"/>
      <c r="CP417" s="492"/>
      <c r="CQ417" s="492"/>
      <c r="CR417" s="492"/>
      <c r="CS417" s="492"/>
      <c r="CT417" s="492"/>
    </row>
    <row r="418" spans="3:98" ht="15.75" thickBot="1" x14ac:dyDescent="0.3">
      <c r="C418" s="489">
        <v>210</v>
      </c>
      <c r="D418" s="490">
        <v>0.95</v>
      </c>
      <c r="E418" s="490">
        <v>0.92</v>
      </c>
      <c r="F418" s="491">
        <v>0.88</v>
      </c>
      <c r="G418" s="490">
        <v>0.81</v>
      </c>
      <c r="H418" s="490">
        <v>0.73</v>
      </c>
      <c r="I418" s="490">
        <v>0.64</v>
      </c>
      <c r="J418" s="490">
        <v>0.55000000000000004</v>
      </c>
      <c r="K418" s="490">
        <v>0.48</v>
      </c>
      <c r="L418" s="490">
        <v>0.41</v>
      </c>
      <c r="M418" s="490">
        <v>0.36</v>
      </c>
      <c r="P418" s="492"/>
      <c r="Q418" s="492"/>
      <c r="R418" s="492"/>
      <c r="S418" s="492"/>
      <c r="T418" s="492"/>
      <c r="U418" s="492"/>
      <c r="W418" s="492"/>
      <c r="X418" s="492"/>
      <c r="Y418" s="492"/>
      <c r="Z418" s="492"/>
      <c r="AA418" s="492"/>
      <c r="AB418" s="492"/>
      <c r="AD418" s="492"/>
      <c r="AE418" s="492"/>
      <c r="AF418" s="492"/>
      <c r="AG418" s="492"/>
      <c r="AH418" s="492"/>
      <c r="AI418" s="492"/>
      <c r="AJ418" s="492"/>
      <c r="AK418" s="492"/>
      <c r="AL418" s="492"/>
      <c r="AM418" s="492"/>
      <c r="AN418" s="492"/>
      <c r="AO418" s="492"/>
      <c r="AP418" s="492"/>
      <c r="AQ418" s="492"/>
      <c r="AR418" s="492"/>
      <c r="AS418" s="492"/>
      <c r="AT418" s="492"/>
      <c r="AU418" s="492"/>
      <c r="AV418" s="492"/>
      <c r="AW418" s="492"/>
      <c r="AX418" s="492"/>
      <c r="AY418" s="492"/>
      <c r="AZ418" s="492"/>
      <c r="BA418" s="492"/>
      <c r="BB418" s="492"/>
      <c r="BC418" s="492"/>
      <c r="BD418" s="492"/>
      <c r="BE418" s="492"/>
      <c r="BF418" s="492"/>
      <c r="BG418" s="492"/>
      <c r="BH418" s="492"/>
      <c r="BI418" s="492"/>
      <c r="BJ418" s="492"/>
      <c r="BK418" s="492"/>
      <c r="BL418" s="492"/>
      <c r="BM418" s="492"/>
      <c r="BN418" s="492"/>
      <c r="BO418" s="492"/>
      <c r="BP418" s="492"/>
      <c r="BQ418" s="492"/>
      <c r="BR418" s="492"/>
      <c r="BS418" s="492"/>
      <c r="BT418" s="492"/>
      <c r="BU418" s="492"/>
      <c r="BV418" s="492"/>
      <c r="BW418" s="492"/>
      <c r="BX418" s="492"/>
      <c r="BY418" s="492"/>
      <c r="BZ418" s="492"/>
      <c r="CA418" s="492"/>
      <c r="CB418" s="492"/>
      <c r="CC418" s="492"/>
      <c r="CD418" s="492"/>
      <c r="CE418" s="492"/>
      <c r="CF418" s="492"/>
      <c r="CG418" s="492"/>
      <c r="CH418" s="492"/>
      <c r="CI418" s="492"/>
      <c r="CJ418" s="492"/>
      <c r="CK418" s="492"/>
      <c r="CL418" s="492"/>
      <c r="CM418" s="492"/>
      <c r="CN418" s="492"/>
      <c r="CO418" s="492"/>
      <c r="CP418" s="492"/>
      <c r="CQ418" s="492"/>
      <c r="CR418" s="492"/>
      <c r="CS418" s="492"/>
      <c r="CT418" s="492"/>
    </row>
    <row r="419" spans="3:98" ht="15.75" thickBot="1" x14ac:dyDescent="0.3">
      <c r="C419" s="489">
        <v>220</v>
      </c>
      <c r="D419" s="490">
        <v>0.95</v>
      </c>
      <c r="E419" s="490">
        <v>0.93</v>
      </c>
      <c r="F419" s="491">
        <v>0.88</v>
      </c>
      <c r="G419" s="490">
        <v>0.82</v>
      </c>
      <c r="H419" s="490">
        <v>0.75</v>
      </c>
      <c r="I419" s="490">
        <v>0.67</v>
      </c>
      <c r="J419" s="490">
        <v>0.59</v>
      </c>
      <c r="K419" s="490">
        <v>0.51</v>
      </c>
      <c r="L419" s="490">
        <v>0.45</v>
      </c>
      <c r="M419" s="490">
        <v>0.39</v>
      </c>
      <c r="P419" s="492"/>
      <c r="Q419" s="492"/>
      <c r="R419" s="492"/>
      <c r="S419" s="492"/>
      <c r="T419" s="492"/>
      <c r="U419" s="492"/>
      <c r="W419" s="492"/>
      <c r="X419" s="492"/>
      <c r="Y419" s="492"/>
      <c r="Z419" s="492"/>
      <c r="AA419" s="492"/>
      <c r="AB419" s="492"/>
      <c r="AD419" s="492"/>
      <c r="AE419" s="492"/>
      <c r="AF419" s="492"/>
      <c r="AG419" s="492"/>
      <c r="AH419" s="492"/>
      <c r="AI419" s="492"/>
      <c r="AJ419" s="492"/>
      <c r="AK419" s="492"/>
      <c r="AL419" s="492"/>
      <c r="AM419" s="492"/>
      <c r="AN419" s="492"/>
      <c r="AO419" s="492"/>
      <c r="AP419" s="492"/>
      <c r="AQ419" s="492"/>
      <c r="AR419" s="492"/>
      <c r="AS419" s="492"/>
      <c r="AT419" s="492"/>
      <c r="AU419" s="492"/>
      <c r="AV419" s="492"/>
      <c r="AW419" s="492"/>
      <c r="AX419" s="492"/>
      <c r="AY419" s="492"/>
      <c r="AZ419" s="492"/>
      <c r="BA419" s="492"/>
      <c r="BB419" s="492"/>
      <c r="BC419" s="492"/>
      <c r="BD419" s="492"/>
      <c r="BE419" s="492"/>
      <c r="BF419" s="492"/>
      <c r="BG419" s="492"/>
      <c r="BH419" s="492"/>
      <c r="BI419" s="492"/>
      <c r="BJ419" s="492"/>
      <c r="BK419" s="492"/>
      <c r="BL419" s="492"/>
      <c r="BM419" s="492"/>
      <c r="BN419" s="492"/>
      <c r="BO419" s="492"/>
      <c r="BP419" s="492"/>
      <c r="BQ419" s="492"/>
      <c r="BR419" s="492"/>
      <c r="BS419" s="492"/>
      <c r="BT419" s="492"/>
      <c r="BU419" s="492"/>
      <c r="BV419" s="492"/>
      <c r="BW419" s="492"/>
      <c r="BX419" s="492"/>
      <c r="BY419" s="492"/>
      <c r="BZ419" s="492"/>
      <c r="CA419" s="492"/>
      <c r="CB419" s="492"/>
      <c r="CC419" s="492"/>
      <c r="CD419" s="492"/>
      <c r="CE419" s="492"/>
      <c r="CF419" s="492"/>
      <c r="CG419" s="492"/>
      <c r="CH419" s="492"/>
      <c r="CI419" s="492"/>
      <c r="CJ419" s="492"/>
      <c r="CK419" s="492"/>
      <c r="CL419" s="492"/>
      <c r="CM419" s="492"/>
      <c r="CN419" s="492"/>
      <c r="CO419" s="492"/>
      <c r="CP419" s="492"/>
      <c r="CQ419" s="492"/>
      <c r="CR419" s="492"/>
      <c r="CS419" s="492"/>
      <c r="CT419" s="492"/>
    </row>
    <row r="420" spans="3:98" ht="15.75" thickBot="1" x14ac:dyDescent="0.3">
      <c r="C420" s="489">
        <v>230</v>
      </c>
      <c r="D420" s="490">
        <v>0.95</v>
      </c>
      <c r="E420" s="490">
        <v>0.93</v>
      </c>
      <c r="F420" s="491">
        <v>0.89</v>
      </c>
      <c r="G420" s="490">
        <v>0.83</v>
      </c>
      <c r="H420" s="490">
        <v>0.77</v>
      </c>
      <c r="I420" s="490">
        <v>0.69</v>
      </c>
      <c r="J420" s="490">
        <v>0.62</v>
      </c>
      <c r="K420" s="490">
        <v>0.55000000000000004</v>
      </c>
      <c r="L420" s="490">
        <v>0.48</v>
      </c>
      <c r="M420" s="490">
        <v>0.42</v>
      </c>
      <c r="P420" s="492"/>
      <c r="Q420" s="492"/>
      <c r="R420" s="492"/>
      <c r="S420" s="492"/>
      <c r="T420" s="492"/>
      <c r="U420" s="492"/>
      <c r="W420" s="492"/>
      <c r="X420" s="492"/>
      <c r="Y420" s="492"/>
      <c r="Z420" s="492"/>
      <c r="AA420" s="492"/>
      <c r="AB420" s="492"/>
      <c r="AD420" s="492"/>
      <c r="AE420" s="492"/>
      <c r="AF420" s="492"/>
      <c r="AG420" s="492"/>
      <c r="AH420" s="492"/>
      <c r="AI420" s="492"/>
      <c r="AJ420" s="492"/>
      <c r="AK420" s="492"/>
      <c r="AL420" s="492"/>
      <c r="AM420" s="492"/>
      <c r="AN420" s="492"/>
      <c r="AO420" s="492"/>
      <c r="AP420" s="492"/>
      <c r="AQ420" s="492"/>
      <c r="AR420" s="492"/>
      <c r="AS420" s="492"/>
      <c r="AT420" s="492"/>
      <c r="AU420" s="492"/>
      <c r="AV420" s="492"/>
      <c r="AW420" s="492"/>
      <c r="AX420" s="492"/>
      <c r="AY420" s="492"/>
      <c r="AZ420" s="492"/>
      <c r="BA420" s="492"/>
      <c r="BB420" s="492"/>
      <c r="BC420" s="492"/>
      <c r="BD420" s="492"/>
      <c r="BE420" s="492"/>
      <c r="BF420" s="492"/>
      <c r="BG420" s="492"/>
      <c r="BH420" s="492"/>
      <c r="BI420" s="492"/>
      <c r="BJ420" s="492"/>
      <c r="BK420" s="492"/>
      <c r="BL420" s="492"/>
      <c r="BM420" s="492"/>
      <c r="BN420" s="492"/>
      <c r="BO420" s="492"/>
      <c r="BP420" s="492"/>
      <c r="BQ420" s="492"/>
      <c r="BR420" s="492"/>
      <c r="BS420" s="492"/>
      <c r="BT420" s="492"/>
      <c r="BU420" s="492"/>
      <c r="BV420" s="492"/>
      <c r="BW420" s="492"/>
      <c r="BX420" s="492"/>
      <c r="BY420" s="492"/>
      <c r="BZ420" s="492"/>
      <c r="CA420" s="492"/>
      <c r="CB420" s="492"/>
      <c r="CC420" s="492"/>
      <c r="CD420" s="492"/>
      <c r="CE420" s="492"/>
      <c r="CF420" s="492"/>
      <c r="CG420" s="492"/>
      <c r="CH420" s="492"/>
      <c r="CI420" s="492"/>
      <c r="CJ420" s="492"/>
      <c r="CK420" s="492"/>
      <c r="CL420" s="492"/>
      <c r="CM420" s="492"/>
      <c r="CN420" s="492"/>
      <c r="CO420" s="492"/>
      <c r="CP420" s="492"/>
      <c r="CQ420" s="492"/>
      <c r="CR420" s="492"/>
      <c r="CS420" s="492"/>
      <c r="CT420" s="492"/>
    </row>
    <row r="421" spans="3:98" ht="15.75" thickBot="1" x14ac:dyDescent="0.3">
      <c r="C421" s="489">
        <v>240</v>
      </c>
      <c r="D421" s="490">
        <v>0.95</v>
      </c>
      <c r="E421" s="490">
        <v>0.94</v>
      </c>
      <c r="F421" s="491">
        <v>0.9</v>
      </c>
      <c r="G421" s="490">
        <v>0.85</v>
      </c>
      <c r="H421" s="490">
        <v>0.79</v>
      </c>
      <c r="I421" s="490">
        <v>0.73</v>
      </c>
      <c r="J421" s="490">
        <v>0.65</v>
      </c>
      <c r="K421" s="490">
        <v>0.59</v>
      </c>
      <c r="L421" s="490">
        <v>0.52</v>
      </c>
      <c r="M421" s="490">
        <v>0.46</v>
      </c>
      <c r="P421" s="492"/>
      <c r="Q421" s="492"/>
      <c r="R421" s="492"/>
      <c r="S421" s="492"/>
      <c r="T421" s="492"/>
      <c r="U421" s="492"/>
      <c r="W421" s="492"/>
      <c r="X421" s="492"/>
      <c r="Y421" s="492"/>
      <c r="Z421" s="492"/>
      <c r="AA421" s="492"/>
      <c r="AB421" s="492"/>
      <c r="AD421" s="492"/>
      <c r="AE421" s="492"/>
      <c r="AF421" s="492"/>
      <c r="AG421" s="492"/>
      <c r="AH421" s="492"/>
      <c r="AI421" s="492"/>
      <c r="AJ421" s="492"/>
      <c r="AK421" s="492"/>
      <c r="AL421" s="492"/>
      <c r="AM421" s="492"/>
      <c r="AN421" s="492"/>
      <c r="AO421" s="492"/>
      <c r="AP421" s="492"/>
      <c r="AQ421" s="492"/>
      <c r="AR421" s="492"/>
      <c r="AS421" s="492"/>
      <c r="AT421" s="492"/>
      <c r="AU421" s="492"/>
      <c r="AV421" s="492"/>
      <c r="AW421" s="492"/>
      <c r="AX421" s="492"/>
      <c r="AY421" s="492"/>
      <c r="AZ421" s="492"/>
      <c r="BA421" s="492"/>
      <c r="BB421" s="492"/>
      <c r="BC421" s="492"/>
      <c r="BD421" s="492"/>
      <c r="BE421" s="492"/>
      <c r="BF421" s="492"/>
      <c r="BG421" s="492"/>
      <c r="BH421" s="492"/>
      <c r="BI421" s="492"/>
      <c r="BJ421" s="492"/>
      <c r="BK421" s="492"/>
      <c r="BL421" s="492"/>
      <c r="BM421" s="492"/>
      <c r="BN421" s="492"/>
      <c r="BO421" s="492"/>
      <c r="BP421" s="492"/>
      <c r="BQ421" s="492"/>
      <c r="BR421" s="492"/>
      <c r="BS421" s="492"/>
      <c r="BT421" s="492"/>
      <c r="BU421" s="492"/>
      <c r="BV421" s="492"/>
      <c r="BW421" s="492"/>
      <c r="BX421" s="492"/>
      <c r="BY421" s="492"/>
      <c r="BZ421" s="492"/>
      <c r="CA421" s="492"/>
      <c r="CB421" s="492"/>
      <c r="CC421" s="492"/>
      <c r="CD421" s="492"/>
      <c r="CE421" s="492"/>
      <c r="CF421" s="492"/>
      <c r="CG421" s="492"/>
      <c r="CH421" s="492"/>
      <c r="CI421" s="492"/>
      <c r="CJ421" s="492"/>
      <c r="CK421" s="492"/>
      <c r="CL421" s="492"/>
      <c r="CM421" s="492"/>
      <c r="CN421" s="492"/>
      <c r="CO421" s="492"/>
      <c r="CP421" s="492"/>
      <c r="CQ421" s="492"/>
      <c r="CR421" s="492"/>
      <c r="CS421" s="492"/>
      <c r="CT421" s="492"/>
    </row>
    <row r="422" spans="3:98" ht="15.75" thickBot="1" x14ac:dyDescent="0.3">
      <c r="C422" s="489">
        <v>250</v>
      </c>
      <c r="D422" s="490">
        <v>0.95</v>
      </c>
      <c r="E422" s="490">
        <v>0.94</v>
      </c>
      <c r="F422" s="491">
        <v>0.91</v>
      </c>
      <c r="G422" s="490">
        <v>0.87</v>
      </c>
      <c r="H422" s="490">
        <v>0.81</v>
      </c>
      <c r="I422" s="490">
        <v>0.75</v>
      </c>
      <c r="J422" s="490">
        <v>0.69</v>
      </c>
      <c r="K422" s="490">
        <v>0.62</v>
      </c>
      <c r="L422" s="490">
        <v>0.55000000000000004</v>
      </c>
      <c r="M422" s="490">
        <v>0.49</v>
      </c>
      <c r="P422" s="492"/>
      <c r="Q422" s="492"/>
      <c r="R422" s="492"/>
      <c r="S422" s="492"/>
      <c r="T422" s="492"/>
      <c r="U422" s="492"/>
      <c r="W422" s="492"/>
      <c r="X422" s="492"/>
      <c r="Y422" s="492"/>
      <c r="Z422" s="492"/>
      <c r="AA422" s="492"/>
      <c r="AB422" s="492"/>
      <c r="AD422" s="492"/>
      <c r="AE422" s="492"/>
      <c r="AF422" s="492"/>
      <c r="AG422" s="492"/>
      <c r="AH422" s="492"/>
      <c r="AI422" s="492"/>
      <c r="AJ422" s="492"/>
      <c r="AK422" s="492"/>
      <c r="AL422" s="492"/>
      <c r="AM422" s="492"/>
      <c r="AN422" s="492"/>
      <c r="AO422" s="492"/>
      <c r="AP422" s="492"/>
      <c r="AQ422" s="492"/>
      <c r="AR422" s="492"/>
      <c r="AS422" s="492"/>
      <c r="AT422" s="492"/>
      <c r="AU422" s="492"/>
      <c r="AV422" s="492"/>
      <c r="AW422" s="492"/>
      <c r="AX422" s="492"/>
      <c r="AY422" s="492"/>
      <c r="AZ422" s="492"/>
      <c r="BA422" s="492"/>
      <c r="BB422" s="492"/>
      <c r="BC422" s="492"/>
      <c r="BD422" s="492"/>
      <c r="BE422" s="492"/>
      <c r="BF422" s="492"/>
      <c r="BG422" s="492"/>
      <c r="BH422" s="492"/>
      <c r="BI422" s="492"/>
      <c r="BJ422" s="492"/>
      <c r="BK422" s="492"/>
      <c r="BL422" s="492"/>
      <c r="BM422" s="492"/>
      <c r="BN422" s="492"/>
      <c r="BO422" s="492"/>
      <c r="BP422" s="492"/>
      <c r="BQ422" s="492"/>
      <c r="BR422" s="492"/>
      <c r="BS422" s="492"/>
      <c r="BT422" s="492"/>
      <c r="BU422" s="492"/>
      <c r="BV422" s="492"/>
      <c r="BW422" s="492"/>
      <c r="BX422" s="492"/>
      <c r="BY422" s="492"/>
      <c r="BZ422" s="492"/>
      <c r="CA422" s="492"/>
      <c r="CB422" s="492"/>
      <c r="CC422" s="492"/>
      <c r="CD422" s="492"/>
      <c r="CE422" s="492"/>
      <c r="CF422" s="492"/>
      <c r="CG422" s="492"/>
      <c r="CH422" s="492"/>
      <c r="CI422" s="492"/>
      <c r="CJ422" s="492"/>
      <c r="CK422" s="492"/>
      <c r="CL422" s="492"/>
      <c r="CM422" s="492"/>
      <c r="CN422" s="492"/>
      <c r="CO422" s="492"/>
      <c r="CP422" s="492"/>
      <c r="CQ422" s="492"/>
      <c r="CR422" s="492"/>
      <c r="CS422" s="492"/>
      <c r="CT422" s="492"/>
    </row>
    <row r="423" spans="3:98" ht="15.75" thickBot="1" x14ac:dyDescent="0.3">
      <c r="C423" s="489">
        <v>260</v>
      </c>
      <c r="D423" s="490">
        <v>0.95</v>
      </c>
      <c r="E423" s="490">
        <v>0.95</v>
      </c>
      <c r="F423" s="491">
        <v>0.93</v>
      </c>
      <c r="G423" s="490">
        <v>0.89</v>
      </c>
      <c r="H423" s="490">
        <v>0.84</v>
      </c>
      <c r="I423" s="490">
        <v>0.78</v>
      </c>
      <c r="J423" s="490">
        <v>0.72</v>
      </c>
      <c r="K423" s="490">
        <v>0.65</v>
      </c>
      <c r="L423" s="490">
        <v>0.57999999999999996</v>
      </c>
      <c r="M423" s="490">
        <v>0.51</v>
      </c>
      <c r="P423" s="492"/>
      <c r="Q423" s="492"/>
      <c r="R423" s="492"/>
      <c r="S423" s="492"/>
      <c r="T423" s="492"/>
      <c r="U423" s="492"/>
      <c r="W423" s="492"/>
      <c r="X423" s="492"/>
      <c r="Y423" s="492"/>
      <c r="Z423" s="492"/>
      <c r="AA423" s="492"/>
      <c r="AB423" s="492"/>
      <c r="AD423" s="492"/>
      <c r="AE423" s="492"/>
      <c r="AF423" s="492"/>
      <c r="AG423" s="492"/>
      <c r="AH423" s="492"/>
      <c r="AI423" s="492"/>
      <c r="AJ423" s="492"/>
      <c r="AK423" s="492"/>
      <c r="AL423" s="492"/>
      <c r="AM423" s="492"/>
      <c r="AN423" s="492"/>
      <c r="AO423" s="492"/>
      <c r="AP423" s="492"/>
      <c r="AQ423" s="492"/>
      <c r="AR423" s="492"/>
      <c r="AS423" s="492"/>
      <c r="AT423" s="492"/>
      <c r="AU423" s="492"/>
      <c r="AV423" s="492"/>
      <c r="AW423" s="492"/>
      <c r="AX423" s="492"/>
      <c r="AY423" s="492"/>
      <c r="AZ423" s="492"/>
      <c r="BA423" s="492"/>
      <c r="BB423" s="492"/>
      <c r="BC423" s="492"/>
      <c r="BD423" s="492"/>
      <c r="BE423" s="492"/>
      <c r="BF423" s="492"/>
      <c r="BG423" s="492"/>
      <c r="BH423" s="492"/>
      <c r="BI423" s="492"/>
      <c r="BJ423" s="492"/>
      <c r="BK423" s="492"/>
      <c r="BL423" s="492"/>
      <c r="BM423" s="492"/>
      <c r="BN423" s="492"/>
      <c r="BO423" s="492"/>
      <c r="BP423" s="492"/>
      <c r="BQ423" s="492"/>
      <c r="BR423" s="492"/>
      <c r="BS423" s="492"/>
      <c r="BT423" s="492"/>
      <c r="BU423" s="492"/>
      <c r="BV423" s="492"/>
      <c r="BW423" s="492"/>
      <c r="BX423" s="492"/>
      <c r="BY423" s="492"/>
      <c r="BZ423" s="492"/>
      <c r="CA423" s="492"/>
      <c r="CB423" s="492"/>
      <c r="CC423" s="492"/>
      <c r="CD423" s="492"/>
      <c r="CE423" s="492"/>
      <c r="CF423" s="492"/>
      <c r="CG423" s="492"/>
      <c r="CH423" s="492"/>
      <c r="CI423" s="492"/>
      <c r="CJ423" s="492"/>
      <c r="CK423" s="492"/>
      <c r="CL423" s="492"/>
      <c r="CM423" s="492"/>
      <c r="CN423" s="492"/>
      <c r="CO423" s="492"/>
      <c r="CP423" s="492"/>
      <c r="CQ423" s="492"/>
      <c r="CR423" s="492"/>
      <c r="CS423" s="492"/>
      <c r="CT423" s="492"/>
    </row>
    <row r="424" spans="3:98" ht="15.75" thickBot="1" x14ac:dyDescent="0.3">
      <c r="C424" s="489">
        <v>270</v>
      </c>
      <c r="D424" s="490">
        <v>0.95</v>
      </c>
      <c r="E424" s="490">
        <v>0.95</v>
      </c>
      <c r="F424" s="491">
        <v>0.94</v>
      </c>
      <c r="G424" s="490">
        <v>0.91</v>
      </c>
      <c r="H424" s="490">
        <v>0.86</v>
      </c>
      <c r="I424" s="490">
        <v>0.8</v>
      </c>
      <c r="J424" s="490">
        <v>0.74</v>
      </c>
      <c r="K424" s="490">
        <v>0.67</v>
      </c>
      <c r="L424" s="490">
        <v>0.61</v>
      </c>
      <c r="M424" s="490">
        <v>0.53</v>
      </c>
      <c r="P424" s="492"/>
      <c r="Q424" s="492"/>
      <c r="R424" s="492"/>
      <c r="S424" s="492"/>
      <c r="T424" s="492"/>
      <c r="U424" s="492"/>
      <c r="W424" s="492"/>
      <c r="X424" s="492"/>
      <c r="Y424" s="492"/>
      <c r="Z424" s="492"/>
      <c r="AA424" s="492"/>
      <c r="AB424" s="492"/>
      <c r="AD424" s="492"/>
      <c r="AE424" s="492"/>
      <c r="AF424" s="492"/>
      <c r="AG424" s="492"/>
      <c r="AH424" s="492"/>
      <c r="AI424" s="492"/>
      <c r="AJ424" s="492"/>
      <c r="AK424" s="492"/>
      <c r="AL424" s="492"/>
      <c r="AM424" s="492"/>
      <c r="AN424" s="492"/>
      <c r="AO424" s="492"/>
      <c r="AP424" s="492"/>
      <c r="AQ424" s="492"/>
      <c r="AR424" s="492"/>
      <c r="AS424" s="492"/>
      <c r="AT424" s="492"/>
      <c r="AU424" s="492"/>
      <c r="AV424" s="492"/>
      <c r="AW424" s="492"/>
      <c r="AX424" s="492"/>
      <c r="AY424" s="492"/>
      <c r="AZ424" s="492"/>
      <c r="BA424" s="492"/>
      <c r="BB424" s="492"/>
      <c r="BC424" s="492"/>
      <c r="BD424" s="492"/>
      <c r="BE424" s="492"/>
      <c r="BF424" s="492"/>
      <c r="BG424" s="492"/>
      <c r="BH424" s="492"/>
      <c r="BI424" s="492"/>
      <c r="BJ424" s="492"/>
      <c r="BK424" s="492"/>
      <c r="BL424" s="492"/>
      <c r="BM424" s="492"/>
      <c r="BN424" s="492"/>
      <c r="BO424" s="492"/>
      <c r="BP424" s="492"/>
      <c r="BQ424" s="492"/>
      <c r="BR424" s="492"/>
      <c r="BS424" s="492"/>
      <c r="BT424" s="492"/>
      <c r="BU424" s="492"/>
      <c r="BV424" s="492"/>
      <c r="BW424" s="492"/>
      <c r="BX424" s="492"/>
      <c r="BY424" s="492"/>
      <c r="BZ424" s="492"/>
      <c r="CA424" s="492"/>
      <c r="CB424" s="492"/>
      <c r="CC424" s="492"/>
      <c r="CD424" s="492"/>
      <c r="CE424" s="492"/>
      <c r="CF424" s="492"/>
      <c r="CG424" s="492"/>
      <c r="CH424" s="492"/>
      <c r="CI424" s="492"/>
      <c r="CJ424" s="492"/>
      <c r="CK424" s="492"/>
      <c r="CL424" s="492"/>
      <c r="CM424" s="492"/>
      <c r="CN424" s="492"/>
      <c r="CO424" s="492"/>
      <c r="CP424" s="492"/>
      <c r="CQ424" s="492"/>
      <c r="CR424" s="492"/>
      <c r="CS424" s="492"/>
      <c r="CT424" s="492"/>
    </row>
    <row r="425" spans="3:98" ht="15.75" thickBot="1" x14ac:dyDescent="0.3">
      <c r="C425" s="489">
        <v>280</v>
      </c>
      <c r="D425" s="490">
        <v>0.95</v>
      </c>
      <c r="E425" s="490">
        <v>0.96</v>
      </c>
      <c r="F425" s="491">
        <v>0.95</v>
      </c>
      <c r="G425" s="490">
        <v>0.92</v>
      </c>
      <c r="H425" s="490">
        <v>0.88</v>
      </c>
      <c r="I425" s="490">
        <v>0.83</v>
      </c>
      <c r="J425" s="490">
        <v>0.76</v>
      </c>
      <c r="K425" s="490">
        <v>0.69</v>
      </c>
      <c r="L425" s="490">
        <v>0.62</v>
      </c>
      <c r="M425" s="490">
        <v>0.55000000000000004</v>
      </c>
      <c r="P425" s="492"/>
      <c r="Q425" s="492"/>
      <c r="R425" s="492"/>
      <c r="S425" s="492"/>
      <c r="T425" s="492"/>
      <c r="U425" s="492"/>
      <c r="W425" s="492"/>
      <c r="X425" s="492"/>
      <c r="Y425" s="492"/>
      <c r="Z425" s="492"/>
      <c r="AA425" s="492"/>
      <c r="AB425" s="492"/>
      <c r="AD425" s="492"/>
      <c r="AE425" s="492"/>
      <c r="AF425" s="492"/>
      <c r="AG425" s="492"/>
      <c r="AH425" s="492"/>
      <c r="AI425" s="492"/>
      <c r="AJ425" s="492"/>
      <c r="AK425" s="492"/>
      <c r="AL425" s="492"/>
      <c r="AM425" s="492"/>
      <c r="AN425" s="492"/>
      <c r="AO425" s="492"/>
      <c r="AP425" s="492"/>
      <c r="AQ425" s="492"/>
      <c r="AR425" s="492"/>
      <c r="AS425" s="492"/>
      <c r="AT425" s="492"/>
      <c r="AU425" s="492"/>
      <c r="AV425" s="492"/>
      <c r="AW425" s="492"/>
      <c r="AX425" s="492"/>
      <c r="AY425" s="492"/>
      <c r="AZ425" s="492"/>
      <c r="BA425" s="492"/>
      <c r="BB425" s="492"/>
      <c r="BC425" s="492"/>
      <c r="BD425" s="492"/>
      <c r="BE425" s="492"/>
      <c r="BF425" s="492"/>
      <c r="BG425" s="492"/>
      <c r="BH425" s="492"/>
      <c r="BI425" s="492"/>
      <c r="BJ425" s="492"/>
      <c r="BK425" s="492"/>
      <c r="BL425" s="492"/>
      <c r="BM425" s="492"/>
      <c r="BN425" s="492"/>
      <c r="BO425" s="492"/>
      <c r="BP425" s="492"/>
      <c r="BQ425" s="492"/>
      <c r="BR425" s="492"/>
      <c r="BS425" s="492"/>
      <c r="BT425" s="492"/>
      <c r="BU425" s="492"/>
      <c r="BV425" s="492"/>
      <c r="BW425" s="492"/>
      <c r="BX425" s="492"/>
      <c r="BY425" s="492"/>
      <c r="BZ425" s="492"/>
      <c r="CA425" s="492"/>
      <c r="CB425" s="492"/>
      <c r="CC425" s="492"/>
      <c r="CD425" s="492"/>
      <c r="CE425" s="492"/>
      <c r="CF425" s="492"/>
      <c r="CG425" s="492"/>
      <c r="CH425" s="492"/>
      <c r="CI425" s="492"/>
      <c r="CJ425" s="492"/>
      <c r="CK425" s="492"/>
      <c r="CL425" s="492"/>
      <c r="CM425" s="492"/>
      <c r="CN425" s="492"/>
      <c r="CO425" s="492"/>
      <c r="CP425" s="492"/>
      <c r="CQ425" s="492"/>
      <c r="CR425" s="492"/>
      <c r="CS425" s="492"/>
      <c r="CT425" s="492"/>
    </row>
    <row r="426" spans="3:98" ht="15.75" thickBot="1" x14ac:dyDescent="0.3">
      <c r="C426" s="489">
        <v>290</v>
      </c>
      <c r="D426" s="490">
        <v>0.95</v>
      </c>
      <c r="E426" s="490">
        <v>0.97</v>
      </c>
      <c r="F426" s="491">
        <v>0.96</v>
      </c>
      <c r="G426" s="490">
        <v>0.94</v>
      </c>
      <c r="H426" s="490">
        <v>0.9</v>
      </c>
      <c r="I426" s="490">
        <v>0.84</v>
      </c>
      <c r="J426" s="490">
        <v>0.78</v>
      </c>
      <c r="K426" s="490">
        <v>0.71</v>
      </c>
      <c r="L426" s="490">
        <v>0.63</v>
      </c>
      <c r="M426" s="490">
        <v>0.55000000000000004</v>
      </c>
      <c r="P426" s="492"/>
      <c r="Q426" s="492"/>
      <c r="R426" s="492"/>
      <c r="S426" s="492"/>
      <c r="T426" s="492"/>
      <c r="U426" s="492"/>
      <c r="W426" s="492"/>
      <c r="X426" s="492"/>
      <c r="Y426" s="492"/>
      <c r="Z426" s="492"/>
      <c r="AA426" s="492"/>
      <c r="AB426" s="492"/>
      <c r="AD426" s="492"/>
      <c r="AE426" s="492"/>
      <c r="AF426" s="492"/>
      <c r="AG426" s="492"/>
      <c r="AH426" s="492"/>
      <c r="AI426" s="492"/>
      <c r="AJ426" s="492"/>
      <c r="AK426" s="492"/>
      <c r="AL426" s="492"/>
      <c r="AM426" s="492"/>
      <c r="AN426" s="492"/>
      <c r="AO426" s="492"/>
      <c r="AP426" s="492"/>
      <c r="AQ426" s="492"/>
      <c r="AR426" s="492"/>
      <c r="AS426" s="492"/>
      <c r="AT426" s="492"/>
      <c r="AU426" s="492"/>
      <c r="AV426" s="492"/>
      <c r="AW426" s="492"/>
      <c r="AX426" s="492"/>
      <c r="AY426" s="492"/>
      <c r="AZ426" s="492"/>
      <c r="BA426" s="492"/>
      <c r="BB426" s="492"/>
      <c r="BC426" s="492"/>
      <c r="BD426" s="492"/>
      <c r="BE426" s="492"/>
      <c r="BF426" s="492"/>
      <c r="BG426" s="492"/>
      <c r="BH426" s="492"/>
      <c r="BI426" s="492"/>
      <c r="BJ426" s="492"/>
      <c r="BK426" s="492"/>
      <c r="BL426" s="492"/>
      <c r="BM426" s="492"/>
      <c r="BN426" s="492"/>
      <c r="BO426" s="492"/>
      <c r="BP426" s="492"/>
      <c r="BQ426" s="492"/>
      <c r="BR426" s="492"/>
      <c r="BS426" s="492"/>
      <c r="BT426" s="492"/>
      <c r="BU426" s="492"/>
      <c r="BV426" s="492"/>
      <c r="BW426" s="492"/>
      <c r="BX426" s="492"/>
      <c r="BY426" s="492"/>
      <c r="BZ426" s="492"/>
      <c r="CA426" s="492"/>
      <c r="CB426" s="492"/>
      <c r="CC426" s="492"/>
      <c r="CD426" s="492"/>
      <c r="CE426" s="492"/>
      <c r="CF426" s="492"/>
      <c r="CG426" s="492"/>
      <c r="CH426" s="492"/>
      <c r="CI426" s="492"/>
      <c r="CJ426" s="492"/>
      <c r="CK426" s="492"/>
      <c r="CL426" s="492"/>
      <c r="CM426" s="492"/>
      <c r="CN426" s="492"/>
      <c r="CO426" s="492"/>
      <c r="CP426" s="492"/>
      <c r="CQ426" s="492"/>
      <c r="CR426" s="492"/>
      <c r="CS426" s="492"/>
      <c r="CT426" s="492"/>
    </row>
    <row r="427" spans="3:98" ht="15.75" thickBot="1" x14ac:dyDescent="0.3">
      <c r="C427" s="489">
        <v>300</v>
      </c>
      <c r="D427" s="490">
        <v>0.95</v>
      </c>
      <c r="E427" s="490">
        <v>0.97</v>
      </c>
      <c r="F427" s="491">
        <v>0.97</v>
      </c>
      <c r="G427" s="490">
        <v>0.95</v>
      </c>
      <c r="H427" s="490">
        <v>0.91</v>
      </c>
      <c r="I427" s="490">
        <v>0.86</v>
      </c>
      <c r="J427" s="490">
        <v>0.79</v>
      </c>
      <c r="K427" s="490">
        <v>0.72</v>
      </c>
      <c r="L427" s="490">
        <v>0.64</v>
      </c>
      <c r="M427" s="490">
        <v>0.56000000000000005</v>
      </c>
      <c r="P427" s="492"/>
      <c r="Q427" s="492"/>
      <c r="R427" s="492"/>
      <c r="S427" s="492"/>
      <c r="T427" s="492"/>
      <c r="U427" s="492"/>
      <c r="W427" s="492"/>
      <c r="X427" s="492"/>
      <c r="Y427" s="492"/>
      <c r="Z427" s="492"/>
      <c r="AA427" s="492"/>
      <c r="AB427" s="492"/>
      <c r="AD427" s="492"/>
      <c r="AE427" s="492"/>
      <c r="AF427" s="492"/>
      <c r="AG427" s="492"/>
      <c r="AH427" s="492"/>
      <c r="AI427" s="492"/>
      <c r="AJ427" s="492"/>
      <c r="AK427" s="492"/>
      <c r="AL427" s="492"/>
      <c r="AM427" s="492"/>
      <c r="AN427" s="492"/>
      <c r="AO427" s="492"/>
      <c r="AP427" s="492"/>
      <c r="AQ427" s="492"/>
      <c r="AR427" s="492"/>
      <c r="AS427" s="492"/>
      <c r="AT427" s="492"/>
      <c r="AU427" s="492"/>
      <c r="AV427" s="492"/>
      <c r="AW427" s="492"/>
      <c r="AX427" s="492"/>
      <c r="AY427" s="492"/>
      <c r="AZ427" s="492"/>
      <c r="BA427" s="492"/>
      <c r="BB427" s="492"/>
      <c r="BC427" s="492"/>
      <c r="BD427" s="492"/>
      <c r="BE427" s="492"/>
      <c r="BF427" s="492"/>
      <c r="BG427" s="492"/>
      <c r="BH427" s="492"/>
      <c r="BI427" s="492"/>
      <c r="BJ427" s="492"/>
      <c r="BK427" s="492"/>
      <c r="BL427" s="492"/>
      <c r="BM427" s="492"/>
      <c r="BN427" s="492"/>
      <c r="BO427" s="492"/>
      <c r="BP427" s="492"/>
      <c r="BQ427" s="492"/>
      <c r="BR427" s="492"/>
      <c r="BS427" s="492"/>
      <c r="BT427" s="492"/>
      <c r="BU427" s="492"/>
      <c r="BV427" s="492"/>
      <c r="BW427" s="492"/>
      <c r="BX427" s="492"/>
      <c r="BY427" s="492"/>
      <c r="BZ427" s="492"/>
      <c r="CA427" s="492"/>
      <c r="CB427" s="492"/>
      <c r="CC427" s="492"/>
      <c r="CD427" s="492"/>
      <c r="CE427" s="492"/>
      <c r="CF427" s="492"/>
      <c r="CG427" s="492"/>
      <c r="CH427" s="492"/>
      <c r="CI427" s="492"/>
      <c r="CJ427" s="492"/>
      <c r="CK427" s="492"/>
      <c r="CL427" s="492"/>
      <c r="CM427" s="492"/>
      <c r="CN427" s="492"/>
      <c r="CO427" s="492"/>
      <c r="CP427" s="492"/>
      <c r="CQ427" s="492"/>
      <c r="CR427" s="492"/>
      <c r="CS427" s="492"/>
      <c r="CT427" s="492"/>
    </row>
    <row r="428" spans="3:98" ht="15.75" thickBot="1" x14ac:dyDescent="0.3">
      <c r="C428" s="489">
        <v>310</v>
      </c>
      <c r="D428" s="490">
        <v>0.95</v>
      </c>
      <c r="E428" s="490">
        <v>0.98</v>
      </c>
      <c r="F428" s="491">
        <v>0.98</v>
      </c>
      <c r="G428" s="490">
        <v>0.96</v>
      </c>
      <c r="H428" s="490">
        <v>0.93</v>
      </c>
      <c r="I428" s="490">
        <v>0.87</v>
      </c>
      <c r="J428" s="490">
        <v>0.8</v>
      </c>
      <c r="K428" s="490">
        <v>0.73</v>
      </c>
      <c r="L428" s="490">
        <v>0.64</v>
      </c>
      <c r="M428" s="490">
        <v>0.55000000000000004</v>
      </c>
      <c r="P428" s="492"/>
      <c r="Q428" s="492"/>
      <c r="R428" s="492"/>
      <c r="S428" s="492"/>
      <c r="T428" s="492"/>
      <c r="U428" s="492"/>
      <c r="W428" s="492"/>
      <c r="X428" s="492"/>
      <c r="Y428" s="492"/>
      <c r="Z428" s="492"/>
      <c r="AA428" s="492"/>
      <c r="AB428" s="492"/>
      <c r="AD428" s="492"/>
      <c r="AE428" s="492"/>
      <c r="AF428" s="492"/>
      <c r="AG428" s="492"/>
      <c r="AH428" s="492"/>
      <c r="AI428" s="492"/>
      <c r="AJ428" s="492"/>
      <c r="AK428" s="492"/>
      <c r="AL428" s="492"/>
      <c r="AM428" s="492"/>
      <c r="AN428" s="492"/>
      <c r="AO428" s="492"/>
      <c r="AP428" s="492"/>
      <c r="AQ428" s="492"/>
      <c r="AR428" s="492"/>
      <c r="AS428" s="492"/>
      <c r="AT428" s="492"/>
      <c r="AU428" s="492"/>
      <c r="AV428" s="492"/>
      <c r="AW428" s="492"/>
      <c r="AX428" s="492"/>
      <c r="AY428" s="492"/>
      <c r="AZ428" s="492"/>
      <c r="BA428" s="492"/>
      <c r="BB428" s="492"/>
      <c r="BC428" s="492"/>
      <c r="BD428" s="492"/>
      <c r="BE428" s="492"/>
      <c r="BF428" s="492"/>
      <c r="BG428" s="492"/>
      <c r="BH428" s="492"/>
      <c r="BI428" s="492"/>
      <c r="BJ428" s="492"/>
      <c r="BK428" s="492"/>
      <c r="BL428" s="492"/>
      <c r="BM428" s="492"/>
      <c r="BN428" s="492"/>
      <c r="BO428" s="492"/>
      <c r="BP428" s="492"/>
      <c r="BQ428" s="492"/>
      <c r="BR428" s="492"/>
      <c r="BS428" s="492"/>
      <c r="BT428" s="492"/>
      <c r="BU428" s="492"/>
      <c r="BV428" s="492"/>
      <c r="BW428" s="492"/>
      <c r="BX428" s="492"/>
      <c r="BY428" s="492"/>
      <c r="BZ428" s="492"/>
      <c r="CA428" s="492"/>
      <c r="CB428" s="492"/>
      <c r="CC428" s="492"/>
      <c r="CD428" s="492"/>
      <c r="CE428" s="492"/>
      <c r="CF428" s="492"/>
      <c r="CG428" s="492"/>
      <c r="CH428" s="492"/>
      <c r="CI428" s="492"/>
      <c r="CJ428" s="492"/>
      <c r="CK428" s="492"/>
      <c r="CL428" s="492"/>
      <c r="CM428" s="492"/>
      <c r="CN428" s="492"/>
      <c r="CO428" s="492"/>
      <c r="CP428" s="492"/>
      <c r="CQ428" s="492"/>
      <c r="CR428" s="492"/>
      <c r="CS428" s="492"/>
      <c r="CT428" s="492"/>
    </row>
    <row r="429" spans="3:98" ht="15.75" thickBot="1" x14ac:dyDescent="0.3">
      <c r="C429" s="489">
        <v>320</v>
      </c>
      <c r="D429" s="490">
        <v>0.95</v>
      </c>
      <c r="E429" s="490">
        <v>0.98</v>
      </c>
      <c r="F429" s="491">
        <v>0.99</v>
      </c>
      <c r="G429" s="490">
        <v>0.97</v>
      </c>
      <c r="H429" s="490">
        <v>0.94</v>
      </c>
      <c r="I429" s="490">
        <v>0.88</v>
      </c>
      <c r="J429" s="490">
        <v>0.81</v>
      </c>
      <c r="K429" s="490">
        <v>0.73</v>
      </c>
      <c r="L429" s="490">
        <v>0.64</v>
      </c>
      <c r="M429" s="490">
        <v>0.55000000000000004</v>
      </c>
      <c r="P429" s="492"/>
      <c r="Q429" s="492"/>
      <c r="R429" s="492"/>
      <c r="S429" s="492"/>
      <c r="T429" s="492"/>
      <c r="U429" s="492"/>
      <c r="W429" s="492"/>
      <c r="X429" s="492"/>
      <c r="Y429" s="492"/>
      <c r="Z429" s="492"/>
      <c r="AA429" s="492"/>
      <c r="AB429" s="492"/>
      <c r="AD429" s="492"/>
      <c r="AE429" s="492"/>
      <c r="AF429" s="492"/>
      <c r="AG429" s="492"/>
      <c r="AH429" s="492"/>
      <c r="AI429" s="492"/>
      <c r="AJ429" s="492"/>
      <c r="AK429" s="492"/>
      <c r="AL429" s="492"/>
      <c r="AM429" s="492"/>
      <c r="AN429" s="492"/>
      <c r="AO429" s="492"/>
      <c r="AP429" s="492"/>
      <c r="AQ429" s="492"/>
      <c r="AR429" s="492"/>
      <c r="AS429" s="492"/>
      <c r="AT429" s="492"/>
      <c r="AU429" s="492"/>
      <c r="AV429" s="492"/>
      <c r="AW429" s="492"/>
      <c r="AX429" s="492"/>
      <c r="AY429" s="492"/>
      <c r="AZ429" s="492"/>
      <c r="BA429" s="492"/>
      <c r="BB429" s="492"/>
      <c r="BC429" s="492"/>
      <c r="BD429" s="492"/>
      <c r="BE429" s="492"/>
      <c r="BF429" s="492"/>
      <c r="BG429" s="492"/>
      <c r="BH429" s="492"/>
      <c r="BI429" s="492"/>
      <c r="BJ429" s="492"/>
      <c r="BK429" s="492"/>
      <c r="BL429" s="492"/>
      <c r="BM429" s="492"/>
      <c r="BN429" s="492"/>
      <c r="BO429" s="492"/>
      <c r="BP429" s="492"/>
      <c r="BQ429" s="492"/>
      <c r="BR429" s="492"/>
      <c r="BS429" s="492"/>
      <c r="BT429" s="492"/>
      <c r="BU429" s="492"/>
      <c r="BV429" s="492"/>
      <c r="BW429" s="492"/>
      <c r="BX429" s="492"/>
      <c r="BY429" s="492"/>
      <c r="BZ429" s="492"/>
      <c r="CA429" s="492"/>
      <c r="CB429" s="492"/>
      <c r="CC429" s="492"/>
      <c r="CD429" s="492"/>
      <c r="CE429" s="492"/>
      <c r="CF429" s="492"/>
      <c r="CG429" s="492"/>
      <c r="CH429" s="492"/>
      <c r="CI429" s="492"/>
      <c r="CJ429" s="492"/>
      <c r="CK429" s="492"/>
      <c r="CL429" s="492"/>
      <c r="CM429" s="492"/>
      <c r="CN429" s="492"/>
      <c r="CO429" s="492"/>
      <c r="CP429" s="492"/>
      <c r="CQ429" s="492"/>
      <c r="CR429" s="492"/>
      <c r="CS429" s="492"/>
      <c r="CT429" s="492"/>
    </row>
    <row r="430" spans="3:98" ht="15.75" thickBot="1" x14ac:dyDescent="0.3">
      <c r="C430" s="489">
        <v>330</v>
      </c>
      <c r="D430" s="490">
        <v>0.95</v>
      </c>
      <c r="E430" s="490">
        <v>0.98</v>
      </c>
      <c r="F430" s="491">
        <v>0.99</v>
      </c>
      <c r="G430" s="490">
        <v>0.98</v>
      </c>
      <c r="H430" s="490">
        <v>0.94</v>
      </c>
      <c r="I430" s="490">
        <v>0.89</v>
      </c>
      <c r="J430" s="490">
        <v>0.81</v>
      </c>
      <c r="K430" s="490">
        <v>0.73</v>
      </c>
      <c r="L430" s="490">
        <v>0.63</v>
      </c>
      <c r="M430" s="490">
        <v>0.54</v>
      </c>
      <c r="P430" s="492"/>
      <c r="Q430" s="492"/>
      <c r="R430" s="492"/>
      <c r="S430" s="492"/>
      <c r="T430" s="492"/>
      <c r="U430" s="492"/>
      <c r="W430" s="492"/>
      <c r="X430" s="492"/>
      <c r="Y430" s="492"/>
      <c r="Z430" s="492"/>
      <c r="AA430" s="492"/>
      <c r="AB430" s="492"/>
      <c r="AD430" s="492"/>
      <c r="AE430" s="492"/>
      <c r="AF430" s="492"/>
      <c r="AG430" s="492"/>
      <c r="AH430" s="492"/>
      <c r="AI430" s="492"/>
      <c r="AJ430" s="492"/>
      <c r="AK430" s="492"/>
      <c r="AL430" s="492"/>
      <c r="AM430" s="492"/>
      <c r="AN430" s="492"/>
      <c r="AO430" s="492"/>
      <c r="AP430" s="492"/>
      <c r="AQ430" s="492"/>
      <c r="AR430" s="492"/>
      <c r="AS430" s="492"/>
      <c r="AT430" s="492"/>
      <c r="AU430" s="492"/>
      <c r="AV430" s="492"/>
      <c r="AW430" s="492"/>
      <c r="AX430" s="492"/>
      <c r="AY430" s="492"/>
      <c r="AZ430" s="492"/>
      <c r="BA430" s="492"/>
      <c r="BB430" s="492"/>
      <c r="BC430" s="492"/>
      <c r="BD430" s="492"/>
      <c r="BE430" s="492"/>
      <c r="BF430" s="492"/>
      <c r="BG430" s="492"/>
      <c r="BH430" s="492"/>
      <c r="BI430" s="492"/>
      <c r="BJ430" s="492"/>
      <c r="BK430" s="492"/>
      <c r="BL430" s="492"/>
      <c r="BM430" s="492"/>
      <c r="BN430" s="492"/>
      <c r="BO430" s="492"/>
      <c r="BP430" s="492"/>
      <c r="BQ430" s="492"/>
      <c r="BR430" s="492"/>
      <c r="BS430" s="492"/>
      <c r="BT430" s="492"/>
      <c r="BU430" s="492"/>
      <c r="BV430" s="492"/>
      <c r="BW430" s="492"/>
      <c r="BX430" s="492"/>
      <c r="BY430" s="492"/>
      <c r="BZ430" s="492"/>
      <c r="CA430" s="492"/>
      <c r="CB430" s="492"/>
      <c r="CC430" s="492"/>
      <c r="CD430" s="492"/>
      <c r="CE430" s="492"/>
      <c r="CF430" s="492"/>
      <c r="CG430" s="492"/>
      <c r="CH430" s="492"/>
      <c r="CI430" s="492"/>
      <c r="CJ430" s="492"/>
      <c r="CK430" s="492"/>
      <c r="CL430" s="492"/>
      <c r="CM430" s="492"/>
      <c r="CN430" s="492"/>
      <c r="CO430" s="492"/>
      <c r="CP430" s="492"/>
      <c r="CQ430" s="492"/>
      <c r="CR430" s="492"/>
      <c r="CS430" s="492"/>
      <c r="CT430" s="492"/>
    </row>
    <row r="431" spans="3:98" ht="15.75" thickBot="1" x14ac:dyDescent="0.3">
      <c r="C431" s="489">
        <v>340</v>
      </c>
      <c r="D431" s="490">
        <v>0.95</v>
      </c>
      <c r="E431" s="490">
        <v>0.98</v>
      </c>
      <c r="F431" s="490">
        <v>1</v>
      </c>
      <c r="G431" s="490">
        <v>0.98</v>
      </c>
      <c r="H431" s="490">
        <v>0.95</v>
      </c>
      <c r="I431" s="490">
        <v>0.9</v>
      </c>
      <c r="J431" s="490">
        <v>0.82</v>
      </c>
      <c r="K431" s="490">
        <v>0.73</v>
      </c>
      <c r="L431" s="490">
        <v>0.63</v>
      </c>
      <c r="M431" s="490">
        <v>0.53</v>
      </c>
      <c r="P431" s="492"/>
      <c r="Q431" s="492"/>
      <c r="R431" s="492"/>
      <c r="S431" s="492"/>
      <c r="T431" s="492"/>
      <c r="U431" s="492"/>
      <c r="W431" s="492"/>
      <c r="X431" s="492"/>
      <c r="Y431" s="492"/>
      <c r="Z431" s="492"/>
      <c r="AA431" s="492"/>
      <c r="AB431" s="492"/>
      <c r="AD431" s="492"/>
      <c r="AE431" s="492"/>
      <c r="AF431" s="492"/>
      <c r="AG431" s="492"/>
      <c r="AH431" s="492"/>
      <c r="AI431" s="492"/>
      <c r="AJ431" s="492"/>
      <c r="AK431" s="492"/>
      <c r="AL431" s="492"/>
      <c r="AM431" s="492"/>
      <c r="AN431" s="492"/>
      <c r="AO431" s="492"/>
      <c r="AP431" s="492"/>
      <c r="AQ431" s="492"/>
      <c r="AR431" s="492"/>
      <c r="AS431" s="492"/>
      <c r="AT431" s="492"/>
      <c r="AU431" s="492"/>
      <c r="AV431" s="492"/>
      <c r="AW431" s="492"/>
      <c r="AX431" s="492"/>
      <c r="AY431" s="492"/>
      <c r="AZ431" s="492"/>
      <c r="BA431" s="492"/>
      <c r="BB431" s="492"/>
      <c r="BC431" s="492"/>
      <c r="BD431" s="492"/>
      <c r="BE431" s="492"/>
      <c r="BF431" s="492"/>
      <c r="BG431" s="492"/>
      <c r="BH431" s="492"/>
      <c r="BI431" s="492"/>
      <c r="BJ431" s="492"/>
      <c r="BK431" s="492"/>
      <c r="BL431" s="492"/>
      <c r="BM431" s="492"/>
      <c r="BN431" s="492"/>
      <c r="BO431" s="492"/>
      <c r="BP431" s="492"/>
      <c r="BQ431" s="492"/>
      <c r="BR431" s="492"/>
      <c r="BS431" s="492"/>
      <c r="BT431" s="492"/>
      <c r="BU431" s="492"/>
      <c r="BV431" s="492"/>
      <c r="BW431" s="492"/>
      <c r="BX431" s="492"/>
      <c r="BY431" s="492"/>
      <c r="BZ431" s="492"/>
      <c r="CA431" s="492"/>
      <c r="CB431" s="492"/>
      <c r="CC431" s="492"/>
      <c r="CD431" s="492"/>
      <c r="CE431" s="492"/>
      <c r="CF431" s="492"/>
      <c r="CG431" s="492"/>
      <c r="CH431" s="492"/>
      <c r="CI431" s="492"/>
      <c r="CJ431" s="492"/>
      <c r="CK431" s="492"/>
      <c r="CL431" s="492"/>
      <c r="CM431" s="492"/>
      <c r="CN431" s="492"/>
      <c r="CO431" s="492"/>
      <c r="CP431" s="492"/>
      <c r="CQ431" s="492"/>
      <c r="CR431" s="492"/>
      <c r="CS431" s="492"/>
      <c r="CT431" s="492"/>
    </row>
    <row r="432" spans="3:98" ht="15.75" thickBot="1" x14ac:dyDescent="0.3">
      <c r="C432" s="489">
        <v>350</v>
      </c>
      <c r="D432" s="490">
        <v>0.95</v>
      </c>
      <c r="E432" s="490">
        <v>0.99</v>
      </c>
      <c r="F432" s="490">
        <v>1</v>
      </c>
      <c r="G432" s="490">
        <v>0.99</v>
      </c>
      <c r="H432" s="490">
        <v>0.95</v>
      </c>
      <c r="I432" s="490">
        <v>0.9</v>
      </c>
      <c r="J432" s="490">
        <v>0.82</v>
      </c>
      <c r="K432" s="490">
        <v>0.73</v>
      </c>
      <c r="L432" s="490">
        <v>0.62</v>
      </c>
      <c r="M432" s="490">
        <v>0.52</v>
      </c>
      <c r="P432" s="492"/>
      <c r="Q432" s="492"/>
      <c r="R432" s="492"/>
      <c r="S432" s="492"/>
      <c r="T432" s="492"/>
      <c r="U432" s="492"/>
      <c r="W432" s="492"/>
      <c r="X432" s="492"/>
      <c r="Y432" s="492"/>
      <c r="Z432" s="492"/>
      <c r="AA432" s="492"/>
      <c r="AB432" s="492"/>
      <c r="AD432" s="492"/>
      <c r="AE432" s="492"/>
      <c r="AF432" s="492"/>
      <c r="AG432" s="492"/>
      <c r="AH432" s="492"/>
      <c r="AI432" s="492"/>
      <c r="AJ432" s="492"/>
      <c r="AK432" s="492"/>
      <c r="AL432" s="492"/>
      <c r="AM432" s="492"/>
      <c r="AN432" s="492"/>
      <c r="AO432" s="492"/>
      <c r="AP432" s="492"/>
      <c r="AQ432" s="492"/>
      <c r="AR432" s="492"/>
      <c r="AS432" s="492"/>
      <c r="AT432" s="492"/>
      <c r="AU432" s="492"/>
      <c r="AV432" s="492"/>
      <c r="AW432" s="492"/>
      <c r="AX432" s="492"/>
      <c r="AY432" s="492"/>
      <c r="AZ432" s="492"/>
      <c r="BA432" s="492"/>
      <c r="BB432" s="492"/>
      <c r="BC432" s="492"/>
      <c r="BD432" s="492"/>
      <c r="BE432" s="492"/>
      <c r="BF432" s="492"/>
      <c r="BG432" s="492"/>
      <c r="BH432" s="492"/>
      <c r="BI432" s="492"/>
      <c r="BJ432" s="492"/>
      <c r="BK432" s="492"/>
      <c r="BL432" s="492"/>
      <c r="BM432" s="492"/>
      <c r="BN432" s="492"/>
      <c r="BO432" s="492"/>
      <c r="BP432" s="492"/>
      <c r="BQ432" s="492"/>
      <c r="BR432" s="492"/>
      <c r="BS432" s="492"/>
      <c r="BT432" s="492"/>
      <c r="BU432" s="492"/>
      <c r="BV432" s="492"/>
      <c r="BW432" s="492"/>
      <c r="BX432" s="492"/>
      <c r="BY432" s="492"/>
      <c r="BZ432" s="492"/>
      <c r="CA432" s="492"/>
      <c r="CB432" s="492"/>
      <c r="CC432" s="492"/>
      <c r="CD432" s="492"/>
      <c r="CE432" s="492"/>
      <c r="CF432" s="492"/>
      <c r="CG432" s="492"/>
      <c r="CH432" s="492"/>
      <c r="CI432" s="492"/>
      <c r="CJ432" s="492"/>
      <c r="CK432" s="492"/>
      <c r="CL432" s="492"/>
      <c r="CM432" s="492"/>
      <c r="CN432" s="492"/>
      <c r="CO432" s="492"/>
      <c r="CP432" s="492"/>
      <c r="CQ432" s="492"/>
      <c r="CR432" s="492"/>
      <c r="CS432" s="492"/>
      <c r="CT432" s="492"/>
    </row>
    <row r="433" spans="16:98" x14ac:dyDescent="0.25">
      <c r="P433" s="492"/>
      <c r="Q433" s="492"/>
      <c r="R433" s="492"/>
      <c r="S433" s="492"/>
      <c r="T433" s="492"/>
      <c r="U433" s="492"/>
      <c r="W433" s="492"/>
      <c r="X433" s="492"/>
      <c r="Y433" s="492"/>
      <c r="Z433" s="492"/>
      <c r="AA433" s="492"/>
      <c r="AB433" s="492"/>
      <c r="AD433" s="492"/>
      <c r="AE433" s="492"/>
      <c r="AF433" s="492"/>
      <c r="AG433" s="492"/>
      <c r="AH433" s="492"/>
      <c r="AI433" s="492"/>
      <c r="AJ433" s="492"/>
      <c r="AK433" s="492"/>
      <c r="AL433" s="492"/>
      <c r="AM433" s="492"/>
      <c r="AN433" s="492"/>
      <c r="AO433" s="492"/>
      <c r="AP433" s="492"/>
      <c r="AQ433" s="492"/>
      <c r="AR433" s="492"/>
      <c r="AS433" s="492"/>
      <c r="AT433" s="492"/>
      <c r="AU433" s="492"/>
      <c r="AV433" s="492"/>
      <c r="AW433" s="492"/>
      <c r="AX433" s="492"/>
      <c r="AY433" s="492"/>
      <c r="AZ433" s="492"/>
      <c r="BA433" s="492"/>
      <c r="BB433" s="492"/>
      <c r="BC433" s="492"/>
      <c r="BD433" s="492"/>
      <c r="BE433" s="492"/>
      <c r="BF433" s="492"/>
      <c r="BG433" s="492"/>
      <c r="BH433" s="492"/>
      <c r="BI433" s="492"/>
      <c r="BJ433" s="492"/>
      <c r="BK433" s="492"/>
      <c r="BL433" s="492"/>
      <c r="BM433" s="492"/>
      <c r="BN433" s="492"/>
      <c r="BO433" s="492"/>
      <c r="BP433" s="492"/>
      <c r="BQ433" s="492"/>
      <c r="BR433" s="492"/>
      <c r="BS433" s="492"/>
      <c r="BT433" s="492"/>
      <c r="BU433" s="492"/>
      <c r="BV433" s="492"/>
      <c r="BW433" s="492"/>
      <c r="BX433" s="492"/>
      <c r="BY433" s="492"/>
      <c r="BZ433" s="492"/>
      <c r="CA433" s="492"/>
      <c r="CB433" s="492"/>
      <c r="CC433" s="492"/>
      <c r="CD433" s="492"/>
      <c r="CE433" s="492"/>
      <c r="CF433" s="492"/>
      <c r="CG433" s="492"/>
      <c r="CH433" s="492"/>
      <c r="CI433" s="492"/>
      <c r="CJ433" s="492"/>
      <c r="CK433" s="492"/>
      <c r="CL433" s="492"/>
      <c r="CM433" s="492"/>
      <c r="CN433" s="492"/>
      <c r="CO433" s="492"/>
      <c r="CP433" s="492"/>
      <c r="CQ433" s="492"/>
      <c r="CR433" s="492"/>
      <c r="CS433" s="492"/>
      <c r="CT433" s="492"/>
    </row>
    <row r="434" spans="16:98" x14ac:dyDescent="0.25">
      <c r="P434" s="492"/>
      <c r="Q434" s="492"/>
      <c r="R434" s="492"/>
      <c r="S434" s="492"/>
      <c r="T434" s="492"/>
      <c r="W434" s="492"/>
      <c r="X434" s="492"/>
      <c r="Y434" s="492"/>
      <c r="Z434" s="492"/>
      <c r="AA434" s="492"/>
      <c r="AD434" s="492"/>
      <c r="AE434" s="492"/>
      <c r="AF434" s="492"/>
      <c r="AG434" s="492"/>
      <c r="AH434" s="492"/>
      <c r="AK434" s="492"/>
      <c r="AL434" s="492"/>
      <c r="AM434" s="492"/>
      <c r="AN434" s="492"/>
      <c r="AO434" s="492"/>
      <c r="AR434" s="492"/>
      <c r="AS434" s="492"/>
      <c r="AT434" s="492"/>
      <c r="AU434" s="492"/>
      <c r="AV434" s="492"/>
      <c r="AY434" s="492"/>
      <c r="AZ434" s="492"/>
      <c r="BA434" s="492"/>
      <c r="BB434" s="492"/>
      <c r="BC434" s="492"/>
      <c r="BF434" s="492"/>
      <c r="BG434" s="492"/>
      <c r="BH434" s="492"/>
      <c r="BI434" s="492"/>
      <c r="BJ434" s="492"/>
      <c r="BM434" s="492"/>
      <c r="BN434" s="492"/>
      <c r="BO434" s="492"/>
      <c r="BP434" s="492"/>
      <c r="BQ434" s="492"/>
      <c r="BT434" s="492"/>
      <c r="BU434" s="492"/>
      <c r="BV434" s="492"/>
      <c r="BW434" s="492"/>
      <c r="BX434" s="492"/>
      <c r="CA434" s="492"/>
      <c r="CB434" s="492"/>
      <c r="CC434" s="492"/>
      <c r="CD434" s="492"/>
      <c r="CE434" s="492"/>
      <c r="CH434" s="492"/>
      <c r="CI434" s="492"/>
      <c r="CJ434" s="492"/>
      <c r="CK434" s="492"/>
      <c r="CL434" s="492"/>
      <c r="CO434" s="492"/>
      <c r="CP434" s="492"/>
      <c r="CQ434" s="492"/>
      <c r="CR434" s="492"/>
      <c r="CS434" s="492"/>
    </row>
    <row r="435" spans="16:98" x14ac:dyDescent="0.25">
      <c r="P435" s="492"/>
      <c r="Q435" s="492"/>
      <c r="R435" s="492"/>
      <c r="S435" s="492"/>
      <c r="T435" s="492"/>
      <c r="W435" s="492"/>
      <c r="X435" s="492"/>
      <c r="Y435" s="492"/>
      <c r="Z435" s="492"/>
      <c r="AA435" s="492"/>
      <c r="AD435" s="492"/>
      <c r="AE435" s="492"/>
      <c r="AF435" s="492"/>
      <c r="AG435" s="492"/>
      <c r="AH435" s="492"/>
      <c r="AK435" s="492"/>
      <c r="AL435" s="492"/>
      <c r="AM435" s="492"/>
      <c r="AN435" s="492"/>
      <c r="AO435" s="492"/>
      <c r="AR435" s="492"/>
      <c r="AS435" s="492"/>
      <c r="AT435" s="492"/>
      <c r="AU435" s="492"/>
      <c r="AV435" s="492"/>
      <c r="AY435" s="492"/>
      <c r="AZ435" s="492"/>
      <c r="BA435" s="492"/>
      <c r="BB435" s="492"/>
      <c r="BC435" s="492"/>
      <c r="BF435" s="492"/>
      <c r="BG435" s="492"/>
      <c r="BH435" s="492"/>
      <c r="BI435" s="492"/>
      <c r="BJ435" s="492"/>
      <c r="BM435" s="492"/>
      <c r="BN435" s="492"/>
      <c r="BO435" s="492"/>
      <c r="BP435" s="492"/>
      <c r="BQ435" s="492"/>
      <c r="BT435" s="492"/>
      <c r="BU435" s="492"/>
      <c r="BV435" s="492"/>
      <c r="BW435" s="492"/>
      <c r="BX435" s="492"/>
      <c r="CA435" s="492"/>
      <c r="CB435" s="492"/>
      <c r="CC435" s="492"/>
      <c r="CD435" s="492"/>
      <c r="CE435" s="492"/>
      <c r="CH435" s="492"/>
      <c r="CI435" s="492"/>
      <c r="CJ435" s="492"/>
      <c r="CK435" s="492"/>
      <c r="CL435" s="492"/>
      <c r="CO435" s="492"/>
      <c r="CP435" s="492"/>
      <c r="CQ435" s="492"/>
      <c r="CR435" s="492"/>
      <c r="CS435" s="492"/>
    </row>
    <row r="436" spans="16:98" x14ac:dyDescent="0.25">
      <c r="P436" s="492"/>
      <c r="Q436" s="492"/>
      <c r="R436" s="492"/>
      <c r="S436" s="492"/>
      <c r="T436" s="492"/>
      <c r="AK436" s="492"/>
      <c r="AL436" s="492"/>
      <c r="AM436" s="492"/>
      <c r="AN436" s="492"/>
      <c r="AO436" s="492"/>
      <c r="AR436" s="492"/>
      <c r="AS436" s="492"/>
      <c r="AT436" s="492"/>
      <c r="AU436" s="492"/>
      <c r="AV436" s="492"/>
      <c r="AY436" s="492"/>
      <c r="AZ436" s="492"/>
      <c r="BA436" s="492"/>
      <c r="BB436" s="492"/>
      <c r="BC436" s="492"/>
      <c r="BF436" s="492"/>
      <c r="BG436" s="492"/>
      <c r="BH436" s="492"/>
      <c r="BI436" s="492"/>
      <c r="BJ436" s="492"/>
      <c r="BM436" s="492"/>
      <c r="BN436" s="492"/>
      <c r="BO436" s="492"/>
      <c r="BP436" s="492"/>
      <c r="BQ436" s="492"/>
      <c r="BT436" s="492"/>
      <c r="BU436" s="492"/>
      <c r="BV436" s="492"/>
      <c r="BW436" s="492"/>
      <c r="BX436" s="492"/>
      <c r="CA436" s="492"/>
      <c r="CB436" s="492"/>
      <c r="CC436" s="492"/>
      <c r="CD436" s="492"/>
      <c r="CE436" s="492"/>
      <c r="CH436" s="492"/>
      <c r="CI436" s="492"/>
      <c r="CJ436" s="492"/>
      <c r="CK436" s="492"/>
      <c r="CL436" s="492"/>
      <c r="CO436" s="492"/>
      <c r="CP436" s="492"/>
      <c r="CQ436" s="492"/>
      <c r="CR436" s="492"/>
      <c r="CS436" s="492"/>
    </row>
    <row r="437" spans="16:98" x14ac:dyDescent="0.25">
      <c r="P437" s="492"/>
      <c r="Q437" s="492"/>
      <c r="R437" s="492"/>
      <c r="S437" s="492"/>
      <c r="T437" s="492"/>
      <c r="AK437" s="492"/>
      <c r="AL437" s="492"/>
      <c r="AM437" s="492"/>
      <c r="AN437" s="492"/>
      <c r="AO437" s="492"/>
    </row>
    <row r="438" spans="16:98" x14ac:dyDescent="0.25">
      <c r="P438" s="492"/>
      <c r="Q438" s="492"/>
      <c r="R438" s="492"/>
      <c r="S438" s="492"/>
      <c r="T438" s="492"/>
    </row>
    <row r="439" spans="16:98" x14ac:dyDescent="0.25">
      <c r="P439" s="492"/>
      <c r="Q439" s="492"/>
      <c r="R439" s="492"/>
      <c r="S439" s="492"/>
      <c r="T439" s="492"/>
    </row>
    <row r="440" spans="16:98" x14ac:dyDescent="0.25">
      <c r="P440" s="492"/>
      <c r="Q440" s="492"/>
      <c r="R440" s="492"/>
      <c r="S440" s="492"/>
      <c r="T440" s="492"/>
    </row>
    <row r="441" spans="16:98" x14ac:dyDescent="0.25">
      <c r="P441" s="492"/>
      <c r="Q441" s="492"/>
      <c r="R441" s="492"/>
      <c r="S441" s="492"/>
      <c r="T441" s="492"/>
    </row>
    <row r="442" spans="16:98" x14ac:dyDescent="0.25">
      <c r="P442" s="492"/>
      <c r="Q442" s="492"/>
      <c r="R442" s="492"/>
      <c r="S442" s="492"/>
      <c r="T442" s="492"/>
    </row>
    <row r="443" spans="16:98" x14ac:dyDescent="0.25">
      <c r="P443" s="492"/>
      <c r="Q443" s="492"/>
      <c r="R443" s="492"/>
      <c r="S443" s="492"/>
      <c r="T443" s="492"/>
    </row>
    <row r="444" spans="16:98" x14ac:dyDescent="0.25">
      <c r="P444" s="492"/>
      <c r="Q444" s="492"/>
      <c r="R444" s="492"/>
      <c r="S444" s="492"/>
      <c r="T444" s="492"/>
    </row>
    <row r="445" spans="16:98" x14ac:dyDescent="0.25">
      <c r="P445" s="492"/>
      <c r="Q445" s="492"/>
      <c r="R445" s="492"/>
      <c r="S445" s="492"/>
      <c r="T445" s="492"/>
    </row>
    <row r="446" spans="16:98" x14ac:dyDescent="0.25">
      <c r="P446" s="492"/>
      <c r="Q446" s="492"/>
      <c r="R446" s="492"/>
      <c r="S446" s="492"/>
      <c r="T446" s="492"/>
    </row>
    <row r="447" spans="16:98" x14ac:dyDescent="0.25">
      <c r="P447" s="492"/>
      <c r="Q447" s="492"/>
      <c r="R447" s="492"/>
      <c r="S447" s="492"/>
      <c r="T447" s="492"/>
    </row>
    <row r="448" spans="16:98" x14ac:dyDescent="0.25">
      <c r="P448" s="492"/>
      <c r="Q448" s="492"/>
      <c r="R448" s="492"/>
      <c r="S448" s="492"/>
      <c r="T448" s="492"/>
    </row>
    <row r="449" spans="16:20" x14ac:dyDescent="0.25">
      <c r="P449" s="492"/>
      <c r="Q449" s="492"/>
      <c r="R449" s="492"/>
      <c r="S449" s="492"/>
      <c r="T449" s="492"/>
    </row>
    <row r="450" spans="16:20" x14ac:dyDescent="0.25">
      <c r="P450" s="492"/>
      <c r="Q450" s="492"/>
      <c r="R450" s="492"/>
      <c r="S450" s="492"/>
      <c r="T450" s="492"/>
    </row>
    <row r="451" spans="16:20" x14ac:dyDescent="0.25">
      <c r="P451" s="492"/>
      <c r="Q451" s="492"/>
      <c r="R451" s="492"/>
      <c r="S451" s="492"/>
      <c r="T451" s="492"/>
    </row>
    <row r="452" spans="16:20" x14ac:dyDescent="0.25">
      <c r="P452" s="492"/>
      <c r="Q452" s="492"/>
      <c r="R452" s="492"/>
      <c r="S452" s="492"/>
      <c r="T452" s="492"/>
    </row>
  </sheetData>
  <sheetProtection selectLockedCells="1" selectUnlockedCells="1"/>
  <mergeCells count="390">
    <mergeCell ref="C25:L25"/>
    <mergeCell ref="C26:C27"/>
    <mergeCell ref="D26:L26"/>
    <mergeCell ref="O26:T26"/>
    <mergeCell ref="V26:AA26"/>
    <mergeCell ref="AC26:AH26"/>
    <mergeCell ref="BZ26:CE26"/>
    <mergeCell ref="CG26:CL26"/>
    <mergeCell ref="CN26:CS26"/>
    <mergeCell ref="O27:O28"/>
    <mergeCell ref="P27:T27"/>
    <mergeCell ref="V27:V28"/>
    <mergeCell ref="W27:AA27"/>
    <mergeCell ref="AC27:AC28"/>
    <mergeCell ref="AD27:AH27"/>
    <mergeCell ref="AJ27:AJ28"/>
    <mergeCell ref="AJ26:AO26"/>
    <mergeCell ref="AQ26:AV26"/>
    <mergeCell ref="AX26:BC26"/>
    <mergeCell ref="BE26:BJ26"/>
    <mergeCell ref="BL26:BQ26"/>
    <mergeCell ref="BS26:BX26"/>
    <mergeCell ref="CA27:CE27"/>
    <mergeCell ref="CG27:CG28"/>
    <mergeCell ref="CH27:CL27"/>
    <mergeCell ref="CN27:CN28"/>
    <mergeCell ref="CO27:CS27"/>
    <mergeCell ref="C66:M66"/>
    <mergeCell ref="BF27:BJ27"/>
    <mergeCell ref="BL27:BL28"/>
    <mergeCell ref="BM27:BQ27"/>
    <mergeCell ref="BS27:BS28"/>
    <mergeCell ref="BT27:BX27"/>
    <mergeCell ref="BZ27:BZ28"/>
    <mergeCell ref="AK27:AO27"/>
    <mergeCell ref="AQ27:AQ28"/>
    <mergeCell ref="AR27:AV27"/>
    <mergeCell ref="AX27:AX28"/>
    <mergeCell ref="AY27:BC27"/>
    <mergeCell ref="BE27:BE28"/>
    <mergeCell ref="CG67:CL67"/>
    <mergeCell ref="CN67:CS67"/>
    <mergeCell ref="O68:O69"/>
    <mergeCell ref="P68:T68"/>
    <mergeCell ref="V68:V69"/>
    <mergeCell ref="W68:AA68"/>
    <mergeCell ref="AC68:AC69"/>
    <mergeCell ref="AD68:AH68"/>
    <mergeCell ref="AJ68:AJ69"/>
    <mergeCell ref="AK68:AO68"/>
    <mergeCell ref="AQ67:AV67"/>
    <mergeCell ref="AX67:BC67"/>
    <mergeCell ref="BE67:BJ67"/>
    <mergeCell ref="BL67:BQ67"/>
    <mergeCell ref="BS67:BX67"/>
    <mergeCell ref="BZ67:CE67"/>
    <mergeCell ref="O67:T67"/>
    <mergeCell ref="V67:AA67"/>
    <mergeCell ref="AC67:AH67"/>
    <mergeCell ref="AJ67:AO67"/>
    <mergeCell ref="CG68:CG69"/>
    <mergeCell ref="CH68:CL68"/>
    <mergeCell ref="CN68:CN69"/>
    <mergeCell ref="CO68:CS68"/>
    <mergeCell ref="C107:M107"/>
    <mergeCell ref="C108:C109"/>
    <mergeCell ref="D108:M108"/>
    <mergeCell ref="O108:T108"/>
    <mergeCell ref="V108:AA108"/>
    <mergeCell ref="AC108:AH108"/>
    <mergeCell ref="BL68:BL69"/>
    <mergeCell ref="BM68:BQ68"/>
    <mergeCell ref="BS68:BS69"/>
    <mergeCell ref="C67:C68"/>
    <mergeCell ref="D67:M67"/>
    <mergeCell ref="BT68:BX68"/>
    <mergeCell ref="BZ68:BZ69"/>
    <mergeCell ref="CA68:CE68"/>
    <mergeCell ref="AQ68:AQ69"/>
    <mergeCell ref="AR68:AV68"/>
    <mergeCell ref="AX68:AX69"/>
    <mergeCell ref="AY68:BC68"/>
    <mergeCell ref="BE68:BE69"/>
    <mergeCell ref="BF68:BJ68"/>
    <mergeCell ref="BZ108:CE108"/>
    <mergeCell ref="CG108:CL108"/>
    <mergeCell ref="CN108:CS108"/>
    <mergeCell ref="O109:O110"/>
    <mergeCell ref="P109:T109"/>
    <mergeCell ref="V109:V110"/>
    <mergeCell ref="W109:AA109"/>
    <mergeCell ref="AC109:AC110"/>
    <mergeCell ref="AD109:AH109"/>
    <mergeCell ref="AJ109:AJ110"/>
    <mergeCell ref="AJ108:AO108"/>
    <mergeCell ref="AQ108:AV108"/>
    <mergeCell ref="AX108:BC108"/>
    <mergeCell ref="BE108:BJ108"/>
    <mergeCell ref="BL108:BQ108"/>
    <mergeCell ref="BS108:BX108"/>
    <mergeCell ref="CA109:CE109"/>
    <mergeCell ref="CG109:CG110"/>
    <mergeCell ref="CH109:CL109"/>
    <mergeCell ref="CN109:CN110"/>
    <mergeCell ref="CO109:CS109"/>
    <mergeCell ref="C148:M148"/>
    <mergeCell ref="BF109:BJ109"/>
    <mergeCell ref="BL109:BL110"/>
    <mergeCell ref="BM109:BQ109"/>
    <mergeCell ref="BS109:BS110"/>
    <mergeCell ref="BT109:BX109"/>
    <mergeCell ref="BZ109:BZ110"/>
    <mergeCell ref="AK109:AO109"/>
    <mergeCell ref="AQ109:AQ110"/>
    <mergeCell ref="AR109:AV109"/>
    <mergeCell ref="AX109:AX110"/>
    <mergeCell ref="AY109:BC109"/>
    <mergeCell ref="BE109:BE110"/>
    <mergeCell ref="CG149:CL149"/>
    <mergeCell ref="CN149:CS149"/>
    <mergeCell ref="O150:O151"/>
    <mergeCell ref="P150:T150"/>
    <mergeCell ref="V150:V151"/>
    <mergeCell ref="W150:AA150"/>
    <mergeCell ref="AC150:AC151"/>
    <mergeCell ref="AD150:AH150"/>
    <mergeCell ref="AJ150:AJ151"/>
    <mergeCell ref="AK150:AO150"/>
    <mergeCell ref="AQ149:AV149"/>
    <mergeCell ref="AX149:BC149"/>
    <mergeCell ref="BE149:BJ149"/>
    <mergeCell ref="BL149:BQ149"/>
    <mergeCell ref="BS149:BX149"/>
    <mergeCell ref="BZ149:CE149"/>
    <mergeCell ref="O149:T149"/>
    <mergeCell ref="V149:AA149"/>
    <mergeCell ref="AC149:AH149"/>
    <mergeCell ref="AJ149:AO149"/>
    <mergeCell ref="CG150:CG151"/>
    <mergeCell ref="CH150:CL150"/>
    <mergeCell ref="CN150:CN151"/>
    <mergeCell ref="CO150:CS150"/>
    <mergeCell ref="C189:M189"/>
    <mergeCell ref="C190:C191"/>
    <mergeCell ref="D190:M190"/>
    <mergeCell ref="O190:T190"/>
    <mergeCell ref="V190:AA190"/>
    <mergeCell ref="AC190:AH190"/>
    <mergeCell ref="BL150:BL151"/>
    <mergeCell ref="BM150:BQ150"/>
    <mergeCell ref="BS150:BS151"/>
    <mergeCell ref="C149:C150"/>
    <mergeCell ref="D149:M149"/>
    <mergeCell ref="BT150:BX150"/>
    <mergeCell ref="BZ150:BZ151"/>
    <mergeCell ref="CA150:CE150"/>
    <mergeCell ref="AQ150:AQ151"/>
    <mergeCell ref="AR150:AV150"/>
    <mergeCell ref="AX150:AX151"/>
    <mergeCell ref="AY150:BC150"/>
    <mergeCell ref="BE150:BE151"/>
    <mergeCell ref="BF150:BJ150"/>
    <mergeCell ref="BZ190:CE190"/>
    <mergeCell ref="CG190:CL190"/>
    <mergeCell ref="CN190:CS190"/>
    <mergeCell ref="O191:O192"/>
    <mergeCell ref="P191:T191"/>
    <mergeCell ref="V191:V192"/>
    <mergeCell ref="W191:AA191"/>
    <mergeCell ref="AC191:AC192"/>
    <mergeCell ref="AD191:AH191"/>
    <mergeCell ref="AJ191:AJ192"/>
    <mergeCell ref="AJ190:AO190"/>
    <mergeCell ref="AQ190:AV190"/>
    <mergeCell ref="AX190:BC190"/>
    <mergeCell ref="BE190:BJ190"/>
    <mergeCell ref="BL190:BQ190"/>
    <mergeCell ref="BS190:BX190"/>
    <mergeCell ref="CA191:CE191"/>
    <mergeCell ref="CG191:CG192"/>
    <mergeCell ref="CH191:CL191"/>
    <mergeCell ref="CN191:CN192"/>
    <mergeCell ref="CO191:CS191"/>
    <mergeCell ref="C230:M230"/>
    <mergeCell ref="BF191:BJ191"/>
    <mergeCell ref="BL191:BL192"/>
    <mergeCell ref="BM191:BQ191"/>
    <mergeCell ref="BS191:BS192"/>
    <mergeCell ref="BT191:BX191"/>
    <mergeCell ref="BZ191:BZ192"/>
    <mergeCell ref="AK191:AO191"/>
    <mergeCell ref="AQ191:AQ192"/>
    <mergeCell ref="AR191:AV191"/>
    <mergeCell ref="AX191:AX192"/>
    <mergeCell ref="AY191:BC191"/>
    <mergeCell ref="BE191:BE192"/>
    <mergeCell ref="CG231:CL231"/>
    <mergeCell ref="CN231:CS231"/>
    <mergeCell ref="O232:O233"/>
    <mergeCell ref="P232:T232"/>
    <mergeCell ref="V232:V233"/>
    <mergeCell ref="W232:AA232"/>
    <mergeCell ref="AC232:AC233"/>
    <mergeCell ref="AD232:AH232"/>
    <mergeCell ref="AJ232:AJ233"/>
    <mergeCell ref="AK232:AO232"/>
    <mergeCell ref="AQ231:AV231"/>
    <mergeCell ref="AX231:BC231"/>
    <mergeCell ref="BE231:BJ231"/>
    <mergeCell ref="BL231:BQ231"/>
    <mergeCell ref="BS231:BX231"/>
    <mergeCell ref="BZ231:CE231"/>
    <mergeCell ref="O231:T231"/>
    <mergeCell ref="V231:AA231"/>
    <mergeCell ref="AC231:AH231"/>
    <mergeCell ref="AJ231:AO231"/>
    <mergeCell ref="CG232:CG233"/>
    <mergeCell ref="CH232:CL232"/>
    <mergeCell ref="CN232:CN233"/>
    <mergeCell ref="CO232:CS232"/>
    <mergeCell ref="C271:M271"/>
    <mergeCell ref="C272:C273"/>
    <mergeCell ref="D272:M272"/>
    <mergeCell ref="O272:T272"/>
    <mergeCell ref="V272:AA272"/>
    <mergeCell ref="AC272:AH272"/>
    <mergeCell ref="BL232:BL233"/>
    <mergeCell ref="BM232:BQ232"/>
    <mergeCell ref="BS232:BS233"/>
    <mergeCell ref="C231:C232"/>
    <mergeCell ref="D231:M231"/>
    <mergeCell ref="BT232:BX232"/>
    <mergeCell ref="BZ232:BZ233"/>
    <mergeCell ref="CA232:CE232"/>
    <mergeCell ref="AQ232:AQ233"/>
    <mergeCell ref="AR232:AV232"/>
    <mergeCell ref="AX232:AX233"/>
    <mergeCell ref="AY232:BC232"/>
    <mergeCell ref="BE232:BE233"/>
    <mergeCell ref="BF232:BJ232"/>
    <mergeCell ref="BZ272:CE272"/>
    <mergeCell ref="CG272:CL272"/>
    <mergeCell ref="CN272:CS272"/>
    <mergeCell ref="O273:O274"/>
    <mergeCell ref="P273:T273"/>
    <mergeCell ref="V273:V274"/>
    <mergeCell ref="W273:AA273"/>
    <mergeCell ref="AC273:AC274"/>
    <mergeCell ref="AD273:AH273"/>
    <mergeCell ref="AJ273:AJ274"/>
    <mergeCell ref="AJ272:AO272"/>
    <mergeCell ref="AQ272:AV272"/>
    <mergeCell ref="AX272:BC272"/>
    <mergeCell ref="BE272:BJ272"/>
    <mergeCell ref="BL272:BQ272"/>
    <mergeCell ref="BS272:BX272"/>
    <mergeCell ref="CA273:CE273"/>
    <mergeCell ref="CG273:CG274"/>
    <mergeCell ref="CH273:CL273"/>
    <mergeCell ref="CN273:CN274"/>
    <mergeCell ref="CO273:CS273"/>
    <mergeCell ref="C312:M312"/>
    <mergeCell ref="BF273:BJ273"/>
    <mergeCell ref="BL273:BL274"/>
    <mergeCell ref="BM273:BQ273"/>
    <mergeCell ref="BS273:BS274"/>
    <mergeCell ref="BT273:BX273"/>
    <mergeCell ref="BZ273:BZ274"/>
    <mergeCell ref="AK273:AO273"/>
    <mergeCell ref="AQ273:AQ274"/>
    <mergeCell ref="AR273:AV273"/>
    <mergeCell ref="AX273:AX274"/>
    <mergeCell ref="AY273:BC273"/>
    <mergeCell ref="BE273:BE274"/>
    <mergeCell ref="CG313:CL313"/>
    <mergeCell ref="CN313:CS313"/>
    <mergeCell ref="O314:O315"/>
    <mergeCell ref="P314:T314"/>
    <mergeCell ref="V314:V315"/>
    <mergeCell ref="W314:AA314"/>
    <mergeCell ref="AC314:AC315"/>
    <mergeCell ref="AD314:AH314"/>
    <mergeCell ref="AJ314:AJ315"/>
    <mergeCell ref="AK314:AO314"/>
    <mergeCell ref="AQ313:AV313"/>
    <mergeCell ref="AX313:BC313"/>
    <mergeCell ref="BE313:BJ313"/>
    <mergeCell ref="BL313:BQ313"/>
    <mergeCell ref="BS313:BX313"/>
    <mergeCell ref="BZ313:CE313"/>
    <mergeCell ref="O313:T313"/>
    <mergeCell ref="V313:AA313"/>
    <mergeCell ref="AC313:AH313"/>
    <mergeCell ref="AJ313:AO313"/>
    <mergeCell ref="CG314:CG315"/>
    <mergeCell ref="CH314:CL314"/>
    <mergeCell ref="CN314:CN315"/>
    <mergeCell ref="CO314:CS314"/>
    <mergeCell ref="C353:M353"/>
    <mergeCell ref="C354:C355"/>
    <mergeCell ref="D354:M354"/>
    <mergeCell ref="O354:T354"/>
    <mergeCell ref="V354:AA354"/>
    <mergeCell ref="AC354:AH354"/>
    <mergeCell ref="BL314:BL315"/>
    <mergeCell ref="BM314:BQ314"/>
    <mergeCell ref="BS314:BS315"/>
    <mergeCell ref="C313:C314"/>
    <mergeCell ref="D313:M313"/>
    <mergeCell ref="BT314:BX314"/>
    <mergeCell ref="BZ314:BZ315"/>
    <mergeCell ref="CA314:CE314"/>
    <mergeCell ref="AQ314:AQ315"/>
    <mergeCell ref="AR314:AV314"/>
    <mergeCell ref="AX314:AX315"/>
    <mergeCell ref="AY314:BC314"/>
    <mergeCell ref="BE314:BE315"/>
    <mergeCell ref="BF314:BJ314"/>
    <mergeCell ref="BZ354:CE354"/>
    <mergeCell ref="CG354:CL354"/>
    <mergeCell ref="CN354:CS354"/>
    <mergeCell ref="O355:O356"/>
    <mergeCell ref="P355:T355"/>
    <mergeCell ref="V355:V356"/>
    <mergeCell ref="W355:AA355"/>
    <mergeCell ref="AC355:AC356"/>
    <mergeCell ref="AD355:AH355"/>
    <mergeCell ref="AJ355:AJ356"/>
    <mergeCell ref="AJ354:AO354"/>
    <mergeCell ref="AQ354:AV354"/>
    <mergeCell ref="AX354:BC354"/>
    <mergeCell ref="BE354:BJ354"/>
    <mergeCell ref="BL354:BQ354"/>
    <mergeCell ref="BS354:BX354"/>
    <mergeCell ref="CA355:CE355"/>
    <mergeCell ref="CG355:CG356"/>
    <mergeCell ref="CH355:CL355"/>
    <mergeCell ref="CN355:CN356"/>
    <mergeCell ref="CO355:CS355"/>
    <mergeCell ref="BT355:BX355"/>
    <mergeCell ref="BZ355:BZ356"/>
    <mergeCell ref="C394:M394"/>
    <mergeCell ref="O394:T394"/>
    <mergeCell ref="V394:AA394"/>
    <mergeCell ref="AC394:AH394"/>
    <mergeCell ref="AJ394:AO394"/>
    <mergeCell ref="BF355:BJ355"/>
    <mergeCell ref="BL355:BL356"/>
    <mergeCell ref="BM355:BQ355"/>
    <mergeCell ref="BS355:BS356"/>
    <mergeCell ref="AK355:AO355"/>
    <mergeCell ref="AQ355:AQ356"/>
    <mergeCell ref="AR355:AV355"/>
    <mergeCell ref="AX355:AX356"/>
    <mergeCell ref="AY355:BC355"/>
    <mergeCell ref="BE355:BE356"/>
    <mergeCell ref="AJ395:AJ396"/>
    <mergeCell ref="AK395:AO395"/>
    <mergeCell ref="AQ395:AQ396"/>
    <mergeCell ref="AR395:AV395"/>
    <mergeCell ref="AX395:AX396"/>
    <mergeCell ref="AY395:BC395"/>
    <mergeCell ref="CG394:CL394"/>
    <mergeCell ref="CN394:CS394"/>
    <mergeCell ref="C395:C396"/>
    <mergeCell ref="D395:M395"/>
    <mergeCell ref="O395:O396"/>
    <mergeCell ref="P395:T395"/>
    <mergeCell ref="V395:V396"/>
    <mergeCell ref="W395:AA395"/>
    <mergeCell ref="AC395:AC396"/>
    <mergeCell ref="AD395:AH395"/>
    <mergeCell ref="AQ394:AV394"/>
    <mergeCell ref="AX394:BC394"/>
    <mergeCell ref="BE394:BJ394"/>
    <mergeCell ref="BL394:BQ394"/>
    <mergeCell ref="BS394:BX394"/>
    <mergeCell ref="BZ394:CE394"/>
    <mergeCell ref="BZ395:BZ396"/>
    <mergeCell ref="CA395:CE395"/>
    <mergeCell ref="CG395:CG396"/>
    <mergeCell ref="CH395:CL395"/>
    <mergeCell ref="CN395:CN396"/>
    <mergeCell ref="CO395:CS395"/>
    <mergeCell ref="BE395:BE396"/>
    <mergeCell ref="BF395:BJ395"/>
    <mergeCell ref="BL395:BL396"/>
    <mergeCell ref="BM395:BQ395"/>
    <mergeCell ref="BS395:BS396"/>
    <mergeCell ref="BT395:BX39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3A881-CFCE-413F-8948-53B1BCA8DEEA}">
  <sheetPr>
    <tabColor theme="8" tint="-0.499984740745262"/>
    <pageSetUpPr fitToPage="1"/>
  </sheetPr>
  <dimension ref="A1:AD134"/>
  <sheetViews>
    <sheetView topLeftCell="A6" zoomScale="90" zoomScaleNormal="90" workbookViewId="0">
      <selection activeCell="M13" sqref="M13"/>
    </sheetView>
  </sheetViews>
  <sheetFormatPr defaultColWidth="8.85546875" defaultRowHeight="15" x14ac:dyDescent="0.25"/>
  <cols>
    <col min="1" max="1" width="5" customWidth="1"/>
    <col min="2" max="2" width="6.5703125" customWidth="1"/>
    <col min="3" max="3" width="11.42578125" customWidth="1"/>
    <col min="4" max="4" width="9.42578125" customWidth="1"/>
    <col min="5" max="5" width="8.7109375" customWidth="1"/>
    <col min="8" max="8" width="9" bestFit="1" customWidth="1"/>
    <col min="11" max="11" width="9" customWidth="1"/>
    <col min="13" max="13" width="14.85546875" customWidth="1"/>
    <col min="14" max="14" width="13.42578125" style="306" customWidth="1"/>
    <col min="15" max="16" width="9.140625" style="507" customWidth="1"/>
    <col min="17" max="17" width="8.85546875" style="507" customWidth="1"/>
    <col min="18" max="21" width="8.85546875" style="507"/>
    <col min="22" max="22" width="8" style="508" customWidth="1"/>
    <col min="23" max="23" width="8.85546875" style="509"/>
    <col min="24" max="24" width="8.85546875" style="510"/>
    <col min="25" max="27" width="8.85546875" style="509"/>
    <col min="28" max="28" width="8.85546875" style="509" customWidth="1"/>
  </cols>
  <sheetData>
    <row r="1" spans="1:30" x14ac:dyDescent="0.25">
      <c r="A1" s="503"/>
      <c r="B1" s="504"/>
      <c r="C1" s="503"/>
      <c r="D1" s="503"/>
      <c r="E1" s="503"/>
      <c r="F1" s="503"/>
      <c r="G1" s="503"/>
      <c r="H1" s="503"/>
      <c r="I1" s="503"/>
      <c r="J1" s="505"/>
      <c r="K1" s="504" t="s">
        <v>3755</v>
      </c>
      <c r="L1" s="505"/>
      <c r="M1" s="506">
        <f ca="1">TODAY()</f>
        <v>45379</v>
      </c>
    </row>
    <row r="2" spans="1:30" ht="20.25" customHeight="1" x14ac:dyDescent="0.3">
      <c r="A2" s="503"/>
      <c r="B2" s="503"/>
      <c r="C2" s="503"/>
      <c r="D2" s="511" t="s">
        <v>3756</v>
      </c>
      <c r="E2" s="503"/>
      <c r="F2" s="512"/>
      <c r="G2" s="512"/>
      <c r="H2" s="512"/>
      <c r="I2" s="512"/>
      <c r="J2" s="513"/>
      <c r="K2" s="513"/>
      <c r="L2" s="505"/>
      <c r="M2" s="514" t="str">
        <f>[1]Calculator!E3</f>
        <v>Lindeman island</v>
      </c>
    </row>
    <row r="3" spans="1:30" x14ac:dyDescent="0.25">
      <c r="A3" s="503"/>
      <c r="B3" s="503"/>
      <c r="C3" s="503"/>
      <c r="D3" s="504" t="str">
        <f>[1]Calculator!D3&amp; " C01-02"</f>
        <v>EC114 C01-02</v>
      </c>
      <c r="E3" s="515"/>
      <c r="F3" s="516" t="str">
        <f>[1]Calculator!J1</f>
        <v>Rev A</v>
      </c>
      <c r="G3" s="503"/>
      <c r="H3" s="503"/>
      <c r="I3" s="503"/>
      <c r="J3" s="505"/>
      <c r="K3" s="505" t="s">
        <v>3757</v>
      </c>
      <c r="L3" s="513" t="str">
        <f>[1]Calculator!D3</f>
        <v>EC114</v>
      </c>
      <c r="M3" s="517" t="s">
        <v>3008</v>
      </c>
    </row>
    <row r="4" spans="1:30" x14ac:dyDescent="0.25">
      <c r="A4" s="518"/>
      <c r="B4" s="504"/>
      <c r="C4" s="518"/>
      <c r="D4" s="518"/>
      <c r="E4" s="518"/>
      <c r="F4" s="518"/>
      <c r="G4" s="518"/>
      <c r="H4" s="518"/>
      <c r="I4" s="518"/>
      <c r="J4" s="516"/>
      <c r="K4" s="516" t="s">
        <v>3758</v>
      </c>
      <c r="L4" s="516"/>
      <c r="M4" s="516"/>
    </row>
    <row r="5" spans="1:30" x14ac:dyDescent="0.25">
      <c r="B5" s="519" t="s">
        <v>2990</v>
      </c>
      <c r="C5" s="520"/>
      <c r="F5" s="521"/>
      <c r="L5" s="522" t="s">
        <v>3759</v>
      </c>
      <c r="M5" s="523">
        <v>0.95</v>
      </c>
    </row>
    <row r="6" spans="1:30" x14ac:dyDescent="0.25">
      <c r="C6" s="524"/>
      <c r="F6" s="525"/>
      <c r="K6" s="60"/>
      <c r="L6" s="522" t="s">
        <v>3760</v>
      </c>
      <c r="M6" s="523">
        <v>0.96</v>
      </c>
    </row>
    <row r="7" spans="1:30" s="526" customFormat="1" ht="30" customHeight="1" x14ac:dyDescent="0.25">
      <c r="B7" s="527" t="s">
        <v>3761</v>
      </c>
      <c r="C7" s="528" t="s">
        <v>3762</v>
      </c>
      <c r="D7" s="529" t="s">
        <v>3763</v>
      </c>
      <c r="E7" s="529" t="s">
        <v>189</v>
      </c>
      <c r="F7" s="529" t="s">
        <v>3764</v>
      </c>
      <c r="G7" s="529" t="s">
        <v>3765</v>
      </c>
      <c r="H7" s="529" t="s">
        <v>3766</v>
      </c>
      <c r="I7" s="529" t="s">
        <v>187</v>
      </c>
      <c r="J7" s="530" t="s">
        <v>3767</v>
      </c>
      <c r="K7" s="529" t="s">
        <v>3768</v>
      </c>
      <c r="L7" s="531" t="s">
        <v>3769</v>
      </c>
      <c r="M7" s="532" t="s">
        <v>3770</v>
      </c>
      <c r="N7" s="533"/>
      <c r="O7" s="795" t="s">
        <v>3771</v>
      </c>
      <c r="P7" s="795"/>
      <c r="Q7" s="795"/>
      <c r="R7" s="795"/>
      <c r="S7" s="795"/>
      <c r="T7" s="795"/>
      <c r="U7" s="534" t="s">
        <v>3772</v>
      </c>
      <c r="V7" s="535"/>
      <c r="W7" s="509"/>
      <c r="X7" s="510"/>
      <c r="Y7" s="509"/>
      <c r="Z7" s="509"/>
      <c r="AA7" s="509"/>
      <c r="AB7" s="509"/>
      <c r="AC7"/>
    </row>
    <row r="8" spans="1:30" s="526" customFormat="1" ht="15" customHeight="1" thickBot="1" x14ac:dyDescent="0.3">
      <c r="B8" s="527"/>
      <c r="C8" s="529" t="s">
        <v>3773</v>
      </c>
      <c r="D8" s="529" t="s">
        <v>3774</v>
      </c>
      <c r="E8" s="529" t="s">
        <v>3774</v>
      </c>
      <c r="F8" s="529" t="s">
        <v>3774</v>
      </c>
      <c r="G8" s="529" t="s">
        <v>3774</v>
      </c>
      <c r="H8" s="529" t="s">
        <v>3774</v>
      </c>
      <c r="I8" s="529" t="s">
        <v>3774</v>
      </c>
      <c r="J8" s="529" t="s">
        <v>3774</v>
      </c>
      <c r="K8" s="529" t="s">
        <v>3774</v>
      </c>
      <c r="L8" s="531" t="s">
        <v>3774</v>
      </c>
      <c r="M8" s="536">
        <f>M6*(M5+N8)</f>
        <v>0.93898387096774183</v>
      </c>
      <c r="N8" s="537">
        <f>(1-M5)*M17</f>
        <v>2.8108198924731206E-2</v>
      </c>
      <c r="O8" s="538" t="s">
        <v>3775</v>
      </c>
      <c r="P8" s="539" t="s">
        <v>3776</v>
      </c>
      <c r="Q8" s="540" t="s">
        <v>3777</v>
      </c>
      <c r="R8" s="540" t="s">
        <v>3778</v>
      </c>
      <c r="S8" s="538" t="s">
        <v>3779</v>
      </c>
      <c r="T8" s="539" t="s">
        <v>3779</v>
      </c>
      <c r="U8" s="541">
        <v>1.5</v>
      </c>
      <c r="V8" s="535" t="s">
        <v>3780</v>
      </c>
      <c r="W8" s="509"/>
      <c r="X8" s="510"/>
      <c r="Y8" s="509"/>
      <c r="Z8" s="509"/>
      <c r="AA8" s="509"/>
      <c r="AB8" s="509"/>
      <c r="AC8"/>
      <c r="AD8" s="542"/>
    </row>
    <row r="9" spans="1:30" ht="15" customHeight="1" thickBot="1" x14ac:dyDescent="0.3">
      <c r="A9" s="796" t="s">
        <v>3103</v>
      </c>
      <c r="B9" s="543" t="s">
        <v>3769</v>
      </c>
      <c r="C9" s="544">
        <f t="shared" ref="C9:K9" si="0">SUM(C10:C33)</f>
        <v>1</v>
      </c>
      <c r="D9" s="468">
        <f t="shared" si="0"/>
        <v>2.8800000000000017</v>
      </c>
      <c r="E9" s="545">
        <f t="shared" ref="E9" si="1">SUM(E10:E33)</f>
        <v>19.05</v>
      </c>
      <c r="F9" s="468">
        <f>SUM(F10:F33)</f>
        <v>3</v>
      </c>
      <c r="G9" s="468">
        <f t="shared" si="0"/>
        <v>0.52</v>
      </c>
      <c r="H9" s="468">
        <f t="shared" si="0"/>
        <v>1.65</v>
      </c>
      <c r="I9" s="468">
        <f t="shared" si="0"/>
        <v>0.02</v>
      </c>
      <c r="J9" s="546">
        <f>SUM(J10:J33)</f>
        <v>1.2000000000000002</v>
      </c>
      <c r="K9" s="468">
        <f t="shared" si="0"/>
        <v>1.4400000000000008</v>
      </c>
      <c r="L9" s="547">
        <f t="shared" ref="L9:L33" si="2">SUM(D9:K9)</f>
        <v>29.76</v>
      </c>
      <c r="M9" s="548">
        <f>ROUND(L9/M8, 1)</f>
        <v>31.7</v>
      </c>
      <c r="O9" s="540" t="s">
        <v>3028</v>
      </c>
      <c r="P9" s="549" t="s">
        <v>3028</v>
      </c>
      <c r="Q9" s="540" t="s">
        <v>3028</v>
      </c>
      <c r="R9" s="540" t="s">
        <v>3028</v>
      </c>
      <c r="S9" s="540" t="s">
        <v>3028</v>
      </c>
      <c r="T9" s="549" t="s">
        <v>3028</v>
      </c>
      <c r="U9" s="550"/>
      <c r="V9" s="535"/>
      <c r="AD9" s="542"/>
    </row>
    <row r="10" spans="1:30" s="8" customFormat="1" x14ac:dyDescent="0.25">
      <c r="A10" s="796"/>
      <c r="B10" s="551" t="s">
        <v>3781</v>
      </c>
      <c r="C10" s="552">
        <v>0.01</v>
      </c>
      <c r="D10" s="553">
        <v>0.12</v>
      </c>
      <c r="E10" s="553">
        <v>0.85</v>
      </c>
      <c r="F10" s="553">
        <v>0</v>
      </c>
      <c r="G10" s="553">
        <v>0</v>
      </c>
      <c r="H10" s="553">
        <v>0</v>
      </c>
      <c r="I10" s="553">
        <v>0</v>
      </c>
      <c r="J10" s="553">
        <v>0</v>
      </c>
      <c r="K10" s="554">
        <v>0.06</v>
      </c>
      <c r="L10" s="555">
        <f t="shared" si="2"/>
        <v>1.03</v>
      </c>
      <c r="M10" s="556" t="s">
        <v>3782</v>
      </c>
      <c r="N10" s="557"/>
      <c r="O10" s="558">
        <f>L10</f>
        <v>1.03</v>
      </c>
      <c r="P10" s="559">
        <f t="shared" ref="P10:P17" si="3">$C$63</f>
        <v>12</v>
      </c>
      <c r="Q10" s="560">
        <f t="shared" ref="Q10:Q34" si="4">$C$64</f>
        <v>15.600000000000001</v>
      </c>
      <c r="R10" s="560">
        <f t="shared" ref="R10:R34" si="5">$C$65</f>
        <v>18</v>
      </c>
      <c r="S10" s="560">
        <f t="shared" ref="S10:T34" si="6">$C$66</f>
        <v>27</v>
      </c>
      <c r="T10" s="559">
        <f t="shared" si="6"/>
        <v>27</v>
      </c>
      <c r="U10" s="559">
        <f>O10*U$8</f>
        <v>1.5449999999999999</v>
      </c>
      <c r="V10" s="561" t="str">
        <f t="shared" ref="V10:V33" si="7">B10</f>
        <v>12am</v>
      </c>
      <c r="W10" s="509"/>
      <c r="X10" s="510"/>
      <c r="Y10" s="509"/>
      <c r="Z10" s="509"/>
      <c r="AA10" s="509"/>
      <c r="AB10" s="509"/>
      <c r="AC10"/>
      <c r="AD10" s="542"/>
    </row>
    <row r="11" spans="1:30" s="8" customFormat="1" x14ac:dyDescent="0.25">
      <c r="A11" s="796"/>
      <c r="B11" s="551" t="s">
        <v>3783</v>
      </c>
      <c r="C11" s="552">
        <v>0.01</v>
      </c>
      <c r="D11" s="553">
        <v>0.12</v>
      </c>
      <c r="E11" s="553">
        <v>0.85</v>
      </c>
      <c r="F11" s="553">
        <v>0</v>
      </c>
      <c r="G11" s="553">
        <v>0</v>
      </c>
      <c r="H11" s="553">
        <v>0</v>
      </c>
      <c r="I11" s="553">
        <v>0</v>
      </c>
      <c r="J11" s="553">
        <v>0</v>
      </c>
      <c r="K11" s="554">
        <v>0.06</v>
      </c>
      <c r="L11" s="555">
        <f t="shared" si="2"/>
        <v>1.03</v>
      </c>
      <c r="M11" s="562">
        <f>M9-E9+E9*M13</f>
        <v>15.507499999999999</v>
      </c>
      <c r="N11" s="563"/>
      <c r="O11" s="558">
        <f t="shared" ref="O11:O33" si="8">L11</f>
        <v>1.03</v>
      </c>
      <c r="P11" s="559">
        <f t="shared" si="3"/>
        <v>12</v>
      </c>
      <c r="Q11" s="560">
        <f t="shared" si="4"/>
        <v>15.600000000000001</v>
      </c>
      <c r="R11" s="560">
        <f t="shared" si="5"/>
        <v>18</v>
      </c>
      <c r="S11" s="560">
        <f t="shared" si="6"/>
        <v>27</v>
      </c>
      <c r="T11" s="559">
        <f t="shared" si="6"/>
        <v>27</v>
      </c>
      <c r="U11" s="559">
        <f t="shared" ref="U11:U33" si="9">O11*U$8</f>
        <v>1.5449999999999999</v>
      </c>
      <c r="V11" s="561" t="str">
        <f t="shared" si="7"/>
        <v>1am</v>
      </c>
      <c r="W11" s="509"/>
      <c r="X11" s="510"/>
      <c r="Y11" s="509"/>
      <c r="Z11" s="509"/>
      <c r="AA11" s="509"/>
      <c r="AB11" s="509"/>
      <c r="AC11"/>
      <c r="AD11" s="542"/>
    </row>
    <row r="12" spans="1:30" s="8" customFormat="1" x14ac:dyDescent="0.25">
      <c r="A12" s="796"/>
      <c r="B12" s="551" t="s">
        <v>3784</v>
      </c>
      <c r="C12" s="552">
        <v>0.01</v>
      </c>
      <c r="D12" s="553">
        <v>0.12</v>
      </c>
      <c r="E12" s="553">
        <v>0.4</v>
      </c>
      <c r="F12" s="553">
        <v>0</v>
      </c>
      <c r="G12" s="553">
        <v>0</v>
      </c>
      <c r="H12" s="553">
        <v>0</v>
      </c>
      <c r="I12" s="553">
        <v>0</v>
      </c>
      <c r="J12" s="553">
        <v>0</v>
      </c>
      <c r="K12" s="554">
        <v>0.06</v>
      </c>
      <c r="L12" s="555">
        <f t="shared" si="2"/>
        <v>0.58000000000000007</v>
      </c>
      <c r="M12" s="556" t="s">
        <v>3785</v>
      </c>
      <c r="N12" s="564"/>
      <c r="O12" s="558">
        <f t="shared" si="8"/>
        <v>0.58000000000000007</v>
      </c>
      <c r="P12" s="559">
        <f t="shared" si="3"/>
        <v>12</v>
      </c>
      <c r="Q12" s="560">
        <f t="shared" si="4"/>
        <v>15.600000000000001</v>
      </c>
      <c r="R12" s="560">
        <f t="shared" si="5"/>
        <v>18</v>
      </c>
      <c r="S12" s="560">
        <f t="shared" si="6"/>
        <v>27</v>
      </c>
      <c r="T12" s="559">
        <f t="shared" si="6"/>
        <v>27</v>
      </c>
      <c r="U12" s="559">
        <f t="shared" si="9"/>
        <v>0.87000000000000011</v>
      </c>
      <c r="V12" s="561" t="str">
        <f t="shared" si="7"/>
        <v>2am</v>
      </c>
      <c r="W12" s="509"/>
      <c r="X12" s="510"/>
      <c r="Y12" s="509"/>
      <c r="Z12" s="509"/>
      <c r="AA12" s="509"/>
      <c r="AB12" s="509"/>
      <c r="AC12"/>
      <c r="AD12" s="542"/>
    </row>
    <row r="13" spans="1:30" s="8" customFormat="1" x14ac:dyDescent="0.25">
      <c r="A13" s="796"/>
      <c r="B13" s="551" t="s">
        <v>3786</v>
      </c>
      <c r="C13" s="552">
        <v>0.01</v>
      </c>
      <c r="D13" s="553">
        <v>0.12</v>
      </c>
      <c r="E13" s="553">
        <v>0.4</v>
      </c>
      <c r="F13" s="553">
        <v>0</v>
      </c>
      <c r="G13" s="553">
        <v>0</v>
      </c>
      <c r="H13" s="553">
        <v>0</v>
      </c>
      <c r="I13" s="553">
        <v>0</v>
      </c>
      <c r="J13" s="553">
        <v>0</v>
      </c>
      <c r="K13" s="554">
        <v>0.06</v>
      </c>
      <c r="L13" s="555">
        <f t="shared" si="2"/>
        <v>0.58000000000000007</v>
      </c>
      <c r="M13" s="565">
        <v>0.15</v>
      </c>
      <c r="N13" s="557"/>
      <c r="O13" s="558">
        <f t="shared" si="8"/>
        <v>0.58000000000000007</v>
      </c>
      <c r="P13" s="559">
        <f t="shared" si="3"/>
        <v>12</v>
      </c>
      <c r="Q13" s="560">
        <f t="shared" si="4"/>
        <v>15.600000000000001</v>
      </c>
      <c r="R13" s="560">
        <f t="shared" si="5"/>
        <v>18</v>
      </c>
      <c r="S13" s="560">
        <f t="shared" si="6"/>
        <v>27</v>
      </c>
      <c r="T13" s="559">
        <f t="shared" si="6"/>
        <v>27</v>
      </c>
      <c r="U13" s="559">
        <f t="shared" si="9"/>
        <v>0.87000000000000011</v>
      </c>
      <c r="V13" s="561" t="str">
        <f t="shared" si="7"/>
        <v>3am</v>
      </c>
      <c r="W13" s="509"/>
      <c r="X13" s="510"/>
      <c r="Y13" s="509"/>
      <c r="Z13" s="509"/>
      <c r="AA13" s="509"/>
      <c r="AB13" s="509"/>
      <c r="AC13"/>
    </row>
    <row r="14" spans="1:30" s="8" customFormat="1" x14ac:dyDescent="0.25">
      <c r="A14" s="796"/>
      <c r="B14" s="551" t="s">
        <v>3787</v>
      </c>
      <c r="C14" s="552">
        <v>0.01</v>
      </c>
      <c r="D14" s="553">
        <v>0.12</v>
      </c>
      <c r="E14" s="553">
        <v>0.4</v>
      </c>
      <c r="F14" s="553">
        <v>0</v>
      </c>
      <c r="G14" s="553">
        <v>0</v>
      </c>
      <c r="H14" s="553">
        <v>0</v>
      </c>
      <c r="I14" s="553">
        <v>0</v>
      </c>
      <c r="J14" s="553">
        <v>0</v>
      </c>
      <c r="K14" s="554">
        <v>0.06</v>
      </c>
      <c r="L14" s="555">
        <f t="shared" si="2"/>
        <v>0.58000000000000007</v>
      </c>
      <c r="M14" s="566" t="s">
        <v>3788</v>
      </c>
      <c r="N14" s="557"/>
      <c r="O14" s="558">
        <f t="shared" si="8"/>
        <v>0.58000000000000007</v>
      </c>
      <c r="P14" s="559">
        <f t="shared" si="3"/>
        <v>12</v>
      </c>
      <c r="Q14" s="560">
        <f t="shared" si="4"/>
        <v>15.600000000000001</v>
      </c>
      <c r="R14" s="560">
        <f t="shared" si="5"/>
        <v>18</v>
      </c>
      <c r="S14" s="560">
        <f t="shared" si="6"/>
        <v>27</v>
      </c>
      <c r="T14" s="559">
        <f t="shared" si="6"/>
        <v>27</v>
      </c>
      <c r="U14" s="559">
        <f t="shared" si="9"/>
        <v>0.87000000000000011</v>
      </c>
      <c r="V14" s="561" t="str">
        <f t="shared" si="7"/>
        <v>4am</v>
      </c>
    </row>
    <row r="15" spans="1:30" s="8" customFormat="1" x14ac:dyDescent="0.25">
      <c r="A15" s="796"/>
      <c r="B15" s="551" t="s">
        <v>3789</v>
      </c>
      <c r="C15" s="552">
        <v>0.01</v>
      </c>
      <c r="D15" s="553">
        <v>0.12</v>
      </c>
      <c r="E15" s="553">
        <v>0.85</v>
      </c>
      <c r="F15" s="553">
        <v>0</v>
      </c>
      <c r="G15" s="553">
        <v>0</v>
      </c>
      <c r="H15" s="553">
        <v>0</v>
      </c>
      <c r="I15" s="553">
        <v>0</v>
      </c>
      <c r="J15" s="553">
        <v>0</v>
      </c>
      <c r="K15" s="554">
        <v>0.06</v>
      </c>
      <c r="L15" s="555">
        <f t="shared" si="2"/>
        <v>1.03</v>
      </c>
      <c r="M15" s="567" t="s">
        <v>3790</v>
      </c>
      <c r="N15" s="568"/>
      <c r="O15" s="558">
        <f t="shared" si="8"/>
        <v>1.03</v>
      </c>
      <c r="P15" s="559">
        <f t="shared" si="3"/>
        <v>12</v>
      </c>
      <c r="Q15" s="560">
        <f t="shared" si="4"/>
        <v>15.600000000000001</v>
      </c>
      <c r="R15" s="560">
        <f t="shared" si="5"/>
        <v>18</v>
      </c>
      <c r="S15" s="560">
        <f t="shared" si="6"/>
        <v>27</v>
      </c>
      <c r="T15" s="559">
        <f t="shared" si="6"/>
        <v>27</v>
      </c>
      <c r="U15" s="559">
        <f t="shared" si="9"/>
        <v>1.5449999999999999</v>
      </c>
      <c r="V15" s="561" t="str">
        <f t="shared" si="7"/>
        <v xml:space="preserve">5am </v>
      </c>
      <c r="W15" s="569" t="s">
        <v>3791</v>
      </c>
      <c r="X15" s="570">
        <f>[1]Calculator!F7</f>
        <v>3</v>
      </c>
    </row>
    <row r="16" spans="1:30" s="8" customFormat="1" ht="15.75" customHeight="1" x14ac:dyDescent="0.25">
      <c r="A16" s="797" t="s">
        <v>3792</v>
      </c>
      <c r="B16" s="571" t="s">
        <v>3793</v>
      </c>
      <c r="C16" s="572">
        <v>0.1</v>
      </c>
      <c r="D16" s="573">
        <v>0.12</v>
      </c>
      <c r="E16" s="573">
        <v>0.85</v>
      </c>
      <c r="F16" s="573">
        <v>0</v>
      </c>
      <c r="G16" s="573">
        <v>0</v>
      </c>
      <c r="H16" s="573">
        <v>0</v>
      </c>
      <c r="I16" s="573">
        <v>0</v>
      </c>
      <c r="J16" s="573">
        <v>0</v>
      </c>
      <c r="K16" s="574">
        <v>0.06</v>
      </c>
      <c r="L16" s="575">
        <f t="shared" si="2"/>
        <v>1.03</v>
      </c>
      <c r="M16" s="576">
        <f>SUM(L16:L27)/M8</f>
        <v>17.817132452719999</v>
      </c>
      <c r="N16" s="557"/>
      <c r="O16" s="558">
        <f t="shared" si="8"/>
        <v>1.03</v>
      </c>
      <c r="P16" s="559">
        <f t="shared" si="3"/>
        <v>12</v>
      </c>
      <c r="Q16" s="560">
        <f t="shared" si="4"/>
        <v>15.600000000000001</v>
      </c>
      <c r="R16" s="560">
        <f t="shared" si="5"/>
        <v>18</v>
      </c>
      <c r="S16" s="560">
        <f t="shared" si="6"/>
        <v>27</v>
      </c>
      <c r="T16" s="559">
        <f t="shared" si="6"/>
        <v>27</v>
      </c>
      <c r="U16" s="559">
        <f t="shared" si="9"/>
        <v>1.5449999999999999</v>
      </c>
      <c r="V16" s="561" t="str">
        <f t="shared" si="7"/>
        <v>6am</v>
      </c>
      <c r="W16" s="569" t="s">
        <v>3794</v>
      </c>
      <c r="X16" s="577">
        <f>0.65</f>
        <v>0.65</v>
      </c>
    </row>
    <row r="17" spans="1:30" s="8" customFormat="1" ht="15" customHeight="1" x14ac:dyDescent="0.25">
      <c r="A17" s="797"/>
      <c r="B17" s="571" t="s">
        <v>3795</v>
      </c>
      <c r="C17" s="572">
        <v>0.1</v>
      </c>
      <c r="D17" s="573">
        <v>0.12</v>
      </c>
      <c r="E17" s="573">
        <v>0.85</v>
      </c>
      <c r="F17" s="573">
        <v>0</v>
      </c>
      <c r="G17" s="573">
        <v>0</v>
      </c>
      <c r="H17" s="573">
        <v>0</v>
      </c>
      <c r="I17" s="573">
        <v>0</v>
      </c>
      <c r="J17" s="573">
        <v>0.1</v>
      </c>
      <c r="K17" s="574">
        <v>0.06</v>
      </c>
      <c r="L17" s="575">
        <f t="shared" si="2"/>
        <v>1.1300000000000001</v>
      </c>
      <c r="M17" s="578">
        <f>SUM(L16:L27)/L9</f>
        <v>0.56216397849462363</v>
      </c>
      <c r="N17" s="557"/>
      <c r="O17" s="558">
        <f t="shared" si="8"/>
        <v>1.1300000000000001</v>
      </c>
      <c r="P17" s="559">
        <f t="shared" si="3"/>
        <v>12</v>
      </c>
      <c r="Q17" s="560">
        <f t="shared" si="4"/>
        <v>15.600000000000001</v>
      </c>
      <c r="R17" s="560">
        <f t="shared" si="5"/>
        <v>18</v>
      </c>
      <c r="S17" s="560">
        <f t="shared" si="6"/>
        <v>27</v>
      </c>
      <c r="T17" s="559">
        <f t="shared" si="6"/>
        <v>27</v>
      </c>
      <c r="U17" s="559">
        <f t="shared" si="9"/>
        <v>1.6950000000000003</v>
      </c>
      <c r="V17" s="561" t="str">
        <f t="shared" si="7"/>
        <v>7am</v>
      </c>
      <c r="W17" s="579"/>
      <c r="X17" s="542"/>
      <c r="Y17" s="542"/>
      <c r="Z17" s="542"/>
      <c r="AA17" s="542"/>
      <c r="AB17" s="580"/>
      <c r="AC17" s="542"/>
    </row>
    <row r="18" spans="1:30" s="8" customFormat="1" ht="15" customHeight="1" x14ac:dyDescent="0.25">
      <c r="A18" s="797"/>
      <c r="B18" s="571" t="s">
        <v>3796</v>
      </c>
      <c r="C18" s="572">
        <v>0.03</v>
      </c>
      <c r="D18" s="573">
        <v>0.12</v>
      </c>
      <c r="E18" s="573">
        <v>0.85</v>
      </c>
      <c r="F18" s="573">
        <v>0</v>
      </c>
      <c r="G18" s="573">
        <v>0</v>
      </c>
      <c r="H18" s="573">
        <v>0.1</v>
      </c>
      <c r="I18" s="573">
        <v>0</v>
      </c>
      <c r="J18" s="573">
        <v>0.1</v>
      </c>
      <c r="K18" s="574">
        <v>0.06</v>
      </c>
      <c r="L18" s="575">
        <f t="shared" si="2"/>
        <v>1.2300000000000002</v>
      </c>
      <c r="N18" s="557"/>
      <c r="O18" s="558">
        <f t="shared" si="8"/>
        <v>1.2300000000000002</v>
      </c>
      <c r="P18" s="559">
        <f>ROUND(AVERAGE(P17, P19),1)</f>
        <v>13</v>
      </c>
      <c r="Q18" s="560">
        <f t="shared" si="4"/>
        <v>15.600000000000001</v>
      </c>
      <c r="R18" s="560">
        <f t="shared" si="5"/>
        <v>18</v>
      </c>
      <c r="S18" s="560">
        <f t="shared" si="6"/>
        <v>27</v>
      </c>
      <c r="T18" s="559">
        <f t="shared" si="6"/>
        <v>27</v>
      </c>
      <c r="U18" s="559">
        <f t="shared" si="9"/>
        <v>1.8450000000000002</v>
      </c>
      <c r="V18" s="561" t="str">
        <f t="shared" si="7"/>
        <v>8am</v>
      </c>
      <c r="W18" s="579"/>
      <c r="X18" s="542"/>
      <c r="Y18" s="542"/>
      <c r="Z18" s="542"/>
      <c r="AA18" s="542"/>
      <c r="AB18" s="580"/>
      <c r="AC18" s="542"/>
    </row>
    <row r="19" spans="1:30" s="8" customFormat="1" ht="15" customHeight="1" x14ac:dyDescent="0.25">
      <c r="A19" s="797"/>
      <c r="B19" s="571" t="s">
        <v>3797</v>
      </c>
      <c r="C19" s="572">
        <v>0.01</v>
      </c>
      <c r="D19" s="573">
        <v>0.12</v>
      </c>
      <c r="E19" s="573">
        <v>0.85</v>
      </c>
      <c r="F19" s="573">
        <v>0</v>
      </c>
      <c r="G19" s="573">
        <v>0</v>
      </c>
      <c r="H19" s="573">
        <v>0</v>
      </c>
      <c r="I19" s="573">
        <v>0</v>
      </c>
      <c r="J19" s="573">
        <v>0.1</v>
      </c>
      <c r="K19" s="574">
        <v>0.06</v>
      </c>
      <c r="L19" s="575">
        <f t="shared" si="2"/>
        <v>1.1300000000000001</v>
      </c>
      <c r="N19" s="557"/>
      <c r="O19" s="558">
        <f t="shared" si="8"/>
        <v>1.1300000000000001</v>
      </c>
      <c r="P19" s="581">
        <f t="shared" ref="P19:P25" si="10">ROUND($C$63+X$15*X$16,1)</f>
        <v>14</v>
      </c>
      <c r="Q19" s="560">
        <f t="shared" si="4"/>
        <v>15.600000000000001</v>
      </c>
      <c r="R19" s="560">
        <f t="shared" si="5"/>
        <v>18</v>
      </c>
      <c r="S19" s="560">
        <f t="shared" si="6"/>
        <v>27</v>
      </c>
      <c r="T19" s="559">
        <f t="shared" si="6"/>
        <v>27</v>
      </c>
      <c r="U19" s="559">
        <f t="shared" si="9"/>
        <v>1.6950000000000003</v>
      </c>
      <c r="V19" s="561" t="str">
        <f t="shared" si="7"/>
        <v>9am</v>
      </c>
      <c r="W19" s="579"/>
      <c r="X19" s="542"/>
      <c r="Y19" s="542"/>
      <c r="Z19" s="542"/>
      <c r="AA19" s="542"/>
      <c r="AB19" s="580"/>
      <c r="AC19" s="542"/>
    </row>
    <row r="20" spans="1:30" s="8" customFormat="1" ht="15" customHeight="1" x14ac:dyDescent="0.25">
      <c r="A20" s="797"/>
      <c r="B20" s="571" t="s">
        <v>3798</v>
      </c>
      <c r="C20" s="572">
        <v>0.01</v>
      </c>
      <c r="D20" s="573">
        <v>0.12</v>
      </c>
      <c r="E20" s="573">
        <v>0.85</v>
      </c>
      <c r="F20" s="573">
        <v>0</v>
      </c>
      <c r="G20" s="573">
        <v>0</v>
      </c>
      <c r="H20" s="573">
        <v>0</v>
      </c>
      <c r="I20" s="573">
        <v>0</v>
      </c>
      <c r="J20" s="573">
        <v>0.2</v>
      </c>
      <c r="K20" s="574">
        <v>0.06</v>
      </c>
      <c r="L20" s="575">
        <f t="shared" si="2"/>
        <v>1.23</v>
      </c>
      <c r="N20" s="557"/>
      <c r="O20" s="558">
        <f t="shared" si="8"/>
        <v>1.23</v>
      </c>
      <c r="P20" s="581">
        <f t="shared" si="10"/>
        <v>14</v>
      </c>
      <c r="Q20" s="560">
        <f t="shared" si="4"/>
        <v>15.600000000000001</v>
      </c>
      <c r="R20" s="560">
        <f t="shared" si="5"/>
        <v>18</v>
      </c>
      <c r="S20" s="560">
        <f t="shared" si="6"/>
        <v>27</v>
      </c>
      <c r="T20" s="559">
        <f t="shared" si="6"/>
        <v>27</v>
      </c>
      <c r="U20" s="559">
        <f t="shared" si="9"/>
        <v>1.845</v>
      </c>
      <c r="V20" s="561" t="str">
        <f t="shared" si="7"/>
        <v>10am</v>
      </c>
      <c r="W20" s="579"/>
      <c r="X20" s="542"/>
      <c r="Y20" s="542"/>
      <c r="Z20" s="542"/>
      <c r="AA20" s="542"/>
      <c r="AB20" s="580"/>
      <c r="AC20" s="542"/>
    </row>
    <row r="21" spans="1:30" s="8" customFormat="1" ht="15" customHeight="1" x14ac:dyDescent="0.25">
      <c r="A21" s="797"/>
      <c r="B21" s="571" t="s">
        <v>3799</v>
      </c>
      <c r="C21" s="572">
        <v>0.08</v>
      </c>
      <c r="D21" s="573">
        <v>0.12</v>
      </c>
      <c r="E21" s="573">
        <v>0.85</v>
      </c>
      <c r="F21" s="573">
        <v>1</v>
      </c>
      <c r="G21" s="573">
        <v>0</v>
      </c>
      <c r="H21" s="573">
        <v>0</v>
      </c>
      <c r="I21" s="573">
        <v>0</v>
      </c>
      <c r="J21" s="573">
        <v>0</v>
      </c>
      <c r="K21" s="574">
        <v>0.06</v>
      </c>
      <c r="L21" s="575">
        <f t="shared" si="2"/>
        <v>2.0299999999999998</v>
      </c>
      <c r="N21" s="557"/>
      <c r="O21" s="558">
        <f t="shared" si="8"/>
        <v>2.0299999999999998</v>
      </c>
      <c r="P21" s="581">
        <f t="shared" si="10"/>
        <v>14</v>
      </c>
      <c r="Q21" s="560">
        <f t="shared" si="4"/>
        <v>15.600000000000001</v>
      </c>
      <c r="R21" s="560">
        <f t="shared" si="5"/>
        <v>18</v>
      </c>
      <c r="S21" s="560">
        <f t="shared" si="6"/>
        <v>27</v>
      </c>
      <c r="T21" s="559">
        <f t="shared" si="6"/>
        <v>27</v>
      </c>
      <c r="U21" s="559">
        <f t="shared" si="9"/>
        <v>3.0449999999999999</v>
      </c>
      <c r="V21" s="561" t="str">
        <f t="shared" si="7"/>
        <v>11am</v>
      </c>
      <c r="W21" s="579"/>
      <c r="X21" s="542"/>
      <c r="Y21" s="542"/>
      <c r="Z21" s="542"/>
      <c r="AA21" s="542"/>
      <c r="AB21" s="580"/>
      <c r="AC21" s="542"/>
    </row>
    <row r="22" spans="1:30" s="8" customFormat="1" ht="15" customHeight="1" x14ac:dyDescent="0.25">
      <c r="A22" s="797"/>
      <c r="B22" s="571" t="s">
        <v>3800</v>
      </c>
      <c r="C22" s="572">
        <v>0.08</v>
      </c>
      <c r="D22" s="573">
        <v>0.12</v>
      </c>
      <c r="E22" s="573">
        <v>0.85</v>
      </c>
      <c r="F22" s="573">
        <v>0.7</v>
      </c>
      <c r="G22" s="573">
        <v>0</v>
      </c>
      <c r="H22" s="573">
        <v>0.15</v>
      </c>
      <c r="I22" s="573">
        <v>0</v>
      </c>
      <c r="J22" s="573">
        <v>0</v>
      </c>
      <c r="K22" s="574">
        <v>0.06</v>
      </c>
      <c r="L22" s="575">
        <f t="shared" si="2"/>
        <v>1.88</v>
      </c>
      <c r="N22" s="557"/>
      <c r="O22" s="558">
        <f t="shared" si="8"/>
        <v>1.88</v>
      </c>
      <c r="P22" s="581">
        <f t="shared" si="10"/>
        <v>14</v>
      </c>
      <c r="Q22" s="560">
        <f t="shared" si="4"/>
        <v>15.600000000000001</v>
      </c>
      <c r="R22" s="560">
        <f t="shared" si="5"/>
        <v>18</v>
      </c>
      <c r="S22" s="560">
        <f t="shared" si="6"/>
        <v>27</v>
      </c>
      <c r="T22" s="559">
        <f t="shared" si="6"/>
        <v>27</v>
      </c>
      <c r="U22" s="559">
        <f t="shared" si="9"/>
        <v>2.82</v>
      </c>
      <c r="V22" s="561" t="str">
        <f t="shared" si="7"/>
        <v>12pm</v>
      </c>
      <c r="W22" s="579"/>
      <c r="X22" s="542"/>
      <c r="Y22" s="542"/>
      <c r="Z22" s="542"/>
      <c r="AA22" s="542"/>
      <c r="AB22" s="580"/>
      <c r="AC22" s="542"/>
    </row>
    <row r="23" spans="1:30" s="8" customFormat="1" ht="15" customHeight="1" x14ac:dyDescent="0.25">
      <c r="A23" s="797"/>
      <c r="B23" s="571" t="s">
        <v>3801</v>
      </c>
      <c r="C23" s="572">
        <v>0.01</v>
      </c>
      <c r="D23" s="573">
        <v>0.12</v>
      </c>
      <c r="E23" s="573">
        <v>0.85</v>
      </c>
      <c r="F23" s="573">
        <v>0.5</v>
      </c>
      <c r="G23" s="573">
        <v>0</v>
      </c>
      <c r="H23" s="573">
        <v>0</v>
      </c>
      <c r="I23" s="573">
        <v>0</v>
      </c>
      <c r="J23" s="573">
        <v>0.5</v>
      </c>
      <c r="K23" s="574">
        <v>0.06</v>
      </c>
      <c r="L23" s="575">
        <f t="shared" si="2"/>
        <v>2.0299999999999998</v>
      </c>
      <c r="N23" s="557"/>
      <c r="O23" s="558">
        <f t="shared" si="8"/>
        <v>2.0299999999999998</v>
      </c>
      <c r="P23" s="581">
        <f t="shared" si="10"/>
        <v>14</v>
      </c>
      <c r="Q23" s="560">
        <f t="shared" si="4"/>
        <v>15.600000000000001</v>
      </c>
      <c r="R23" s="560">
        <f t="shared" si="5"/>
        <v>18</v>
      </c>
      <c r="S23" s="560">
        <f t="shared" si="6"/>
        <v>27</v>
      </c>
      <c r="T23" s="559">
        <f t="shared" si="6"/>
        <v>27</v>
      </c>
      <c r="U23" s="559">
        <f t="shared" si="9"/>
        <v>3.0449999999999999</v>
      </c>
      <c r="V23" s="561" t="str">
        <f t="shared" si="7"/>
        <v>1pm</v>
      </c>
      <c r="W23" s="579"/>
      <c r="X23" s="542"/>
      <c r="Y23" s="542"/>
      <c r="Z23" s="542"/>
      <c r="AA23" s="542"/>
      <c r="AB23" s="580"/>
      <c r="AC23" s="542"/>
      <c r="AD23" s="542"/>
    </row>
    <row r="24" spans="1:30" s="8" customFormat="1" ht="15" customHeight="1" x14ac:dyDescent="0.25">
      <c r="A24" s="797"/>
      <c r="B24" s="571" t="s">
        <v>3802</v>
      </c>
      <c r="C24" s="572">
        <v>0.01</v>
      </c>
      <c r="D24" s="573">
        <v>0.12</v>
      </c>
      <c r="E24" s="573">
        <v>0.85</v>
      </c>
      <c r="F24" s="573">
        <v>0.5</v>
      </c>
      <c r="G24" s="573">
        <v>0</v>
      </c>
      <c r="H24" s="573">
        <v>0</v>
      </c>
      <c r="I24" s="573">
        <v>0</v>
      </c>
      <c r="J24" s="573">
        <v>0</v>
      </c>
      <c r="K24" s="574">
        <v>0.06</v>
      </c>
      <c r="L24" s="575">
        <f t="shared" si="2"/>
        <v>1.53</v>
      </c>
      <c r="N24" s="557"/>
      <c r="O24" s="558">
        <f t="shared" si="8"/>
        <v>1.53</v>
      </c>
      <c r="P24" s="581">
        <f t="shared" si="10"/>
        <v>14</v>
      </c>
      <c r="Q24" s="560">
        <f t="shared" si="4"/>
        <v>15.600000000000001</v>
      </c>
      <c r="R24" s="560">
        <f t="shared" si="5"/>
        <v>18</v>
      </c>
      <c r="S24" s="560">
        <f t="shared" si="6"/>
        <v>27</v>
      </c>
      <c r="T24" s="559">
        <f t="shared" si="6"/>
        <v>27</v>
      </c>
      <c r="U24" s="559">
        <f t="shared" si="9"/>
        <v>2.2949999999999999</v>
      </c>
      <c r="V24" s="561" t="str">
        <f t="shared" si="7"/>
        <v>2pm</v>
      </c>
      <c r="W24" s="579"/>
      <c r="X24" s="542"/>
      <c r="Y24" s="542"/>
      <c r="Z24" s="542"/>
      <c r="AA24" s="542"/>
      <c r="AB24" s="580"/>
      <c r="AC24" s="542"/>
      <c r="AD24" s="542"/>
    </row>
    <row r="25" spans="1:30" s="8" customFormat="1" ht="15" customHeight="1" x14ac:dyDescent="0.25">
      <c r="A25" s="797"/>
      <c r="B25" s="571" t="s">
        <v>3803</v>
      </c>
      <c r="C25" s="572">
        <v>0.01</v>
      </c>
      <c r="D25" s="573">
        <v>0.12</v>
      </c>
      <c r="E25" s="573">
        <v>0.85</v>
      </c>
      <c r="F25" s="573">
        <v>0.15</v>
      </c>
      <c r="G25" s="573">
        <v>0</v>
      </c>
      <c r="H25" s="573">
        <v>0</v>
      </c>
      <c r="I25" s="573">
        <v>0</v>
      </c>
      <c r="J25" s="573">
        <v>0</v>
      </c>
      <c r="K25" s="574">
        <v>0.06</v>
      </c>
      <c r="L25" s="575">
        <f t="shared" si="2"/>
        <v>1.18</v>
      </c>
      <c r="N25" s="582"/>
      <c r="O25" s="558">
        <f t="shared" si="8"/>
        <v>1.18</v>
      </c>
      <c r="P25" s="581">
        <f t="shared" si="10"/>
        <v>14</v>
      </c>
      <c r="Q25" s="560">
        <f t="shared" si="4"/>
        <v>15.600000000000001</v>
      </c>
      <c r="R25" s="560">
        <f t="shared" si="5"/>
        <v>18</v>
      </c>
      <c r="S25" s="560">
        <f t="shared" si="6"/>
        <v>27</v>
      </c>
      <c r="T25" s="559">
        <f t="shared" si="6"/>
        <v>27</v>
      </c>
      <c r="U25" s="559">
        <f t="shared" si="9"/>
        <v>1.77</v>
      </c>
      <c r="V25" s="561" t="str">
        <f t="shared" si="7"/>
        <v>3pm</v>
      </c>
      <c r="W25" s="579"/>
      <c r="X25" s="542"/>
      <c r="Y25" s="542"/>
      <c r="Z25" s="542"/>
      <c r="AA25" s="542"/>
      <c r="AB25" s="580"/>
      <c r="AC25" s="580"/>
      <c r="AD25" s="542"/>
    </row>
    <row r="26" spans="1:30" s="8" customFormat="1" ht="15" customHeight="1" x14ac:dyDescent="0.25">
      <c r="A26" s="797"/>
      <c r="B26" s="571" t="s">
        <v>3804</v>
      </c>
      <c r="C26" s="572">
        <v>0.01</v>
      </c>
      <c r="D26" s="573">
        <v>0.12</v>
      </c>
      <c r="E26" s="573">
        <v>0.85</v>
      </c>
      <c r="F26" s="573">
        <v>0.15</v>
      </c>
      <c r="G26" s="573">
        <v>0</v>
      </c>
      <c r="H26" s="573">
        <v>0</v>
      </c>
      <c r="I26" s="573">
        <v>0</v>
      </c>
      <c r="J26" s="573">
        <v>0.05</v>
      </c>
      <c r="K26" s="574">
        <v>0.06</v>
      </c>
      <c r="L26" s="575">
        <f t="shared" si="2"/>
        <v>1.23</v>
      </c>
      <c r="N26" s="557"/>
      <c r="O26" s="558">
        <f t="shared" si="8"/>
        <v>1.23</v>
      </c>
      <c r="P26" s="559">
        <f>ROUND(AVERAGE(P25, P27),1)</f>
        <v>13</v>
      </c>
      <c r="Q26" s="560">
        <f t="shared" si="4"/>
        <v>15.600000000000001</v>
      </c>
      <c r="R26" s="560">
        <f t="shared" si="5"/>
        <v>18</v>
      </c>
      <c r="S26" s="560">
        <f t="shared" si="6"/>
        <v>27</v>
      </c>
      <c r="T26" s="559">
        <f t="shared" si="6"/>
        <v>27</v>
      </c>
      <c r="U26" s="559">
        <f t="shared" si="9"/>
        <v>1.845</v>
      </c>
      <c r="V26" s="561" t="str">
        <f t="shared" si="7"/>
        <v>4pm</v>
      </c>
      <c r="W26" s="579"/>
      <c r="X26" s="542"/>
      <c r="Y26" s="542"/>
      <c r="Z26" s="542"/>
      <c r="AA26" s="542"/>
      <c r="AB26" s="580"/>
      <c r="AC26" s="580"/>
      <c r="AD26" s="542"/>
    </row>
    <row r="27" spans="1:30" s="8" customFormat="1" ht="15" customHeight="1" x14ac:dyDescent="0.25">
      <c r="A27" s="797"/>
      <c r="B27" s="571" t="s">
        <v>3805</v>
      </c>
      <c r="C27" s="572">
        <v>7.0000000000000007E-2</v>
      </c>
      <c r="D27" s="573">
        <v>0.12</v>
      </c>
      <c r="E27" s="573">
        <v>0.85</v>
      </c>
      <c r="F27" s="573">
        <v>0</v>
      </c>
      <c r="G27" s="573"/>
      <c r="H27" s="573">
        <v>0</v>
      </c>
      <c r="I27" s="573">
        <v>0.02</v>
      </c>
      <c r="J27" s="573">
        <v>0.05</v>
      </c>
      <c r="K27" s="574">
        <v>0.06</v>
      </c>
      <c r="L27" s="575">
        <f t="shared" si="2"/>
        <v>1.1000000000000001</v>
      </c>
      <c r="M27" s="567" t="s">
        <v>3806</v>
      </c>
      <c r="N27" s="557"/>
      <c r="O27" s="558">
        <f t="shared" si="8"/>
        <v>1.1000000000000001</v>
      </c>
      <c r="P27" s="559">
        <f t="shared" ref="P27:P34" si="11">$C$63</f>
        <v>12</v>
      </c>
      <c r="Q27" s="560">
        <f t="shared" si="4"/>
        <v>15.600000000000001</v>
      </c>
      <c r="R27" s="560">
        <f t="shared" si="5"/>
        <v>18</v>
      </c>
      <c r="S27" s="560">
        <f t="shared" si="6"/>
        <v>27</v>
      </c>
      <c r="T27" s="559">
        <f t="shared" si="6"/>
        <v>27</v>
      </c>
      <c r="U27" s="559">
        <f t="shared" si="9"/>
        <v>1.6500000000000001</v>
      </c>
      <c r="V27" s="561" t="str">
        <f t="shared" si="7"/>
        <v>5pm</v>
      </c>
      <c r="W27" s="579"/>
      <c r="X27" s="542"/>
      <c r="Y27" s="542"/>
      <c r="Z27" s="542"/>
      <c r="AA27" s="542"/>
      <c r="AB27" s="580"/>
      <c r="AC27" s="580"/>
      <c r="AD27" s="542"/>
    </row>
    <row r="28" spans="1:30" s="8" customFormat="1" x14ac:dyDescent="0.25">
      <c r="A28" s="796" t="s">
        <v>3103</v>
      </c>
      <c r="B28" s="551" t="s">
        <v>3807</v>
      </c>
      <c r="C28" s="552">
        <v>0.12</v>
      </c>
      <c r="D28" s="553">
        <v>0.12</v>
      </c>
      <c r="E28" s="553">
        <v>0.85</v>
      </c>
      <c r="F28" s="553">
        <v>0</v>
      </c>
      <c r="G28" s="553">
        <v>0.13</v>
      </c>
      <c r="H28" s="553">
        <v>1</v>
      </c>
      <c r="I28" s="553">
        <v>0</v>
      </c>
      <c r="J28" s="553">
        <v>0</v>
      </c>
      <c r="K28" s="554">
        <v>0.06</v>
      </c>
      <c r="L28" s="555">
        <f t="shared" si="2"/>
        <v>2.16</v>
      </c>
      <c r="M28" s="583">
        <f>(SUM(L10:L15)+SUM(L28:L33))/M8</f>
        <v>13.876702681347375</v>
      </c>
      <c r="N28" s="557"/>
      <c r="O28" s="558">
        <f t="shared" si="8"/>
        <v>2.16</v>
      </c>
      <c r="P28" s="559">
        <f t="shared" si="11"/>
        <v>12</v>
      </c>
      <c r="Q28" s="560">
        <f t="shared" si="4"/>
        <v>15.600000000000001</v>
      </c>
      <c r="R28" s="560">
        <f t="shared" si="5"/>
        <v>18</v>
      </c>
      <c r="S28" s="560">
        <f t="shared" si="6"/>
        <v>27</v>
      </c>
      <c r="T28" s="559">
        <f t="shared" si="6"/>
        <v>27</v>
      </c>
      <c r="U28" s="559">
        <f t="shared" si="9"/>
        <v>3.24</v>
      </c>
      <c r="V28" s="561" t="str">
        <f t="shared" si="7"/>
        <v>6pm</v>
      </c>
      <c r="W28" s="579"/>
      <c r="X28" s="542"/>
      <c r="Y28" s="542"/>
      <c r="Z28" s="542"/>
      <c r="AA28" s="542"/>
      <c r="AB28" s="580"/>
      <c r="AC28" s="542"/>
      <c r="AD28" s="526"/>
    </row>
    <row r="29" spans="1:30" s="8" customFormat="1" x14ac:dyDescent="0.25">
      <c r="A29" s="796"/>
      <c r="B29" s="551" t="s">
        <v>3808</v>
      </c>
      <c r="C29" s="552">
        <v>0.12</v>
      </c>
      <c r="D29" s="553">
        <v>0.12</v>
      </c>
      <c r="E29" s="553">
        <v>0.85</v>
      </c>
      <c r="F29" s="553">
        <v>0</v>
      </c>
      <c r="G29" s="553">
        <v>0.13</v>
      </c>
      <c r="H29" s="553">
        <v>0.2</v>
      </c>
      <c r="I29" s="553">
        <v>0</v>
      </c>
      <c r="J29" s="553">
        <v>0.05</v>
      </c>
      <c r="K29" s="554">
        <v>0.06</v>
      </c>
      <c r="L29" s="555">
        <f t="shared" si="2"/>
        <v>1.4100000000000001</v>
      </c>
      <c r="M29" s="578">
        <f>M28/M9</f>
        <v>0.43775087322862383</v>
      </c>
      <c r="N29" s="557"/>
      <c r="O29" s="558">
        <f t="shared" si="8"/>
        <v>1.4100000000000001</v>
      </c>
      <c r="P29" s="559">
        <f t="shared" si="11"/>
        <v>12</v>
      </c>
      <c r="Q29" s="560">
        <f t="shared" si="4"/>
        <v>15.600000000000001</v>
      </c>
      <c r="R29" s="560">
        <f t="shared" si="5"/>
        <v>18</v>
      </c>
      <c r="S29" s="560">
        <f t="shared" si="6"/>
        <v>27</v>
      </c>
      <c r="T29" s="559">
        <f t="shared" si="6"/>
        <v>27</v>
      </c>
      <c r="U29" s="559">
        <f t="shared" si="9"/>
        <v>2.1150000000000002</v>
      </c>
      <c r="V29" s="561" t="str">
        <f t="shared" si="7"/>
        <v>7pm</v>
      </c>
      <c r="W29" s="579"/>
      <c r="X29" s="542"/>
      <c r="Y29" s="542"/>
      <c r="Z29" s="542"/>
      <c r="AA29" s="542"/>
      <c r="AB29" s="580"/>
      <c r="AC29" s="542"/>
      <c r="AD29" s="526"/>
    </row>
    <row r="30" spans="1:30" s="8" customFormat="1" x14ac:dyDescent="0.25">
      <c r="A30" s="796"/>
      <c r="B30" s="551" t="s">
        <v>3809</v>
      </c>
      <c r="C30" s="552">
        <v>0.09</v>
      </c>
      <c r="D30" s="553">
        <v>0.12</v>
      </c>
      <c r="E30" s="553">
        <v>0.85</v>
      </c>
      <c r="F30" s="553">
        <v>0</v>
      </c>
      <c r="G30" s="553">
        <v>0.13</v>
      </c>
      <c r="H30" s="553">
        <v>0.2</v>
      </c>
      <c r="I30" s="553">
        <v>0</v>
      </c>
      <c r="J30" s="553">
        <v>0.05</v>
      </c>
      <c r="K30" s="554">
        <v>0.06</v>
      </c>
      <c r="L30" s="555">
        <f t="shared" si="2"/>
        <v>1.4100000000000001</v>
      </c>
      <c r="N30" s="557"/>
      <c r="O30" s="558">
        <f t="shared" si="8"/>
        <v>1.4100000000000001</v>
      </c>
      <c r="P30" s="559">
        <f t="shared" si="11"/>
        <v>12</v>
      </c>
      <c r="Q30" s="560">
        <f t="shared" si="4"/>
        <v>15.600000000000001</v>
      </c>
      <c r="R30" s="560">
        <f t="shared" si="5"/>
        <v>18</v>
      </c>
      <c r="S30" s="560">
        <f t="shared" si="6"/>
        <v>27</v>
      </c>
      <c r="T30" s="559">
        <f t="shared" si="6"/>
        <v>27</v>
      </c>
      <c r="U30" s="559">
        <f t="shared" si="9"/>
        <v>2.1150000000000002</v>
      </c>
      <c r="V30" s="561" t="str">
        <f t="shared" si="7"/>
        <v>8pm</v>
      </c>
      <c r="W30" s="579"/>
      <c r="X30" s="542"/>
      <c r="Y30" s="542"/>
      <c r="Z30" s="542"/>
      <c r="AA30" s="542"/>
      <c r="AB30" s="580"/>
      <c r="AC30" s="509"/>
    </row>
    <row r="31" spans="1:30" s="8" customFormat="1" x14ac:dyDescent="0.25">
      <c r="A31" s="796"/>
      <c r="B31" s="551" t="s">
        <v>3810</v>
      </c>
      <c r="C31" s="552">
        <v>0.05</v>
      </c>
      <c r="D31" s="553">
        <v>0.12</v>
      </c>
      <c r="E31" s="553">
        <v>0.85</v>
      </c>
      <c r="F31" s="553">
        <v>0</v>
      </c>
      <c r="G31" s="553">
        <v>0.13</v>
      </c>
      <c r="H31" s="553">
        <v>0</v>
      </c>
      <c r="I31" s="553">
        <v>0</v>
      </c>
      <c r="J31" s="553">
        <v>0</v>
      </c>
      <c r="K31" s="554">
        <v>0.06</v>
      </c>
      <c r="L31" s="555">
        <f t="shared" si="2"/>
        <v>1.1600000000000001</v>
      </c>
      <c r="N31" s="557"/>
      <c r="O31" s="558">
        <f t="shared" si="8"/>
        <v>1.1600000000000001</v>
      </c>
      <c r="P31" s="559">
        <f t="shared" si="11"/>
        <v>12</v>
      </c>
      <c r="Q31" s="560">
        <f t="shared" si="4"/>
        <v>15.600000000000001</v>
      </c>
      <c r="R31" s="560">
        <f t="shared" si="5"/>
        <v>18</v>
      </c>
      <c r="S31" s="560">
        <f t="shared" si="6"/>
        <v>27</v>
      </c>
      <c r="T31" s="559">
        <f t="shared" si="6"/>
        <v>27</v>
      </c>
      <c r="U31" s="559">
        <f t="shared" si="9"/>
        <v>1.7400000000000002</v>
      </c>
      <c r="V31" s="561" t="str">
        <f t="shared" si="7"/>
        <v>9pm</v>
      </c>
      <c r="W31" s="579"/>
      <c r="X31" s="542"/>
      <c r="Y31" s="542"/>
      <c r="Z31" s="542"/>
      <c r="AA31" s="542"/>
      <c r="AB31" s="580"/>
      <c r="AC31" s="509"/>
    </row>
    <row r="32" spans="1:30" s="8" customFormat="1" x14ac:dyDescent="0.25">
      <c r="A32" s="796"/>
      <c r="B32" s="551" t="s">
        <v>3811</v>
      </c>
      <c r="C32" s="552">
        <v>0.03</v>
      </c>
      <c r="D32" s="553">
        <v>0.12</v>
      </c>
      <c r="E32" s="553">
        <v>0.85</v>
      </c>
      <c r="F32" s="553">
        <v>0</v>
      </c>
      <c r="G32" s="553">
        <v>0</v>
      </c>
      <c r="H32" s="553">
        <v>0</v>
      </c>
      <c r="I32" s="553">
        <v>0</v>
      </c>
      <c r="J32" s="553">
        <v>0</v>
      </c>
      <c r="K32" s="554">
        <v>0.06</v>
      </c>
      <c r="L32" s="555">
        <f t="shared" si="2"/>
        <v>1.03</v>
      </c>
      <c r="N32" s="557"/>
      <c r="O32" s="558">
        <f t="shared" si="8"/>
        <v>1.03</v>
      </c>
      <c r="P32" s="559">
        <f t="shared" si="11"/>
        <v>12</v>
      </c>
      <c r="Q32" s="560">
        <f t="shared" si="4"/>
        <v>15.600000000000001</v>
      </c>
      <c r="R32" s="560">
        <f t="shared" si="5"/>
        <v>18</v>
      </c>
      <c r="S32" s="560">
        <f t="shared" si="6"/>
        <v>27</v>
      </c>
      <c r="T32" s="559">
        <f t="shared" si="6"/>
        <v>27</v>
      </c>
      <c r="U32" s="559">
        <f t="shared" si="9"/>
        <v>1.5449999999999999</v>
      </c>
      <c r="V32" s="561" t="str">
        <f t="shared" si="7"/>
        <v>10pm</v>
      </c>
      <c r="W32" s="579"/>
      <c r="X32" s="542"/>
      <c r="Y32" s="542"/>
      <c r="Z32" s="542"/>
      <c r="AA32" s="542"/>
      <c r="AB32" s="580"/>
      <c r="AC32" s="509"/>
    </row>
    <row r="33" spans="1:29" s="8" customFormat="1" x14ac:dyDescent="0.25">
      <c r="A33" s="796"/>
      <c r="B33" s="551" t="s">
        <v>3812</v>
      </c>
      <c r="C33" s="552">
        <v>0.01</v>
      </c>
      <c r="D33" s="553">
        <v>0.12</v>
      </c>
      <c r="E33" s="553">
        <v>0.85</v>
      </c>
      <c r="F33" s="553">
        <v>0</v>
      </c>
      <c r="G33" s="553">
        <v>0</v>
      </c>
      <c r="H33" s="553">
        <v>0</v>
      </c>
      <c r="I33" s="553">
        <v>0</v>
      </c>
      <c r="J33" s="553">
        <v>0</v>
      </c>
      <c r="K33" s="554">
        <v>0.06</v>
      </c>
      <c r="L33" s="555">
        <f t="shared" si="2"/>
        <v>1.03</v>
      </c>
      <c r="M33" s="584"/>
      <c r="N33" s="557"/>
      <c r="O33" s="558">
        <f t="shared" si="8"/>
        <v>1.03</v>
      </c>
      <c r="P33" s="559">
        <f t="shared" si="11"/>
        <v>12</v>
      </c>
      <c r="Q33" s="560">
        <f t="shared" si="4"/>
        <v>15.600000000000001</v>
      </c>
      <c r="R33" s="560">
        <f t="shared" si="5"/>
        <v>18</v>
      </c>
      <c r="S33" s="560">
        <f t="shared" si="6"/>
        <v>27</v>
      </c>
      <c r="T33" s="559">
        <f t="shared" si="6"/>
        <v>27</v>
      </c>
      <c r="U33" s="559">
        <f t="shared" si="9"/>
        <v>1.5449999999999999</v>
      </c>
      <c r="V33" s="561" t="str">
        <f t="shared" si="7"/>
        <v>11pm</v>
      </c>
      <c r="W33" s="579"/>
      <c r="X33" s="542"/>
      <c r="Y33" s="542"/>
      <c r="Z33" s="542"/>
      <c r="AA33" s="542"/>
      <c r="AB33" s="580"/>
      <c r="AC33" s="509"/>
    </row>
    <row r="34" spans="1:29" x14ac:dyDescent="0.25">
      <c r="C34" s="585">
        <f>SUM(C10:C33)</f>
        <v>1</v>
      </c>
      <c r="D34" s="12">
        <f>SUM(D10:D33)</f>
        <v>2.8800000000000017</v>
      </c>
      <c r="E34" s="12">
        <f>SUM(E10:E33)</f>
        <v>19.05</v>
      </c>
      <c r="F34" s="12">
        <f>SUM(F10:F33)</f>
        <v>3</v>
      </c>
      <c r="G34" s="12">
        <f t="shared" ref="G34:L34" si="12">SUM(G10:G33)</f>
        <v>0.52</v>
      </c>
      <c r="H34" s="12">
        <f t="shared" si="12"/>
        <v>1.65</v>
      </c>
      <c r="I34" s="12">
        <f t="shared" si="12"/>
        <v>0.02</v>
      </c>
      <c r="J34" s="12">
        <f>SUM(J10:J33)</f>
        <v>1.2000000000000002</v>
      </c>
      <c r="K34" s="12">
        <f t="shared" si="12"/>
        <v>1.4400000000000008</v>
      </c>
      <c r="L34" s="12">
        <f t="shared" si="12"/>
        <v>29.760000000000009</v>
      </c>
      <c r="O34" s="558">
        <f>O10</f>
        <v>1.03</v>
      </c>
      <c r="P34" s="559">
        <f t="shared" si="11"/>
        <v>12</v>
      </c>
      <c r="Q34" s="560">
        <f t="shared" si="4"/>
        <v>15.600000000000001</v>
      </c>
      <c r="R34" s="560">
        <f t="shared" si="5"/>
        <v>18</v>
      </c>
      <c r="S34" s="560">
        <f t="shared" si="6"/>
        <v>27</v>
      </c>
      <c r="T34" s="559">
        <f t="shared" si="6"/>
        <v>27</v>
      </c>
      <c r="U34" s="559">
        <f>U10</f>
        <v>1.5449999999999999</v>
      </c>
      <c r="V34" s="561" t="s">
        <v>3800</v>
      </c>
      <c r="W34" s="579"/>
      <c r="X34" s="542"/>
      <c r="Y34" s="542"/>
      <c r="Z34" s="542"/>
      <c r="AA34" s="542"/>
      <c r="AB34" s="580"/>
      <c r="AC34" s="509"/>
    </row>
    <row r="35" spans="1:29" x14ac:dyDescent="0.25">
      <c r="B35" s="586" t="s">
        <v>3813</v>
      </c>
      <c r="C35" s="587"/>
      <c r="D35" s="587"/>
      <c r="E35" s="587"/>
      <c r="F35" s="587"/>
      <c r="G35" s="587"/>
      <c r="H35" s="587"/>
      <c r="I35" s="587"/>
      <c r="J35" s="587"/>
      <c r="K35" s="587"/>
      <c r="O35" s="588"/>
      <c r="P35" s="589"/>
      <c r="R35" s="588"/>
      <c r="S35" s="588"/>
      <c r="T35" s="588"/>
      <c r="U35" s="588"/>
      <c r="V35" s="590"/>
      <c r="W35" s="579"/>
      <c r="X35" s="542"/>
      <c r="Y35" s="542"/>
      <c r="Z35" s="542"/>
      <c r="AA35" s="542"/>
      <c r="AB35" s="580"/>
    </row>
    <row r="36" spans="1:29" x14ac:dyDescent="0.25">
      <c r="B36" s="798" t="s">
        <v>3814</v>
      </c>
      <c r="C36" s="798"/>
      <c r="D36" s="798"/>
      <c r="E36" s="798"/>
      <c r="F36" s="798"/>
      <c r="G36" s="798"/>
      <c r="H36" s="798"/>
      <c r="I36" s="798"/>
      <c r="J36" s="798"/>
      <c r="K36" s="798"/>
      <c r="O36" s="588"/>
      <c r="P36" s="588"/>
      <c r="Q36" s="588"/>
      <c r="R36" s="588"/>
      <c r="S36" s="588"/>
      <c r="T36" s="588"/>
      <c r="U36" s="588"/>
      <c r="V36" s="590"/>
      <c r="W36" s="579"/>
      <c r="X36" s="542"/>
      <c r="Y36" s="542"/>
      <c r="Z36" s="542"/>
      <c r="AA36" s="542"/>
      <c r="AB36" s="580"/>
    </row>
    <row r="37" spans="1:29" x14ac:dyDescent="0.25">
      <c r="B37" s="798"/>
      <c r="C37" s="798"/>
      <c r="D37" s="798"/>
      <c r="E37" s="798"/>
      <c r="F37" s="798"/>
      <c r="G37" s="798"/>
      <c r="H37" s="798"/>
      <c r="I37" s="798"/>
      <c r="J37" s="798"/>
      <c r="K37" s="798"/>
      <c r="P37" s="588"/>
      <c r="Q37" s="591"/>
      <c r="R37" s="588"/>
      <c r="S37" s="588"/>
      <c r="T37" s="588"/>
      <c r="U37" s="588"/>
      <c r="V37" s="590"/>
      <c r="W37" s="579"/>
      <c r="X37" s="542"/>
      <c r="Y37" s="542"/>
      <c r="Z37" s="542"/>
      <c r="AA37" s="542"/>
      <c r="AB37" s="580"/>
    </row>
    <row r="38" spans="1:29" x14ac:dyDescent="0.25">
      <c r="P38" s="588"/>
      <c r="Q38" s="591"/>
      <c r="R38" s="588"/>
      <c r="S38" s="588"/>
      <c r="T38" s="588"/>
      <c r="U38" s="588"/>
      <c r="V38" s="590"/>
      <c r="W38" s="579"/>
      <c r="X38" s="542"/>
      <c r="Y38" s="542"/>
      <c r="Z38" s="542"/>
      <c r="AA38" s="542"/>
      <c r="AB38" s="580"/>
    </row>
    <row r="39" spans="1:29" x14ac:dyDescent="0.25">
      <c r="C39" s="592" t="s">
        <v>3815</v>
      </c>
      <c r="D39" s="509"/>
      <c r="F39" s="509"/>
      <c r="G39" s="509"/>
      <c r="H39" s="510"/>
      <c r="I39" s="509"/>
      <c r="J39" s="509"/>
      <c r="K39" s="509"/>
      <c r="L39" s="509"/>
      <c r="O39" s="588"/>
      <c r="P39" s="588"/>
      <c r="Q39" s="591"/>
      <c r="R39" s="588"/>
      <c r="S39" s="588"/>
      <c r="T39" s="588"/>
      <c r="U39" s="588"/>
      <c r="V39" s="590"/>
      <c r="W39" s="542"/>
    </row>
    <row r="40" spans="1:29" x14ac:dyDescent="0.25">
      <c r="C40" s="589"/>
      <c r="D40" s="509"/>
      <c r="E40" s="509"/>
      <c r="F40" s="509"/>
      <c r="G40" s="509"/>
      <c r="H40" s="510"/>
      <c r="I40" s="507" t="s">
        <v>3039</v>
      </c>
      <c r="J40" s="507" t="s">
        <v>3028</v>
      </c>
      <c r="K40" s="509"/>
      <c r="L40" s="509"/>
      <c r="M40" s="8"/>
      <c r="O40" s="588"/>
      <c r="P40" s="588"/>
      <c r="Q40" s="591"/>
      <c r="R40" s="588"/>
      <c r="S40" s="588"/>
      <c r="T40" s="588"/>
      <c r="U40" s="588"/>
      <c r="V40" s="590"/>
      <c r="W40" s="542"/>
    </row>
    <row r="41" spans="1:29" x14ac:dyDescent="0.25">
      <c r="B41" s="794"/>
      <c r="C41" s="794"/>
      <c r="D41" s="593" t="s">
        <v>3816</v>
      </c>
      <c r="E41" s="593" t="s">
        <v>3817</v>
      </c>
      <c r="F41" s="593" t="s">
        <v>3818</v>
      </c>
      <c r="G41" s="594" t="s">
        <v>3028</v>
      </c>
      <c r="H41" s="595" t="s">
        <v>133</v>
      </c>
      <c r="I41" s="593" t="s">
        <v>3819</v>
      </c>
      <c r="J41" s="593" t="s">
        <v>3820</v>
      </c>
      <c r="K41" s="593" t="s">
        <v>3821</v>
      </c>
      <c r="L41" s="789" t="s">
        <v>3822</v>
      </c>
      <c r="M41" s="789"/>
      <c r="O41" s="8"/>
      <c r="P41" s="509"/>
      <c r="Q41" s="591"/>
      <c r="R41" s="588"/>
      <c r="S41" s="588"/>
      <c r="T41" s="588"/>
      <c r="U41" s="588"/>
      <c r="V41" s="590"/>
      <c r="W41" s="542"/>
      <c r="AC41" s="302"/>
    </row>
    <row r="42" spans="1:29" x14ac:dyDescent="0.25">
      <c r="B42" s="789" t="s">
        <v>3823</v>
      </c>
      <c r="C42" s="789"/>
      <c r="D42" s="596">
        <f>E42/24</f>
        <v>2.3000000000000003E-2</v>
      </c>
      <c r="E42" s="596">
        <f>G42*I42/1000</f>
        <v>0.55200000000000005</v>
      </c>
      <c r="F42" s="597"/>
      <c r="G42" s="597">
        <v>92</v>
      </c>
      <c r="H42" s="596"/>
      <c r="I42" s="593">
        <v>6</v>
      </c>
      <c r="J42" s="593"/>
      <c r="K42" s="593"/>
      <c r="L42" s="790"/>
      <c r="M42" s="790"/>
      <c r="O42" s="589"/>
      <c r="P42" s="509"/>
      <c r="Q42" s="591"/>
    </row>
    <row r="43" spans="1:29" x14ac:dyDescent="0.25">
      <c r="B43" s="789" t="s">
        <v>3824</v>
      </c>
      <c r="C43" s="789"/>
      <c r="D43" s="596">
        <f>E43/24</f>
        <v>5.7077625570776253E-2</v>
      </c>
      <c r="E43" s="596">
        <f>F43/365</f>
        <v>1.3698630136986301</v>
      </c>
      <c r="F43" s="597">
        <v>500</v>
      </c>
      <c r="G43" s="597">
        <f>H43*240</f>
        <v>199.2</v>
      </c>
      <c r="H43" s="596">
        <v>0.83</v>
      </c>
      <c r="I43" s="598">
        <f>G43/(E43*1000)</f>
        <v>0.14541599999999999</v>
      </c>
      <c r="J43" s="593">
        <f>K43*G43</f>
        <v>1195.1999999999998</v>
      </c>
      <c r="K43" s="593">
        <v>6</v>
      </c>
      <c r="L43" s="790"/>
      <c r="M43" s="790"/>
      <c r="O43" s="589"/>
      <c r="P43" s="509"/>
      <c r="Q43" s="591"/>
    </row>
    <row r="44" spans="1:29" x14ac:dyDescent="0.25">
      <c r="B44" s="789" t="s">
        <v>3825</v>
      </c>
      <c r="C44" s="789"/>
      <c r="D44" s="596">
        <f>E44/24</f>
        <v>4.0182648401826483E-2</v>
      </c>
      <c r="E44" s="596">
        <f>F44/365</f>
        <v>0.96438356164383565</v>
      </c>
      <c r="F44" s="597">
        <v>352</v>
      </c>
      <c r="G44" s="597">
        <f>H44*240</f>
        <v>180</v>
      </c>
      <c r="H44" s="596">
        <v>0.75</v>
      </c>
      <c r="I44" s="598">
        <f>G44/(E44*1000)</f>
        <v>0.18664772727272727</v>
      </c>
      <c r="J44" s="593">
        <f>K44*G44</f>
        <v>1080</v>
      </c>
      <c r="K44" s="593">
        <v>6</v>
      </c>
      <c r="L44" s="790" t="s">
        <v>3826</v>
      </c>
      <c r="M44" s="790"/>
      <c r="Q44" s="591"/>
    </row>
    <row r="45" spans="1:29" x14ac:dyDescent="0.25">
      <c r="B45" s="789" t="s">
        <v>3827</v>
      </c>
      <c r="C45" s="789"/>
      <c r="D45" s="596">
        <f>E45/24</f>
        <v>4.5833333333333334E-3</v>
      </c>
      <c r="E45" s="596">
        <f>G45*I45/1000</f>
        <v>0.11</v>
      </c>
      <c r="F45" s="597"/>
      <c r="G45" s="597">
        <v>220</v>
      </c>
      <c r="H45" s="596"/>
      <c r="I45" s="593">
        <v>0.5</v>
      </c>
      <c r="J45" s="593">
        <f>K45*G45</f>
        <v>1540</v>
      </c>
      <c r="K45" s="593">
        <v>7</v>
      </c>
      <c r="L45" s="790" t="s">
        <v>3828</v>
      </c>
      <c r="M45" s="790"/>
      <c r="O45" s="591"/>
      <c r="Q45" s="591"/>
    </row>
    <row r="46" spans="1:29" x14ac:dyDescent="0.25">
      <c r="B46" s="789" t="s">
        <v>3829</v>
      </c>
      <c r="C46" s="789"/>
      <c r="D46" s="599">
        <f t="shared" ref="D46:D47" si="13">E46/24</f>
        <v>2.5000000000000001E-3</v>
      </c>
      <c r="E46" s="596">
        <f>G46*I46/1000</f>
        <v>0.06</v>
      </c>
      <c r="F46" s="597"/>
      <c r="G46" s="597">
        <v>5</v>
      </c>
      <c r="H46" s="596"/>
      <c r="I46" s="593">
        <v>12</v>
      </c>
      <c r="J46" s="593"/>
      <c r="K46" s="593"/>
      <c r="L46" s="790"/>
      <c r="M46" s="790"/>
      <c r="O46" s="509"/>
      <c r="P46" s="8"/>
      <c r="Q46" s="8"/>
    </row>
    <row r="47" spans="1:29" x14ac:dyDescent="0.25">
      <c r="B47" s="789" t="s">
        <v>3830</v>
      </c>
      <c r="C47" s="789"/>
      <c r="D47" s="596">
        <f t="shared" si="13"/>
        <v>2.3749999999999997E-2</v>
      </c>
      <c r="E47" s="596">
        <f>G47*I47/1000</f>
        <v>0.56999999999999995</v>
      </c>
      <c r="F47" s="597"/>
      <c r="G47" s="597">
        <v>95</v>
      </c>
      <c r="H47" s="596"/>
      <c r="I47" s="593">
        <v>6</v>
      </c>
      <c r="J47" s="593">
        <v>450</v>
      </c>
      <c r="K47" s="593"/>
      <c r="L47" s="790" t="s">
        <v>3831</v>
      </c>
      <c r="M47" s="790"/>
      <c r="O47" s="509"/>
      <c r="P47" s="8"/>
      <c r="Q47" s="8"/>
    </row>
    <row r="48" spans="1:29" x14ac:dyDescent="0.25">
      <c r="B48" s="789" t="s">
        <v>3832</v>
      </c>
      <c r="C48" s="789"/>
      <c r="D48" s="596">
        <v>0.25</v>
      </c>
      <c r="E48" s="596"/>
      <c r="F48" s="597"/>
      <c r="G48" s="597"/>
      <c r="H48" s="596"/>
      <c r="I48" s="593"/>
      <c r="J48" s="593"/>
      <c r="K48" s="593"/>
      <c r="L48" s="790"/>
      <c r="M48" s="790"/>
      <c r="O48" s="509"/>
      <c r="P48" s="8"/>
      <c r="Q48" s="8"/>
    </row>
    <row r="49" spans="1:22" x14ac:dyDescent="0.25">
      <c r="B49" s="789" t="s">
        <v>3833</v>
      </c>
      <c r="C49" s="789"/>
      <c r="D49" s="596">
        <v>0.04</v>
      </c>
      <c r="E49" s="596"/>
      <c r="F49" s="597"/>
      <c r="G49" s="597"/>
      <c r="H49" s="596"/>
      <c r="I49" s="593"/>
      <c r="J49" s="593"/>
      <c r="K49" s="593"/>
      <c r="L49" s="790"/>
      <c r="M49" s="790"/>
      <c r="O49" s="509"/>
      <c r="P49" s="8"/>
      <c r="Q49" s="8"/>
    </row>
    <row r="50" spans="1:22" x14ac:dyDescent="0.25">
      <c r="B50" s="789" t="s">
        <v>3834</v>
      </c>
      <c r="C50" s="789"/>
      <c r="D50" s="596">
        <v>0.09</v>
      </c>
      <c r="E50" s="596"/>
      <c r="F50" s="597"/>
      <c r="G50" s="597"/>
      <c r="H50" s="596"/>
      <c r="I50" s="593"/>
      <c r="J50" s="593"/>
      <c r="K50" s="593"/>
      <c r="L50" s="790" t="s">
        <v>3835</v>
      </c>
      <c r="M50" s="790"/>
      <c r="O50" s="8"/>
      <c r="P50" s="8"/>
      <c r="Q50" s="8"/>
    </row>
    <row r="51" spans="1:22" x14ac:dyDescent="0.25">
      <c r="B51" s="789" t="s">
        <v>3836</v>
      </c>
      <c r="C51" s="789"/>
      <c r="D51" s="596">
        <v>1.71</v>
      </c>
      <c r="E51" s="596">
        <f>D51*24</f>
        <v>41.04</v>
      </c>
      <c r="F51" s="597"/>
      <c r="G51" s="597">
        <v>5330</v>
      </c>
      <c r="H51" s="596"/>
      <c r="I51" s="593"/>
      <c r="J51" s="593"/>
      <c r="K51" s="593"/>
      <c r="L51" s="790"/>
      <c r="M51" s="790"/>
      <c r="O51" s="8"/>
      <c r="P51" s="8"/>
      <c r="Q51" s="8"/>
    </row>
    <row r="52" spans="1:22" x14ac:dyDescent="0.25">
      <c r="B52" s="789" t="s">
        <v>3837</v>
      </c>
      <c r="C52" s="789"/>
      <c r="D52" s="596">
        <f>E52/24</f>
        <v>8.3333333333333332E-3</v>
      </c>
      <c r="E52" s="596">
        <f t="shared" ref="E52" si="14">G52*I52/1000</f>
        <v>0.2</v>
      </c>
      <c r="F52" s="597"/>
      <c r="G52" s="597">
        <v>1000</v>
      </c>
      <c r="H52" s="596"/>
      <c r="I52" s="593">
        <v>0.2</v>
      </c>
      <c r="J52" s="593"/>
      <c r="K52" s="593"/>
      <c r="L52" s="790" t="s">
        <v>3838</v>
      </c>
      <c r="M52" s="790"/>
      <c r="O52" s="8"/>
      <c r="P52" s="8"/>
      <c r="Q52" s="8"/>
    </row>
    <row r="53" spans="1:22" x14ac:dyDescent="0.25">
      <c r="B53" s="789" t="s">
        <v>3839</v>
      </c>
      <c r="C53" s="789"/>
      <c r="D53" s="596"/>
      <c r="E53" s="596" t="s">
        <v>3840</v>
      </c>
      <c r="F53" s="597"/>
      <c r="G53" s="597"/>
      <c r="H53" s="596"/>
      <c r="I53" s="593"/>
      <c r="J53" s="593"/>
      <c r="K53" s="593"/>
      <c r="L53" s="790"/>
      <c r="M53" s="790"/>
      <c r="O53" s="8"/>
      <c r="P53" s="8"/>
      <c r="Q53" s="8"/>
    </row>
    <row r="54" spans="1:22" x14ac:dyDescent="0.25">
      <c r="B54" s="789"/>
      <c r="C54" s="789"/>
      <c r="D54" s="596"/>
      <c r="E54" s="596"/>
      <c r="F54" s="597"/>
      <c r="G54" s="597"/>
      <c r="H54" s="596"/>
      <c r="I54" s="593"/>
      <c r="J54" s="593"/>
      <c r="K54" s="593"/>
      <c r="L54" s="790"/>
      <c r="M54" s="790"/>
      <c r="O54" s="8"/>
      <c r="P54" s="8"/>
      <c r="Q54" s="8"/>
    </row>
    <row r="55" spans="1:22" x14ac:dyDescent="0.25">
      <c r="B55" s="789" t="s">
        <v>3841</v>
      </c>
      <c r="C55" s="789"/>
      <c r="D55" s="596">
        <v>0.04</v>
      </c>
      <c r="E55" s="596"/>
      <c r="F55" s="597"/>
      <c r="G55" s="597">
        <v>40</v>
      </c>
      <c r="H55" s="596"/>
      <c r="I55" s="593"/>
      <c r="J55" s="593"/>
      <c r="K55" s="593"/>
      <c r="L55" s="790"/>
      <c r="M55" s="790"/>
      <c r="O55" s="8"/>
      <c r="P55" s="8"/>
      <c r="Q55" s="8"/>
    </row>
    <row r="56" spans="1:22" x14ac:dyDescent="0.25">
      <c r="B56" s="789"/>
      <c r="C56" s="789"/>
      <c r="D56" s="596"/>
      <c r="E56" s="596"/>
      <c r="F56" s="597"/>
      <c r="G56" s="597"/>
      <c r="H56" s="596"/>
      <c r="I56" s="600"/>
      <c r="J56" s="593"/>
      <c r="K56" s="593"/>
      <c r="L56" s="790"/>
      <c r="M56" s="790"/>
      <c r="N56" s="601"/>
    </row>
    <row r="57" spans="1:22" x14ac:dyDescent="0.25">
      <c r="B57" s="789" t="s">
        <v>3842</v>
      </c>
      <c r="C57" s="789"/>
      <c r="D57" s="596"/>
      <c r="E57" s="596"/>
      <c r="F57" s="597"/>
      <c r="G57" s="597">
        <v>1100</v>
      </c>
      <c r="H57" s="596"/>
      <c r="I57" s="593"/>
      <c r="J57" s="593"/>
      <c r="K57" s="593"/>
      <c r="L57" s="790" t="s">
        <v>3843</v>
      </c>
      <c r="M57" s="790"/>
    </row>
    <row r="58" spans="1:22" x14ac:dyDescent="0.25">
      <c r="A58" s="791"/>
      <c r="B58" s="792"/>
      <c r="C58" s="604"/>
      <c r="S58" s="605"/>
      <c r="T58" s="605"/>
      <c r="U58" s="605"/>
      <c r="V58" s="606"/>
    </row>
    <row r="59" spans="1:22" ht="18.75" x14ac:dyDescent="0.3">
      <c r="A59" s="602"/>
      <c r="B59" s="603"/>
      <c r="C59" s="607" t="s">
        <v>3844</v>
      </c>
      <c r="R59" s="608"/>
      <c r="S59" s="605"/>
      <c r="T59" s="605"/>
      <c r="U59" s="605"/>
      <c r="V59" s="606"/>
    </row>
    <row r="60" spans="1:22" x14ac:dyDescent="0.25">
      <c r="A60" s="602"/>
      <c r="B60" s="603"/>
      <c r="J60" t="s">
        <v>3845</v>
      </c>
      <c r="R60" s="608"/>
      <c r="S60" s="605"/>
      <c r="T60" s="605"/>
      <c r="U60" s="605"/>
      <c r="V60" s="606"/>
    </row>
    <row r="61" spans="1:22" x14ac:dyDescent="0.25">
      <c r="B61" t="s">
        <v>3846</v>
      </c>
      <c r="G61" s="103" t="s">
        <v>3847</v>
      </c>
      <c r="H61" s="188">
        <f>VLOOKUP([1]Calculator!R43,Equipment!B5:D26,3, FALSE)/1000</f>
        <v>5</v>
      </c>
      <c r="I61" t="s">
        <v>3229</v>
      </c>
      <c r="J61" s="609">
        <f>C63</f>
        <v>12</v>
      </c>
      <c r="K61" t="s">
        <v>3848</v>
      </c>
      <c r="L61" s="610" t="s">
        <v>3849</v>
      </c>
      <c r="Q61" s="608"/>
      <c r="R61" s="608"/>
      <c r="S61" s="605"/>
      <c r="T61" s="605"/>
      <c r="U61" s="605"/>
      <c r="V61" s="606"/>
    </row>
    <row r="62" spans="1:22" x14ac:dyDescent="0.25">
      <c r="B62" s="103" t="s">
        <v>3850</v>
      </c>
      <c r="C62" s="188">
        <f>MAX(O10:O33)</f>
        <v>2.16</v>
      </c>
      <c r="D62" t="s">
        <v>3229</v>
      </c>
      <c r="E62" t="s">
        <v>3509</v>
      </c>
      <c r="G62" s="103" t="s">
        <v>3851</v>
      </c>
      <c r="H62" s="188">
        <f>IFERROR(('[1]Calcs.2'!L11/1000*0.8), 0)</f>
        <v>2.4000000000000004</v>
      </c>
      <c r="I62" t="s">
        <v>3229</v>
      </c>
      <c r="J62" s="609">
        <f>C63+H62</f>
        <v>14.4</v>
      </c>
      <c r="K62" t="s">
        <v>3852</v>
      </c>
      <c r="L62" s="610" t="s">
        <v>3853</v>
      </c>
      <c r="R62" s="106"/>
      <c r="S62" s="611"/>
      <c r="T62" s="611"/>
      <c r="U62" s="611"/>
      <c r="V62" s="612"/>
    </row>
    <row r="63" spans="1:22" x14ac:dyDescent="0.25">
      <c r="B63" s="103" t="s">
        <v>3854</v>
      </c>
      <c r="C63" s="188">
        <f>[1]Calculator!E14</f>
        <v>12</v>
      </c>
      <c r="D63" t="s">
        <v>3229</v>
      </c>
      <c r="E63" s="613" t="s">
        <v>3855</v>
      </c>
      <c r="G63" s="103" t="s">
        <v>3856</v>
      </c>
      <c r="H63" s="188">
        <f>IFERROR('[1]Calcs.2'!Z25/10,0)</f>
        <v>1.2255710866805978</v>
      </c>
      <c r="I63" t="s">
        <v>3229</v>
      </c>
      <c r="J63" s="609">
        <f>J62+T75</f>
        <v>19.520000000000003</v>
      </c>
      <c r="K63" t="s">
        <v>3857</v>
      </c>
      <c r="O63" s="614"/>
      <c r="P63" s="614"/>
      <c r="R63" s="106"/>
      <c r="S63" s="611"/>
    </row>
    <row r="64" spans="1:22" x14ac:dyDescent="0.25">
      <c r="B64" s="103" t="s">
        <v>3858</v>
      </c>
      <c r="C64" s="188">
        <f>C63*1.3</f>
        <v>15.600000000000001</v>
      </c>
      <c r="D64" t="s">
        <v>3229</v>
      </c>
      <c r="E64" t="s">
        <v>3859</v>
      </c>
      <c r="G64" s="103" t="s">
        <v>3860</v>
      </c>
      <c r="H64" s="188">
        <f>IFERROR('[1]Calcs.2'!Y25/10,0)</f>
        <v>1.6209890724840545</v>
      </c>
      <c r="I64" t="s">
        <v>3229</v>
      </c>
      <c r="J64" s="188">
        <f>T76</f>
        <v>1.706666666666667</v>
      </c>
      <c r="K64" t="s">
        <v>3861</v>
      </c>
      <c r="L64" s="610"/>
      <c r="O64" s="614"/>
      <c r="P64" s="614"/>
    </row>
    <row r="65" spans="2:29" x14ac:dyDescent="0.25">
      <c r="B65" s="103" t="s">
        <v>3862</v>
      </c>
      <c r="C65" s="188">
        <f>C63*1.5</f>
        <v>18</v>
      </c>
      <c r="D65" t="s">
        <v>3229</v>
      </c>
      <c r="E65" t="s">
        <v>3863</v>
      </c>
      <c r="F65" s="103"/>
      <c r="J65" s="188">
        <f>J64*1000/230</f>
        <v>7.4202898550724647</v>
      </c>
      <c r="K65" t="s">
        <v>3864</v>
      </c>
      <c r="L65" s="610"/>
      <c r="P65" s="614"/>
    </row>
    <row r="66" spans="2:29" x14ac:dyDescent="0.25">
      <c r="B66" s="103" t="s">
        <v>3865</v>
      </c>
      <c r="C66" s="188">
        <f>VLOOKUP(C63,Equipment!A36:G46,7,FALSE)</f>
        <v>27</v>
      </c>
      <c r="D66" t="s">
        <v>3229</v>
      </c>
      <c r="E66" t="s">
        <v>3866</v>
      </c>
      <c r="F66" s="103"/>
      <c r="J66" s="188">
        <f>70*48/230</f>
        <v>14.608695652173912</v>
      </c>
      <c r="K66" t="s">
        <v>3867</v>
      </c>
      <c r="O66" s="614"/>
      <c r="P66" s="614"/>
    </row>
    <row r="67" spans="2:29" x14ac:dyDescent="0.25">
      <c r="J67" s="188">
        <f>J66*230</f>
        <v>3360</v>
      </c>
      <c r="K67" t="s">
        <v>3868</v>
      </c>
      <c r="L67" s="615" t="s">
        <v>3869</v>
      </c>
      <c r="M67" s="616">
        <f>J63/J62</f>
        <v>1.3555555555555558</v>
      </c>
      <c r="O67" s="614"/>
      <c r="P67" s="614"/>
    </row>
    <row r="68" spans="2:29" x14ac:dyDescent="0.25">
      <c r="O68" s="614"/>
      <c r="P68" s="614"/>
    </row>
    <row r="70" spans="2:29" x14ac:dyDescent="0.25">
      <c r="C70" s="617"/>
      <c r="E70" s="509"/>
      <c r="G70" s="509"/>
    </row>
    <row r="71" spans="2:29" x14ac:dyDescent="0.25">
      <c r="P71"/>
      <c r="Q71" t="s">
        <v>3870</v>
      </c>
      <c r="R71" s="207"/>
      <c r="S71"/>
      <c r="T71" t="s">
        <v>3871</v>
      </c>
      <c r="U71" s="618"/>
    </row>
    <row r="72" spans="2:29" ht="18.75" x14ac:dyDescent="0.3">
      <c r="C72" s="619" t="s">
        <v>3872</v>
      </c>
      <c r="D72" s="620" t="s">
        <v>3873</v>
      </c>
      <c r="E72" s="620" t="s">
        <v>3874</v>
      </c>
      <c r="F72" s="620" t="s">
        <v>3875</v>
      </c>
      <c r="G72" s="621">
        <v>0.45</v>
      </c>
      <c r="I72" s="607" t="s">
        <v>3876</v>
      </c>
      <c r="P72" s="615" t="str">
        <f>Q71&amp;"  W"</f>
        <v>Pump  W</v>
      </c>
      <c r="Q72" s="622">
        <v>1100</v>
      </c>
      <c r="R72" s="207"/>
      <c r="S72" s="615" t="s">
        <v>3877</v>
      </c>
      <c r="T72" s="622">
        <v>8</v>
      </c>
      <c r="U72" s="610" t="s">
        <v>3878</v>
      </c>
    </row>
    <row r="73" spans="2:29" x14ac:dyDescent="0.25">
      <c r="C73" s="53">
        <v>1</v>
      </c>
      <c r="D73" s="105">
        <v>7</v>
      </c>
      <c r="E73" s="623">
        <f>D73/D$78</f>
        <v>2.3333333333333335</v>
      </c>
      <c r="F73" s="623">
        <f>E73*G$72</f>
        <v>1.05</v>
      </c>
      <c r="G73" t="s">
        <v>3229</v>
      </c>
      <c r="K73" s="246">
        <v>2</v>
      </c>
      <c r="L73" s="110" t="s">
        <v>3879</v>
      </c>
      <c r="P73" s="615" t="s">
        <v>3880</v>
      </c>
      <c r="Q73" s="622">
        <v>6.7</v>
      </c>
      <c r="R73"/>
      <c r="S73" s="615" t="s">
        <v>3881</v>
      </c>
      <c r="T73" s="624">
        <v>0.8</v>
      </c>
      <c r="U73" s="610"/>
    </row>
    <row r="74" spans="2:29" x14ac:dyDescent="0.25">
      <c r="C74" s="53">
        <v>2</v>
      </c>
      <c r="D74" s="105">
        <v>3</v>
      </c>
      <c r="E74" s="623">
        <f>D74/D$78</f>
        <v>1</v>
      </c>
      <c r="F74" s="623">
        <f>E74*G$72</f>
        <v>0.45</v>
      </c>
      <c r="G74" t="s">
        <v>3229</v>
      </c>
      <c r="K74" s="246">
        <v>35</v>
      </c>
      <c r="L74" t="s">
        <v>3882</v>
      </c>
      <c r="P74" s="615" t="s">
        <v>3883</v>
      </c>
      <c r="Q74" s="622">
        <f>Q72*Q73</f>
        <v>7370</v>
      </c>
      <c r="R74"/>
      <c r="S74" s="615" t="s">
        <v>3884</v>
      </c>
      <c r="T74" s="624">
        <f>T72*T73</f>
        <v>6.4</v>
      </c>
      <c r="U74" s="610" t="s">
        <v>3229</v>
      </c>
    </row>
    <row r="75" spans="2:29" x14ac:dyDescent="0.25">
      <c r="C75" s="53">
        <v>3</v>
      </c>
      <c r="D75" s="105">
        <v>3</v>
      </c>
      <c r="E75" s="623">
        <f>D75/D$78</f>
        <v>1</v>
      </c>
      <c r="F75" s="623">
        <f>E75*G$72</f>
        <v>0.45</v>
      </c>
      <c r="G75" t="s">
        <v>3229</v>
      </c>
      <c r="J75" s="625" t="s">
        <v>3885</v>
      </c>
      <c r="K75" s="626">
        <v>4184</v>
      </c>
      <c r="L75" s="275" t="s">
        <v>3886</v>
      </c>
      <c r="P75" s="615"/>
      <c r="Q75" s="622"/>
      <c r="R75"/>
      <c r="S75" s="615" t="s">
        <v>3887</v>
      </c>
      <c r="T75" s="624">
        <f>T74*0.8</f>
        <v>5.120000000000001</v>
      </c>
      <c r="U75" s="610" t="s">
        <v>3229</v>
      </c>
    </row>
    <row r="76" spans="2:29" x14ac:dyDescent="0.25">
      <c r="C76" s="53">
        <v>4</v>
      </c>
      <c r="D76" s="105"/>
      <c r="E76" s="623">
        <f>D76/D$78</f>
        <v>0</v>
      </c>
      <c r="F76" s="623">
        <f>E76*G$72</f>
        <v>0</v>
      </c>
      <c r="G76" t="s">
        <v>3229</v>
      </c>
      <c r="J76" s="625" t="s">
        <v>3888</v>
      </c>
      <c r="K76" s="627">
        <v>60</v>
      </c>
      <c r="L76" s="275" t="s">
        <v>3889</v>
      </c>
      <c r="P76" s="615"/>
      <c r="Q76" s="622"/>
      <c r="R76"/>
      <c r="S76" s="615" t="s">
        <v>3890</v>
      </c>
      <c r="T76" s="624">
        <f>T75/3</f>
        <v>1.706666666666667</v>
      </c>
      <c r="U76" s="610" t="s">
        <v>3229</v>
      </c>
    </row>
    <row r="77" spans="2:29" x14ac:dyDescent="0.25">
      <c r="C77" s="53">
        <v>5</v>
      </c>
      <c r="D77" s="105"/>
      <c r="E77" s="623">
        <f>D77/D$78</f>
        <v>0</v>
      </c>
      <c r="F77" s="623">
        <f>E77*G$72</f>
        <v>0</v>
      </c>
      <c r="G77" t="s">
        <v>3229</v>
      </c>
      <c r="J77" s="625" t="s">
        <v>3891</v>
      </c>
      <c r="K77" s="627">
        <v>24</v>
      </c>
      <c r="L77" s="275" t="s">
        <v>3889</v>
      </c>
    </row>
    <row r="78" spans="2:29" x14ac:dyDescent="0.25">
      <c r="C78" s="522" t="s">
        <v>3892</v>
      </c>
      <c r="D78" s="628">
        <v>3</v>
      </c>
      <c r="E78" s="629">
        <f>SUM(E73:E77)</f>
        <v>4.3333333333333339</v>
      </c>
      <c r="F78" s="629">
        <f>SUM(F73:F77)</f>
        <v>1.95</v>
      </c>
      <c r="G78" t="s">
        <v>3229</v>
      </c>
      <c r="J78" s="625" t="s">
        <v>3893</v>
      </c>
      <c r="K78" s="195">
        <f>K76-K77</f>
        <v>36</v>
      </c>
      <c r="L78" s="275" t="s">
        <v>3889</v>
      </c>
    </row>
    <row r="79" spans="2:29" x14ac:dyDescent="0.25">
      <c r="J79" s="625" t="s">
        <v>3894</v>
      </c>
      <c r="K79" s="141">
        <v>75</v>
      </c>
      <c r="L79" s="275" t="s">
        <v>3895</v>
      </c>
    </row>
    <row r="80" spans="2:29" x14ac:dyDescent="0.25">
      <c r="C80" s="486" t="s">
        <v>3896</v>
      </c>
      <c r="J80" s="625" t="s">
        <v>3897</v>
      </c>
      <c r="K80" s="630">
        <f>K79*K$75*K$78/3600000</f>
        <v>3.1379999999999999</v>
      </c>
      <c r="L80" s="82" t="s">
        <v>3898</v>
      </c>
      <c r="W80"/>
      <c r="AC80" s="110"/>
    </row>
    <row r="81" spans="1:28" x14ac:dyDescent="0.25">
      <c r="C81" s="611"/>
      <c r="D81" s="631" t="s">
        <v>3899</v>
      </c>
      <c r="E81" s="632">
        <v>2.2999999999999998</v>
      </c>
      <c r="F81" s="8" t="s">
        <v>3900</v>
      </c>
      <c r="H81" s="8"/>
      <c r="J81" s="625" t="s">
        <v>3901</v>
      </c>
      <c r="K81" s="630">
        <v>3</v>
      </c>
      <c r="L81" s="82"/>
      <c r="Q81" s="106"/>
      <c r="R81" s="106"/>
      <c r="S81" s="106"/>
      <c r="T81" s="106"/>
      <c r="U81" s="106"/>
      <c r="V81" s="633"/>
      <c r="W81"/>
      <c r="X81"/>
      <c r="Y81"/>
      <c r="Z81"/>
      <c r="AA81" s="110"/>
      <c r="AB81"/>
    </row>
    <row r="82" spans="1:28" x14ac:dyDescent="0.25">
      <c r="C82" s="507"/>
      <c r="D82" s="634" t="s">
        <v>3902</v>
      </c>
      <c r="E82" s="635">
        <f>E81/3</f>
        <v>0.76666666666666661</v>
      </c>
      <c r="F82" s="8" t="s">
        <v>3229</v>
      </c>
      <c r="G82" s="584"/>
      <c r="H82" s="8"/>
      <c r="J82" s="636" t="str">
        <f>"@COP of "&amp;K81&amp;":"</f>
        <v>@COP of 3:</v>
      </c>
      <c r="K82" s="630">
        <f>K80/K81</f>
        <v>1.046</v>
      </c>
      <c r="L82" s="82" t="s">
        <v>3903</v>
      </c>
      <c r="P82"/>
      <c r="S82" s="632">
        <v>2.2999999999999998</v>
      </c>
      <c r="T82" s="8" t="s">
        <v>3900</v>
      </c>
      <c r="U82" s="584" t="s">
        <v>3904</v>
      </c>
      <c r="V82"/>
      <c r="W82"/>
      <c r="X82"/>
      <c r="Y82"/>
      <c r="Z82"/>
      <c r="AA82"/>
      <c r="AB82"/>
    </row>
    <row r="83" spans="1:28" x14ac:dyDescent="0.25">
      <c r="C83" s="507"/>
      <c r="D83" s="569" t="s">
        <v>3905</v>
      </c>
      <c r="E83" s="637">
        <v>0.8</v>
      </c>
      <c r="F83" s="596">
        <f>E83*E82</f>
        <v>0.61333333333333329</v>
      </c>
      <c r="G83" s="8" t="s">
        <v>3906</v>
      </c>
      <c r="H83" s="509" t="s">
        <v>3907</v>
      </c>
      <c r="J83" s="625" t="s">
        <v>3908</v>
      </c>
      <c r="K83" s="630">
        <f>K82*1.03</f>
        <v>1.07738</v>
      </c>
      <c r="L83" s="82" t="s">
        <v>3909</v>
      </c>
      <c r="P83" s="638" t="s">
        <v>3910</v>
      </c>
      <c r="Q83" s="638"/>
      <c r="R83" s="638"/>
      <c r="U83"/>
      <c r="V83"/>
      <c r="W83"/>
      <c r="X83"/>
      <c r="Y83"/>
      <c r="Z83"/>
      <c r="AA83"/>
      <c r="AB83"/>
    </row>
    <row r="84" spans="1:28" x14ac:dyDescent="0.25">
      <c r="C84" s="507"/>
      <c r="D84" s="569" t="s">
        <v>3911</v>
      </c>
      <c r="E84" s="637">
        <v>0.4</v>
      </c>
      <c r="F84" s="596">
        <f>E84*E82</f>
        <v>0.30666666666666664</v>
      </c>
      <c r="G84" s="8" t="s">
        <v>3906</v>
      </c>
      <c r="H84" s="509" t="s">
        <v>3912</v>
      </c>
      <c r="J84" s="625" t="s">
        <v>3913</v>
      </c>
      <c r="K84" s="639">
        <v>0.15</v>
      </c>
      <c r="L84" s="82"/>
      <c r="P84" s="638" t="s">
        <v>3914</v>
      </c>
      <c r="Q84" s="638"/>
      <c r="R84" s="638"/>
      <c r="U84"/>
      <c r="Y84"/>
      <c r="Z84"/>
      <c r="AA84"/>
      <c r="AB84"/>
    </row>
    <row r="85" spans="1:28" x14ac:dyDescent="0.25">
      <c r="C85" s="507"/>
      <c r="D85" s="569" t="s">
        <v>3915</v>
      </c>
      <c r="E85" s="640">
        <v>7</v>
      </c>
      <c r="F85" s="596">
        <f>E85*E82</f>
        <v>5.3666666666666663</v>
      </c>
      <c r="G85" s="8" t="s">
        <v>3229</v>
      </c>
      <c r="H85" s="509"/>
      <c r="J85" s="625" t="s">
        <v>3916</v>
      </c>
      <c r="K85" s="630">
        <f>K83*K84</f>
        <v>0.161607</v>
      </c>
      <c r="L85" s="82" t="s">
        <v>3909</v>
      </c>
      <c r="P85" s="638" t="s">
        <v>3917</v>
      </c>
      <c r="Q85" s="638"/>
      <c r="R85" s="638"/>
      <c r="U85"/>
      <c r="Y85"/>
      <c r="Z85"/>
      <c r="AA85"/>
      <c r="AB85"/>
    </row>
    <row r="86" spans="1:28" x14ac:dyDescent="0.25">
      <c r="P86" s="641" t="s">
        <v>3918</v>
      </c>
      <c r="Q86" s="638"/>
      <c r="R86" s="638"/>
      <c r="U86"/>
      <c r="Y86"/>
      <c r="Z86"/>
      <c r="AA86"/>
      <c r="AB86"/>
    </row>
    <row r="87" spans="1:28" x14ac:dyDescent="0.25">
      <c r="A87" s="508"/>
      <c r="B87" s="793" t="s">
        <v>3919</v>
      </c>
      <c r="C87" s="793"/>
      <c r="D87" s="793"/>
      <c r="E87" s="642"/>
      <c r="F87" s="642"/>
      <c r="G87" s="642"/>
      <c r="H87" s="441"/>
      <c r="I87" s="441"/>
      <c r="J87" s="441"/>
      <c r="K87" s="441"/>
      <c r="L87" s="441"/>
      <c r="M87" s="441"/>
      <c r="P87" s="641" t="s">
        <v>3920</v>
      </c>
      <c r="Q87" s="638"/>
      <c r="R87" s="638"/>
      <c r="U87"/>
      <c r="Y87"/>
      <c r="Z87"/>
      <c r="AA87"/>
      <c r="AB87"/>
    </row>
    <row r="88" spans="1:28" x14ac:dyDescent="0.25">
      <c r="A88" s="508"/>
      <c r="B88" s="793"/>
      <c r="C88" s="793"/>
      <c r="D88" s="793"/>
      <c r="E88" s="642"/>
      <c r="F88" s="643"/>
      <c r="G88" s="642"/>
      <c r="H88" s="441"/>
      <c r="I88" s="441"/>
      <c r="J88" s="441"/>
      <c r="K88" s="441"/>
      <c r="L88" s="441"/>
      <c r="M88" s="441"/>
      <c r="P88"/>
      <c r="U88"/>
      <c r="Y88"/>
      <c r="Z88"/>
      <c r="AA88"/>
      <c r="AB88"/>
    </row>
    <row r="89" spans="1:28" x14ac:dyDescent="0.25">
      <c r="D89" s="519" t="s">
        <v>3921</v>
      </c>
      <c r="G89" s="644" t="str">
        <f>IF([1]Calculator!E4="",[1]Calculator!AB23, [1]Calcs!E40)</f>
        <v>Cannonvale, QLD</v>
      </c>
      <c r="O89" s="645"/>
      <c r="P89" s="645"/>
      <c r="U89"/>
      <c r="V89"/>
      <c r="W89"/>
      <c r="X89"/>
      <c r="Y89"/>
      <c r="Z89"/>
      <c r="AA89"/>
      <c r="AB89"/>
    </row>
    <row r="90" spans="1:28" x14ac:dyDescent="0.25">
      <c r="A90" s="613" t="s">
        <v>3007</v>
      </c>
      <c r="B90" s="121" t="s">
        <v>2995</v>
      </c>
      <c r="C90" s="121" t="s">
        <v>2996</v>
      </c>
      <c r="D90" s="121" t="s">
        <v>2997</v>
      </c>
      <c r="E90" s="121" t="s">
        <v>2998</v>
      </c>
      <c r="F90" s="121" t="s">
        <v>2999</v>
      </c>
      <c r="G90" s="121" t="s">
        <v>3000</v>
      </c>
      <c r="H90" s="121" t="s">
        <v>3001</v>
      </c>
      <c r="I90" s="121" t="s">
        <v>3002</v>
      </c>
      <c r="J90" s="121" t="s">
        <v>3003</v>
      </c>
      <c r="K90" s="121" t="s">
        <v>3004</v>
      </c>
      <c r="L90" s="121" t="s">
        <v>3005</v>
      </c>
      <c r="M90" s="121" t="s">
        <v>3006</v>
      </c>
      <c r="O90" s="645"/>
      <c r="P90" s="645"/>
      <c r="U90"/>
      <c r="V90"/>
      <c r="W90"/>
      <c r="X90"/>
      <c r="Y90"/>
      <c r="Z90"/>
      <c r="AA90"/>
      <c r="AB90"/>
    </row>
    <row r="91" spans="1:28" x14ac:dyDescent="0.25">
      <c r="A91" s="613" t="s">
        <v>3922</v>
      </c>
      <c r="B91" s="646">
        <f>IF([1]Calculator!E4="",VLOOKUP($G$89&amp;".max", $A$95:$M$132, 2, FALSE), [1]Calcs!J6)</f>
        <v>29.9</v>
      </c>
      <c r="C91" s="646">
        <f>IF([1]Calculator!E4="",VLOOKUP($G$89&amp;".max", $A$95:$M$132, 3, FALSE), [1]Calcs!K6)</f>
        <v>29.7</v>
      </c>
      <c r="D91" s="646">
        <f>IF([1]Calculator!E4="",VLOOKUP($G$89&amp;".max", $A$95:$M$132, 4, FALSE), [1]Calcs!L6)</f>
        <v>28.9</v>
      </c>
      <c r="E91" s="646">
        <f>IF([1]Calculator!E4="",VLOOKUP($G$89&amp;".max", $A$95:$M$132, 5, FALSE), [1]Calcs!M6)</f>
        <v>27</v>
      </c>
      <c r="F91" s="646">
        <f>IF([1]Calculator!E4="",VLOOKUP($G$89&amp;".max", $A$95:$M$132, 6, FALSE), [1]Calcs!N6)</f>
        <v>24.3</v>
      </c>
      <c r="G91" s="646">
        <f>IF([1]Calculator!E4="",VLOOKUP($G$89&amp;".max", $A$95:$M$132, 7, FALSE), [1]Calcs!O6)</f>
        <v>22.3</v>
      </c>
      <c r="H91" s="646">
        <f>IF([1]Calculator!E4="",VLOOKUP($G$89&amp;".max", $A$95:$M$132, 8, FALSE), [1]Calcs!P6)</f>
        <v>21.5</v>
      </c>
      <c r="I91" s="646">
        <f>IF([1]Calculator!E4="",VLOOKUP($G$89&amp;".max", $A$95:$M$132, 9, FALSE), [1]Calcs!Q6)</f>
        <v>22.9</v>
      </c>
      <c r="J91" s="646">
        <f>IF([1]Calculator!E4="",VLOOKUP($G$89&amp;".max", $A$95:$M$132, 10, FALSE),[1]Calcs!R6 )</f>
        <v>25.3</v>
      </c>
      <c r="K91" s="646">
        <f>IF([1]Calculator!E4="",VLOOKUP($G$89&amp;".max", $A$95:$M$132, 11, FALSE),[1]Calcs!S6)</f>
        <v>27.4</v>
      </c>
      <c r="L91" s="646">
        <f>IF([1]Calculator!E4="",VLOOKUP($G$89&amp;".max", $A$95:$M$132, 12, FALSE),[1]Calcs!T6)</f>
        <v>28.7</v>
      </c>
      <c r="M91" s="646">
        <f>IF([1]Calculator!E4="",VLOOKUP($G$89&amp;".max", $A$95:$M$132, 13, FALSE),[1]Calcs!U6)</f>
        <v>29.9</v>
      </c>
      <c r="O91" s="647">
        <f>ROUND(J91,0)</f>
        <v>25</v>
      </c>
      <c r="P91" s="648" t="s">
        <v>3923</v>
      </c>
      <c r="U91"/>
      <c r="V91"/>
      <c r="W91"/>
      <c r="X91"/>
      <c r="Y91"/>
      <c r="Z91"/>
      <c r="AA91"/>
      <c r="AB91"/>
    </row>
    <row r="92" spans="1:28" x14ac:dyDescent="0.25">
      <c r="A92" s="613" t="s">
        <v>3924</v>
      </c>
      <c r="B92" s="646">
        <f>IF([1]Calculator!E4="",VLOOKUP($G$89&amp;".min", $A$95:$M$132, 2, FALSE),[1]Calcs!J7)</f>
        <v>24.9</v>
      </c>
      <c r="C92" s="646">
        <f>IF([1]Calculator!E4="",VLOOKUP($G$89&amp;".min", $A$95:$M$132, 3, FALSE),[1]Calcs!K7)</f>
        <v>24.8</v>
      </c>
      <c r="D92" s="646">
        <f>IF([1]Calculator!E4="",VLOOKUP($G$89&amp;".min", $A$95:$M$132, 4, FALSE),[1]Calcs!L7)</f>
        <v>24.4</v>
      </c>
      <c r="E92" s="646">
        <f>IF([1]Calculator!E4="",VLOOKUP($G$89&amp;".min", $A$95:$M$132, 5, FALSE),[1]Calcs!M7)</f>
        <v>22.8</v>
      </c>
      <c r="F92" s="646">
        <f>IF([1]Calculator!E4="",VLOOKUP($G$89&amp;".min", $A$95:$M$132, 6, FALSE),[1]Calcs!N7)</f>
        <v>20.6</v>
      </c>
      <c r="G92" s="646">
        <f>IF([1]Calculator!E4="",VLOOKUP($G$89&amp;".min", $A$95:$M$132, 7, FALSE),[1]Calcs!O7)</f>
        <v>18.899999999999999</v>
      </c>
      <c r="H92" s="646">
        <f>IF([1]Calculator!E4="",VLOOKUP($G$89&amp;".min", $A$95:$M$132, 8, FALSE),[1]Calcs!P7)</f>
        <v>18</v>
      </c>
      <c r="I92" s="646">
        <f>IF([1]Calculator!E4="",VLOOKUP($G$89&amp;".min", $A$95:$M$132, 9, FALSE),[1]Calcs!Q7)</f>
        <v>18.5</v>
      </c>
      <c r="J92" s="646">
        <f>IF([1]Calculator!E4="",VLOOKUP($G$89&amp;".min", $A$95:$M$132, 10, FALSE),[1]Calcs!R7)</f>
        <v>20.2</v>
      </c>
      <c r="K92" s="646">
        <f>IF([1]Calculator!E4="",VLOOKUP($G$89&amp;".min", $A$95:$M$132, 11, FALSE),[1]Calcs!S7)</f>
        <v>22.1</v>
      </c>
      <c r="L92" s="646">
        <f>IF([1]Calculator!E4="",VLOOKUP($G$89&amp;".min", $A$95:$M$132, 12, FALSE),[1]Calcs!T7)</f>
        <v>23.4</v>
      </c>
      <c r="M92" s="646">
        <f>IF([1]Calculator!E4="",VLOOKUP($G$89&amp;".min", $A$95:$M$132, 13, FALSE),[1]Calcs!U7)</f>
        <v>24.6</v>
      </c>
      <c r="O92" s="647">
        <f>ROUNDUP(MIN(B91:M92),0)</f>
        <v>18</v>
      </c>
      <c r="P92" s="649" t="s">
        <v>3925</v>
      </c>
      <c r="U92"/>
      <c r="V92"/>
      <c r="W92"/>
      <c r="X92"/>
      <c r="Y92"/>
      <c r="Z92"/>
      <c r="AA92"/>
      <c r="AB92"/>
    </row>
    <row r="93" spans="1:28" x14ac:dyDescent="0.25">
      <c r="A93" s="650"/>
      <c r="B93" s="651"/>
      <c r="C93" s="651"/>
      <c r="D93" s="651"/>
      <c r="E93" s="651"/>
      <c r="F93" s="651"/>
      <c r="G93" s="651"/>
      <c r="H93" s="651"/>
      <c r="I93" s="651"/>
      <c r="J93" s="651"/>
      <c r="K93" s="651"/>
      <c r="L93" s="651"/>
      <c r="M93" s="651"/>
      <c r="N93" s="652"/>
      <c r="O93" s="653"/>
      <c r="P93" s="645"/>
      <c r="U93"/>
      <c r="V93"/>
      <c r="W93"/>
      <c r="X93"/>
      <c r="Y93"/>
      <c r="Z93"/>
      <c r="AA93"/>
      <c r="AB93"/>
    </row>
    <row r="94" spans="1:28" x14ac:dyDescent="0.25">
      <c r="A94" s="652"/>
      <c r="B94" s="652"/>
      <c r="C94" s="654" t="s">
        <v>3926</v>
      </c>
      <c r="D94" s="655" t="s">
        <v>3927</v>
      </c>
      <c r="E94" s="652"/>
      <c r="F94" s="652"/>
      <c r="G94" s="652"/>
      <c r="H94" s="652"/>
      <c r="I94" s="652"/>
      <c r="J94" s="652"/>
      <c r="K94" s="652"/>
      <c r="L94" s="652"/>
      <c r="M94" s="652"/>
      <c r="N94" s="652"/>
      <c r="O94" s="653"/>
      <c r="P94" s="645"/>
      <c r="U94"/>
      <c r="V94"/>
      <c r="W94"/>
      <c r="X94"/>
      <c r="Y94"/>
      <c r="Z94"/>
      <c r="AA94"/>
      <c r="AB94"/>
    </row>
    <row r="95" spans="1:28" x14ac:dyDescent="0.25">
      <c r="A95" s="656" t="s">
        <v>3928</v>
      </c>
      <c r="B95" s="651">
        <v>29.1</v>
      </c>
      <c r="C95" s="651">
        <v>29</v>
      </c>
      <c r="D95" s="651">
        <v>28.1</v>
      </c>
      <c r="E95" s="651">
        <v>26</v>
      </c>
      <c r="F95" s="651">
        <v>23.6</v>
      </c>
      <c r="G95" s="651">
        <v>21.3</v>
      </c>
      <c r="H95" s="651">
        <v>20.9</v>
      </c>
      <c r="I95" s="651">
        <v>22</v>
      </c>
      <c r="J95" s="651">
        <v>24.2</v>
      </c>
      <c r="K95" s="651">
        <v>25.5</v>
      </c>
      <c r="L95" s="651">
        <v>26.9</v>
      </c>
      <c r="M95" s="651">
        <v>28.2</v>
      </c>
      <c r="N95" s="652"/>
      <c r="O95" s="657">
        <f>ROUND(J95,0)</f>
        <v>24</v>
      </c>
      <c r="P95" s="658" t="s">
        <v>3923</v>
      </c>
      <c r="U95"/>
      <c r="V95"/>
      <c r="W95"/>
      <c r="X95"/>
      <c r="Y95"/>
      <c r="Z95"/>
      <c r="AA95"/>
      <c r="AB95"/>
    </row>
    <row r="96" spans="1:28" x14ac:dyDescent="0.25">
      <c r="A96" s="656" t="s">
        <v>3929</v>
      </c>
      <c r="B96" s="651">
        <v>21.4</v>
      </c>
      <c r="C96" s="651">
        <v>21.2</v>
      </c>
      <c r="D96" s="651">
        <v>19.8</v>
      </c>
      <c r="E96" s="651">
        <v>16.5</v>
      </c>
      <c r="F96" s="651">
        <v>13</v>
      </c>
      <c r="G96" s="651">
        <v>10.8</v>
      </c>
      <c r="H96" s="651">
        <v>9.3000000000000007</v>
      </c>
      <c r="I96" s="651">
        <v>9.8000000000000007</v>
      </c>
      <c r="J96" s="651">
        <v>12.9</v>
      </c>
      <c r="K96" s="651">
        <v>15.9</v>
      </c>
      <c r="L96" s="651">
        <v>18.3</v>
      </c>
      <c r="M96" s="651">
        <v>20.2</v>
      </c>
      <c r="N96" s="652"/>
      <c r="O96" s="657">
        <f>ROUNDUP(MIN(B95:M96),0)</f>
        <v>10</v>
      </c>
      <c r="P96" s="659" t="s">
        <v>3925</v>
      </c>
      <c r="U96"/>
      <c r="V96"/>
      <c r="W96"/>
      <c r="X96"/>
      <c r="Y96"/>
    </row>
    <row r="97" spans="1:16" x14ac:dyDescent="0.25">
      <c r="A97" s="652"/>
      <c r="B97" s="652"/>
      <c r="C97" s="652"/>
      <c r="D97" s="652"/>
      <c r="E97" s="652"/>
      <c r="F97" s="652"/>
      <c r="G97" s="652"/>
      <c r="H97" s="652"/>
      <c r="I97" s="652"/>
      <c r="J97" s="652"/>
      <c r="K97" s="652"/>
      <c r="L97" s="652"/>
      <c r="M97" s="652"/>
      <c r="N97" s="652"/>
      <c r="O97" s="653"/>
      <c r="P97" s="660"/>
    </row>
    <row r="98" spans="1:16" x14ac:dyDescent="0.25">
      <c r="A98" s="652"/>
      <c r="B98" s="652"/>
      <c r="C98" s="654" t="s">
        <v>3930</v>
      </c>
      <c r="D98" s="655" t="s">
        <v>3927</v>
      </c>
      <c r="E98" s="652"/>
      <c r="F98" s="652"/>
      <c r="G98" s="652"/>
      <c r="H98" s="652"/>
      <c r="I98" s="652"/>
      <c r="J98" s="652"/>
      <c r="K98" s="652"/>
      <c r="L98" s="652"/>
      <c r="M98" s="652"/>
      <c r="N98" s="652"/>
      <c r="O98" s="653"/>
      <c r="P98" s="660"/>
    </row>
    <row r="99" spans="1:16" x14ac:dyDescent="0.25">
      <c r="A99" s="656" t="s">
        <v>3931</v>
      </c>
      <c r="B99" s="651">
        <v>30.2</v>
      </c>
      <c r="C99" s="651">
        <v>27.9</v>
      </c>
      <c r="D99" s="651">
        <v>25</v>
      </c>
      <c r="E99" s="651">
        <v>20.8</v>
      </c>
      <c r="F99" s="651">
        <v>16.399999999999999</v>
      </c>
      <c r="G99" s="651">
        <v>13.3</v>
      </c>
      <c r="H99" s="651">
        <v>12.7</v>
      </c>
      <c r="I99" s="651">
        <v>14.1</v>
      </c>
      <c r="J99" s="651">
        <v>17.899999999999999</v>
      </c>
      <c r="K99" s="651">
        <v>21.2</v>
      </c>
      <c r="L99" s="651">
        <v>24.7</v>
      </c>
      <c r="M99" s="651">
        <v>27.2</v>
      </c>
      <c r="N99" s="652"/>
      <c r="O99" s="657">
        <f>ROUND(J99,0)</f>
        <v>18</v>
      </c>
      <c r="P99" s="658" t="s">
        <v>3923</v>
      </c>
    </row>
    <row r="100" spans="1:16" x14ac:dyDescent="0.25">
      <c r="A100" s="656" t="s">
        <v>3932</v>
      </c>
      <c r="B100" s="651">
        <v>14.2</v>
      </c>
      <c r="C100" s="651">
        <v>13.4</v>
      </c>
      <c r="D100" s="651">
        <v>11.2</v>
      </c>
      <c r="E100" s="651">
        <v>6.9</v>
      </c>
      <c r="F100" s="651">
        <v>2.4</v>
      </c>
      <c r="G100" s="651">
        <v>1.1000000000000001</v>
      </c>
      <c r="H100" s="651">
        <v>0.1</v>
      </c>
      <c r="I100" s="651">
        <v>1</v>
      </c>
      <c r="J100" s="651">
        <v>3.2</v>
      </c>
      <c r="K100" s="651">
        <v>6.3</v>
      </c>
      <c r="L100" s="651">
        <v>9.6999999999999993</v>
      </c>
      <c r="M100" s="651">
        <v>11.9</v>
      </c>
      <c r="N100" s="652"/>
      <c r="O100" s="657">
        <f>ROUNDUP(MIN(B99:M100),0)</f>
        <v>1</v>
      </c>
      <c r="P100" s="659" t="s">
        <v>3925</v>
      </c>
    </row>
    <row r="101" spans="1:16" x14ac:dyDescent="0.25">
      <c r="A101" s="652"/>
      <c r="B101" s="652"/>
      <c r="C101" s="652"/>
      <c r="D101" s="652"/>
      <c r="E101" s="652"/>
      <c r="F101" s="652"/>
      <c r="G101" s="652"/>
      <c r="H101" s="652"/>
      <c r="I101" s="652"/>
      <c r="J101" s="652"/>
      <c r="K101" s="652"/>
      <c r="L101" s="652"/>
      <c r="M101" s="652"/>
      <c r="N101" s="652"/>
      <c r="O101" s="653"/>
      <c r="P101" s="660"/>
    </row>
    <row r="102" spans="1:16" x14ac:dyDescent="0.25">
      <c r="A102" s="652"/>
      <c r="B102" s="652"/>
      <c r="C102" s="654" t="s">
        <v>3933</v>
      </c>
      <c r="D102" s="655" t="s">
        <v>3927</v>
      </c>
      <c r="E102" s="652"/>
      <c r="F102" s="652"/>
      <c r="G102" s="652"/>
      <c r="H102" s="652"/>
      <c r="I102" s="652"/>
      <c r="J102" s="652"/>
      <c r="K102" s="652"/>
      <c r="L102" s="652"/>
      <c r="M102" s="652"/>
      <c r="N102" s="652"/>
      <c r="O102" s="653"/>
      <c r="P102" s="660"/>
    </row>
    <row r="103" spans="1:16" x14ac:dyDescent="0.25">
      <c r="A103" s="656" t="s">
        <v>3934</v>
      </c>
      <c r="B103" s="651">
        <v>31.8</v>
      </c>
      <c r="C103" s="651">
        <v>31.5</v>
      </c>
      <c r="D103" s="651">
        <v>32</v>
      </c>
      <c r="E103" s="651">
        <v>32.799999999999997</v>
      </c>
      <c r="F103" s="651">
        <v>32.1</v>
      </c>
      <c r="G103" s="651">
        <v>30.7</v>
      </c>
      <c r="H103" s="651">
        <v>30.7</v>
      </c>
      <c r="I103" s="651">
        <v>31.5</v>
      </c>
      <c r="J103" s="651">
        <v>32.700000000000003</v>
      </c>
      <c r="K103" s="651">
        <v>33.299999999999997</v>
      </c>
      <c r="L103" s="651">
        <v>33.4</v>
      </c>
      <c r="M103" s="651">
        <v>32.700000000000003</v>
      </c>
      <c r="N103" s="652"/>
      <c r="O103" s="657">
        <f>ROUND(J103,0)</f>
        <v>33</v>
      </c>
      <c r="P103" s="658" t="s">
        <v>3923</v>
      </c>
    </row>
    <row r="104" spans="1:16" x14ac:dyDescent="0.25">
      <c r="A104" s="656" t="s">
        <v>3935</v>
      </c>
      <c r="B104" s="651">
        <v>24.9</v>
      </c>
      <c r="C104" s="651">
        <v>24.8</v>
      </c>
      <c r="D104" s="651">
        <v>24.6</v>
      </c>
      <c r="E104" s="651">
        <v>24.1</v>
      </c>
      <c r="F104" s="651">
        <v>22.2</v>
      </c>
      <c r="G104" s="651">
        <v>20</v>
      </c>
      <c r="H104" s="651">
        <v>19.3</v>
      </c>
      <c r="I104" s="651">
        <v>20.3</v>
      </c>
      <c r="J104" s="651">
        <v>23</v>
      </c>
      <c r="K104" s="651">
        <v>24.9</v>
      </c>
      <c r="L104" s="651">
        <v>25.3</v>
      </c>
      <c r="M104" s="651">
        <v>25.3</v>
      </c>
      <c r="N104" s="652"/>
      <c r="O104" s="657">
        <f>ROUNDUP(MIN(B103:M104),0)</f>
        <v>20</v>
      </c>
      <c r="P104" s="659" t="s">
        <v>3925</v>
      </c>
    </row>
    <row r="105" spans="1:16" x14ac:dyDescent="0.25">
      <c r="A105" s="652"/>
      <c r="B105" s="652"/>
      <c r="C105" s="652"/>
      <c r="D105" s="652"/>
      <c r="E105" s="652"/>
      <c r="F105" s="652"/>
      <c r="G105" s="652"/>
      <c r="H105" s="652"/>
      <c r="I105" s="652"/>
      <c r="J105" s="652"/>
      <c r="K105" s="652"/>
      <c r="L105" s="652"/>
      <c r="M105" s="652"/>
      <c r="N105" s="652"/>
      <c r="O105" s="653"/>
      <c r="P105" s="660"/>
    </row>
    <row r="106" spans="1:16" x14ac:dyDescent="0.25">
      <c r="A106" s="652"/>
      <c r="B106" s="652"/>
      <c r="C106" s="654" t="s">
        <v>3936</v>
      </c>
      <c r="D106" s="655" t="s">
        <v>3927</v>
      </c>
      <c r="E106" s="652"/>
      <c r="F106" s="652"/>
      <c r="G106" s="652"/>
      <c r="H106" s="652"/>
      <c r="I106" s="652"/>
      <c r="J106" s="652"/>
      <c r="K106" s="652"/>
      <c r="L106" s="652"/>
      <c r="M106" s="652"/>
      <c r="N106" s="652"/>
      <c r="O106" s="653"/>
      <c r="P106" s="660"/>
    </row>
    <row r="107" spans="1:16" x14ac:dyDescent="0.25">
      <c r="A107" s="656" t="s">
        <v>3937</v>
      </c>
      <c r="B107" s="651">
        <v>22.7</v>
      </c>
      <c r="C107" s="651">
        <v>22.3</v>
      </c>
      <c r="D107" s="651">
        <v>20.9</v>
      </c>
      <c r="E107" s="651">
        <v>18.2</v>
      </c>
      <c r="F107" s="651">
        <v>15.3</v>
      </c>
      <c r="G107" s="651">
        <v>13</v>
      </c>
      <c r="H107" s="651">
        <v>12.6</v>
      </c>
      <c r="I107" s="651">
        <v>13.5</v>
      </c>
      <c r="J107" s="651">
        <v>15.5</v>
      </c>
      <c r="K107" s="651">
        <v>17.399999999999999</v>
      </c>
      <c r="L107" s="651">
        <v>19.100000000000001</v>
      </c>
      <c r="M107" s="651">
        <v>20.8</v>
      </c>
      <c r="N107" s="652"/>
      <c r="O107" s="657">
        <f>ROUND(J107,0)</f>
        <v>16</v>
      </c>
      <c r="P107" s="658" t="s">
        <v>3923</v>
      </c>
    </row>
    <row r="108" spans="1:16" x14ac:dyDescent="0.25">
      <c r="A108" s="656" t="s">
        <v>3938</v>
      </c>
      <c r="B108" s="651">
        <v>12.2</v>
      </c>
      <c r="C108" s="651">
        <v>12.1</v>
      </c>
      <c r="D108" s="651">
        <v>10.9</v>
      </c>
      <c r="E108" s="651">
        <v>8.8000000000000007</v>
      </c>
      <c r="F108" s="651">
        <v>6.7</v>
      </c>
      <c r="G108" s="651">
        <v>4.7</v>
      </c>
      <c r="H108" s="651">
        <v>4.2</v>
      </c>
      <c r="I108" s="651">
        <v>4.8</v>
      </c>
      <c r="J108" s="651">
        <v>6.1</v>
      </c>
      <c r="K108" s="651">
        <v>7.6</v>
      </c>
      <c r="L108" s="651">
        <v>9.3000000000000007</v>
      </c>
      <c r="M108" s="651">
        <v>10.9</v>
      </c>
      <c r="N108" s="652"/>
      <c r="O108" s="657">
        <f>ROUNDUP(MIN(B107:M108),0)</f>
        <v>5</v>
      </c>
      <c r="P108" s="659" t="s">
        <v>3925</v>
      </c>
    </row>
    <row r="109" spans="1:16" x14ac:dyDescent="0.25">
      <c r="A109" s="652"/>
      <c r="B109" s="652"/>
      <c r="C109" s="652"/>
      <c r="D109" s="652"/>
      <c r="E109" s="652"/>
      <c r="F109" s="652"/>
      <c r="G109" s="652"/>
      <c r="H109" s="652"/>
      <c r="I109" s="652"/>
      <c r="J109" s="652"/>
      <c r="K109" s="652"/>
      <c r="L109" s="652"/>
      <c r="M109" s="652"/>
      <c r="N109" s="652"/>
      <c r="O109" s="653"/>
      <c r="P109" s="660"/>
    </row>
    <row r="110" spans="1:16" x14ac:dyDescent="0.25">
      <c r="A110" s="652"/>
      <c r="B110" s="652"/>
      <c r="C110" s="654" t="s">
        <v>3939</v>
      </c>
      <c r="D110" s="655" t="s">
        <v>3927</v>
      </c>
      <c r="E110" s="652"/>
      <c r="F110" s="652"/>
      <c r="G110" s="652"/>
      <c r="H110" s="652"/>
      <c r="I110" s="652"/>
      <c r="J110" s="652"/>
      <c r="K110" s="652"/>
      <c r="L110" s="652"/>
      <c r="M110" s="652"/>
      <c r="N110" s="652"/>
      <c r="O110" s="653"/>
      <c r="P110" s="660"/>
    </row>
    <row r="111" spans="1:16" x14ac:dyDescent="0.25">
      <c r="A111" s="656" t="s">
        <v>3940</v>
      </c>
      <c r="B111" s="651">
        <v>26.7</v>
      </c>
      <c r="C111" s="651">
        <v>26.5</v>
      </c>
      <c r="D111" s="651">
        <v>25.4</v>
      </c>
      <c r="E111" s="651">
        <v>23</v>
      </c>
      <c r="F111" s="651">
        <v>20.2</v>
      </c>
      <c r="G111" s="651">
        <v>17.7</v>
      </c>
      <c r="H111" s="651">
        <v>17.2</v>
      </c>
      <c r="I111" s="651">
        <v>18.5</v>
      </c>
      <c r="J111" s="651">
        <v>20.7</v>
      </c>
      <c r="K111" s="651">
        <v>22.7</v>
      </c>
      <c r="L111" s="651">
        <v>24.2</v>
      </c>
      <c r="M111" s="651">
        <v>25.9</v>
      </c>
      <c r="N111" s="652"/>
      <c r="O111" s="657">
        <f>ROUND(J111,0)</f>
        <v>21</v>
      </c>
      <c r="P111" s="658" t="s">
        <v>3923</v>
      </c>
    </row>
    <row r="112" spans="1:16" x14ac:dyDescent="0.25">
      <c r="A112" s="656" t="s">
        <v>3941</v>
      </c>
      <c r="B112" s="651">
        <v>19</v>
      </c>
      <c r="C112" s="651">
        <v>19.2</v>
      </c>
      <c r="D112" s="651">
        <v>17.7</v>
      </c>
      <c r="E112" s="651">
        <v>14.4</v>
      </c>
      <c r="F112" s="651">
        <v>11.1</v>
      </c>
      <c r="G112" s="651">
        <v>8.8000000000000007</v>
      </c>
      <c r="H112" s="651">
        <v>7.4</v>
      </c>
      <c r="I112" s="651">
        <v>8.3000000000000007</v>
      </c>
      <c r="J112" s="651">
        <v>10.6</v>
      </c>
      <c r="K112" s="651">
        <v>13.4</v>
      </c>
      <c r="L112" s="651">
        <v>15.5</v>
      </c>
      <c r="M112" s="651">
        <v>17.600000000000001</v>
      </c>
      <c r="N112" s="652"/>
      <c r="O112" s="657">
        <f>ROUNDUP(MIN(B111:M112),0)</f>
        <v>8</v>
      </c>
      <c r="P112" s="659" t="s">
        <v>3925</v>
      </c>
    </row>
    <row r="113" spans="1:16" x14ac:dyDescent="0.25">
      <c r="A113" s="652"/>
      <c r="B113" s="652"/>
      <c r="C113" s="652"/>
      <c r="D113" s="652"/>
      <c r="E113" s="652"/>
      <c r="F113" s="652"/>
      <c r="G113" s="652"/>
      <c r="H113" s="652"/>
      <c r="I113" s="652"/>
      <c r="J113" s="652"/>
      <c r="K113" s="652"/>
      <c r="L113" s="652"/>
      <c r="M113" s="652"/>
      <c r="N113" s="652"/>
      <c r="O113" s="653"/>
      <c r="P113" s="660"/>
    </row>
    <row r="114" spans="1:16" x14ac:dyDescent="0.25">
      <c r="A114" s="652"/>
      <c r="B114" s="652"/>
      <c r="C114" s="654" t="s">
        <v>3942</v>
      </c>
      <c r="D114" s="655" t="s">
        <v>3927</v>
      </c>
      <c r="E114" s="652"/>
      <c r="F114" s="652"/>
      <c r="G114" s="652"/>
      <c r="H114" s="652"/>
      <c r="I114" s="652"/>
      <c r="J114" s="652"/>
      <c r="K114" s="652"/>
      <c r="L114" s="652"/>
      <c r="M114" s="652"/>
      <c r="N114" s="652"/>
      <c r="O114" s="653"/>
      <c r="P114" s="660"/>
    </row>
    <row r="115" spans="1:16" x14ac:dyDescent="0.25">
      <c r="A115" s="656" t="s">
        <v>3943</v>
      </c>
      <c r="B115" s="651">
        <v>26.7</v>
      </c>
      <c r="C115" s="651">
        <v>25.9</v>
      </c>
      <c r="D115" s="651">
        <v>24.1</v>
      </c>
      <c r="E115" s="651">
        <v>20.2</v>
      </c>
      <c r="F115" s="651">
        <v>16.399999999999999</v>
      </c>
      <c r="G115" s="651">
        <v>13.8</v>
      </c>
      <c r="H115" s="651">
        <v>13.2</v>
      </c>
      <c r="I115" s="651">
        <v>14.4</v>
      </c>
      <c r="J115" s="651">
        <v>16.899999999999999</v>
      </c>
      <c r="K115" s="651">
        <v>19.5</v>
      </c>
      <c r="L115" s="651">
        <v>21.9</v>
      </c>
      <c r="M115" s="651">
        <v>24.6</v>
      </c>
      <c r="N115" s="652"/>
      <c r="O115" s="657">
        <f>ROUND(J115,0)</f>
        <v>17</v>
      </c>
      <c r="P115" s="658" t="s">
        <v>3923</v>
      </c>
    </row>
    <row r="116" spans="1:16" x14ac:dyDescent="0.25">
      <c r="A116" s="656" t="s">
        <v>3944</v>
      </c>
      <c r="B116" s="651">
        <v>13.8</v>
      </c>
      <c r="C116" s="651">
        <v>14.1</v>
      </c>
      <c r="D116" s="651">
        <v>12.7</v>
      </c>
      <c r="E116" s="651">
        <v>10.1</v>
      </c>
      <c r="F116" s="651">
        <v>7.9</v>
      </c>
      <c r="G116" s="651">
        <v>6.1</v>
      </c>
      <c r="H116" s="651">
        <v>5.4</v>
      </c>
      <c r="I116" s="651">
        <v>5.8</v>
      </c>
      <c r="J116" s="651">
        <v>6.9</v>
      </c>
      <c r="K116" s="651">
        <v>8.4</v>
      </c>
      <c r="L116" s="651">
        <v>10.199999999999999</v>
      </c>
      <c r="M116" s="651">
        <v>12</v>
      </c>
      <c r="N116" s="652"/>
      <c r="O116" s="657">
        <f>ROUNDUP(MIN(B115:M116),0)</f>
        <v>6</v>
      </c>
      <c r="P116" s="659" t="s">
        <v>3925</v>
      </c>
    </row>
    <row r="117" spans="1:16" x14ac:dyDescent="0.25">
      <c r="A117" s="652"/>
      <c r="B117" s="652"/>
      <c r="C117" s="652"/>
      <c r="D117" s="652"/>
      <c r="E117" s="652"/>
      <c r="F117" s="652"/>
      <c r="G117" s="652"/>
      <c r="H117" s="652"/>
      <c r="I117" s="652"/>
      <c r="J117" s="652"/>
      <c r="K117" s="652"/>
      <c r="L117" s="652"/>
      <c r="M117" s="652"/>
      <c r="N117" s="652"/>
      <c r="O117" s="653"/>
      <c r="P117" s="660"/>
    </row>
    <row r="118" spans="1:16" x14ac:dyDescent="0.25">
      <c r="A118" s="652"/>
      <c r="B118" s="652"/>
      <c r="C118" s="654" t="s">
        <v>3945</v>
      </c>
      <c r="D118" s="655" t="s">
        <v>3927</v>
      </c>
      <c r="E118" s="652"/>
      <c r="F118" s="652"/>
      <c r="G118" s="652"/>
      <c r="H118" s="652"/>
      <c r="I118" s="652"/>
      <c r="J118" s="652"/>
      <c r="K118" s="652"/>
      <c r="L118" s="652"/>
      <c r="M118" s="652"/>
      <c r="N118" s="652"/>
      <c r="O118" s="653"/>
      <c r="P118" s="660"/>
    </row>
    <row r="119" spans="1:16" x14ac:dyDescent="0.25">
      <c r="A119" s="656" t="s">
        <v>3946</v>
      </c>
      <c r="B119" s="651">
        <v>28.2</v>
      </c>
      <c r="C119" s="651">
        <v>28</v>
      </c>
      <c r="D119" s="651">
        <v>25.5</v>
      </c>
      <c r="E119" s="651">
        <v>22.3</v>
      </c>
      <c r="F119" s="651">
        <v>18.600000000000001</v>
      </c>
      <c r="G119" s="651">
        <v>15.9</v>
      </c>
      <c r="H119" s="651">
        <v>15</v>
      </c>
      <c r="I119" s="651">
        <v>16</v>
      </c>
      <c r="J119" s="651">
        <v>18.3</v>
      </c>
      <c r="K119" s="651">
        <v>21.2</v>
      </c>
      <c r="L119" s="651">
        <v>24</v>
      </c>
      <c r="M119" s="651">
        <v>25.9</v>
      </c>
      <c r="N119" s="652"/>
      <c r="O119" s="657">
        <f>ROUND(J119,0)</f>
        <v>18</v>
      </c>
      <c r="P119" s="658" t="s">
        <v>3923</v>
      </c>
    </row>
    <row r="120" spans="1:16" x14ac:dyDescent="0.25">
      <c r="A120" s="656" t="s">
        <v>3947</v>
      </c>
      <c r="B120" s="651">
        <v>16.2</v>
      </c>
      <c r="C120" s="651">
        <v>16.2</v>
      </c>
      <c r="D120" s="651">
        <v>14.6</v>
      </c>
      <c r="E120" s="651">
        <v>11.9</v>
      </c>
      <c r="F120" s="651">
        <v>9.6999999999999993</v>
      </c>
      <c r="G120" s="651">
        <v>7.7</v>
      </c>
      <c r="H120" s="651">
        <v>7.1</v>
      </c>
      <c r="I120" s="651">
        <v>7.6</v>
      </c>
      <c r="J120" s="651">
        <v>9</v>
      </c>
      <c r="K120" s="651">
        <v>10.8</v>
      </c>
      <c r="L120" s="651">
        <v>12.9</v>
      </c>
      <c r="M120" s="651">
        <v>14.7</v>
      </c>
      <c r="N120" s="652"/>
      <c r="O120" s="657">
        <f>ROUNDUP(MIN(B119:M120),0)</f>
        <v>8</v>
      </c>
      <c r="P120" s="659" t="s">
        <v>3925</v>
      </c>
    </row>
    <row r="121" spans="1:16" x14ac:dyDescent="0.25">
      <c r="A121" s="652"/>
      <c r="B121" s="652"/>
      <c r="C121" s="652"/>
      <c r="D121" s="652"/>
      <c r="E121" s="652"/>
      <c r="F121" s="652"/>
      <c r="G121" s="652"/>
      <c r="H121" s="652"/>
      <c r="I121" s="652"/>
      <c r="J121" s="652"/>
      <c r="K121" s="652"/>
      <c r="L121" s="652"/>
      <c r="M121" s="652"/>
      <c r="N121" s="652"/>
      <c r="O121" s="653"/>
      <c r="P121" s="660"/>
    </row>
    <row r="122" spans="1:16" x14ac:dyDescent="0.25">
      <c r="A122" s="652"/>
      <c r="B122" s="652"/>
      <c r="C122" s="654" t="s">
        <v>3948</v>
      </c>
      <c r="D122" s="655" t="s">
        <v>3927</v>
      </c>
      <c r="E122" s="652"/>
      <c r="F122" s="652"/>
      <c r="G122" s="652"/>
      <c r="H122" s="652"/>
      <c r="I122" s="652"/>
      <c r="J122" s="652"/>
      <c r="K122" s="652"/>
      <c r="L122" s="652"/>
      <c r="M122" s="652"/>
      <c r="N122" s="652"/>
      <c r="O122" s="653"/>
      <c r="P122" s="660"/>
    </row>
    <row r="123" spans="1:16" x14ac:dyDescent="0.25">
      <c r="A123" s="656" t="s">
        <v>3949</v>
      </c>
      <c r="B123" s="651">
        <v>36.4</v>
      </c>
      <c r="C123" s="651">
        <v>35.200000000000003</v>
      </c>
      <c r="D123" s="651">
        <v>32.9</v>
      </c>
      <c r="E123" s="651">
        <v>28.4</v>
      </c>
      <c r="F123" s="651">
        <v>23.1</v>
      </c>
      <c r="G123" s="651">
        <v>19.899999999999999</v>
      </c>
      <c r="H123" s="651">
        <v>19.899999999999999</v>
      </c>
      <c r="I123" s="651">
        <v>22.8</v>
      </c>
      <c r="J123" s="651">
        <v>27.4</v>
      </c>
      <c r="K123" s="651">
        <v>31.2</v>
      </c>
      <c r="L123" s="651">
        <v>33.700000000000003</v>
      </c>
      <c r="M123" s="651">
        <v>35.5</v>
      </c>
      <c r="N123" s="652"/>
      <c r="O123" s="657">
        <f>ROUND(J123,0)</f>
        <v>27</v>
      </c>
      <c r="P123" s="658" t="s">
        <v>3923</v>
      </c>
    </row>
    <row r="124" spans="1:16" x14ac:dyDescent="0.25">
      <c r="A124" s="656" t="s">
        <v>3950</v>
      </c>
      <c r="B124" s="651">
        <v>21.6</v>
      </c>
      <c r="C124" s="651">
        <v>20.7</v>
      </c>
      <c r="D124" s="651">
        <v>17.600000000000001</v>
      </c>
      <c r="E124" s="651">
        <v>12.6</v>
      </c>
      <c r="F124" s="651">
        <v>8.1</v>
      </c>
      <c r="G124" s="651">
        <v>4.9000000000000004</v>
      </c>
      <c r="H124" s="651">
        <v>3.9</v>
      </c>
      <c r="I124" s="651">
        <v>5.9</v>
      </c>
      <c r="J124" s="651">
        <v>10.3</v>
      </c>
      <c r="K124" s="651">
        <v>14.8</v>
      </c>
      <c r="L124" s="651">
        <v>17.899999999999999</v>
      </c>
      <c r="M124" s="651">
        <v>20.3</v>
      </c>
      <c r="N124" s="652"/>
      <c r="O124" s="657">
        <f>ROUNDUP(MIN(B123:M124),0)</f>
        <v>4</v>
      </c>
      <c r="P124" s="659" t="s">
        <v>3925</v>
      </c>
    </row>
    <row r="125" spans="1:16" x14ac:dyDescent="0.25">
      <c r="A125" s="652"/>
      <c r="B125" s="652"/>
      <c r="C125" s="652"/>
      <c r="D125" s="652"/>
      <c r="E125" s="652"/>
      <c r="F125" s="652"/>
      <c r="G125" s="652"/>
      <c r="H125" s="652"/>
      <c r="I125" s="652"/>
      <c r="J125" s="652"/>
      <c r="K125" s="652"/>
      <c r="L125" s="652"/>
      <c r="M125" s="652"/>
      <c r="N125" s="652"/>
      <c r="O125" s="653"/>
      <c r="P125" s="660"/>
    </row>
    <row r="126" spans="1:16" x14ac:dyDescent="0.25">
      <c r="A126" s="652"/>
      <c r="B126" s="652"/>
      <c r="C126" s="654" t="s">
        <v>3951</v>
      </c>
      <c r="D126" s="655" t="s">
        <v>3927</v>
      </c>
      <c r="E126" s="652"/>
      <c r="F126" s="652"/>
      <c r="G126" s="652"/>
      <c r="H126" s="652"/>
      <c r="I126" s="652"/>
      <c r="J126" s="652"/>
      <c r="K126" s="652"/>
      <c r="L126" s="652"/>
      <c r="M126" s="652"/>
      <c r="N126" s="652"/>
      <c r="O126" s="653"/>
      <c r="P126" s="660"/>
    </row>
    <row r="127" spans="1:16" x14ac:dyDescent="0.25">
      <c r="A127" s="656" t="s">
        <v>3952</v>
      </c>
      <c r="B127" s="651">
        <v>31.8</v>
      </c>
      <c r="C127" s="651">
        <v>32</v>
      </c>
      <c r="D127" s="651">
        <v>29.8</v>
      </c>
      <c r="E127" s="651">
        <v>25.7</v>
      </c>
      <c r="F127" s="651">
        <v>21.8</v>
      </c>
      <c r="G127" s="651">
        <v>19</v>
      </c>
      <c r="H127" s="651">
        <v>18</v>
      </c>
      <c r="I127" s="651">
        <v>18.600000000000001</v>
      </c>
      <c r="J127" s="651">
        <v>20.3</v>
      </c>
      <c r="K127" s="651">
        <v>22.8</v>
      </c>
      <c r="L127" s="651">
        <v>26.1</v>
      </c>
      <c r="M127" s="651">
        <v>29.2</v>
      </c>
      <c r="N127" s="652"/>
      <c r="O127" s="657">
        <f>ROUND(J127,0)</f>
        <v>20</v>
      </c>
      <c r="P127" s="658" t="s">
        <v>3923</v>
      </c>
    </row>
    <row r="128" spans="1:16" x14ac:dyDescent="0.25">
      <c r="A128" s="656" t="s">
        <v>3953</v>
      </c>
      <c r="B128" s="651">
        <v>17.100000000000001</v>
      </c>
      <c r="C128" s="651">
        <v>17.600000000000001</v>
      </c>
      <c r="D128" s="651">
        <v>16</v>
      </c>
      <c r="E128" s="651">
        <v>13</v>
      </c>
      <c r="F128" s="651">
        <v>10.4</v>
      </c>
      <c r="G128" s="651">
        <v>9</v>
      </c>
      <c r="H128" s="651">
        <v>8.1</v>
      </c>
      <c r="I128" s="651">
        <v>8.1</v>
      </c>
      <c r="J128" s="651">
        <v>8.9</v>
      </c>
      <c r="K128" s="651">
        <v>10.3</v>
      </c>
      <c r="L128" s="651">
        <v>12.8</v>
      </c>
      <c r="M128" s="651">
        <v>15</v>
      </c>
      <c r="N128" s="652"/>
      <c r="O128" s="657">
        <f>ROUNDUP(MIN(B127:M128),0)</f>
        <v>9</v>
      </c>
      <c r="P128" s="659" t="s">
        <v>3925</v>
      </c>
    </row>
    <row r="129" spans="1:16" x14ac:dyDescent="0.25">
      <c r="A129" s="652"/>
      <c r="B129" s="652"/>
      <c r="C129" s="652"/>
      <c r="D129" s="652"/>
      <c r="E129" s="652"/>
      <c r="F129" s="652"/>
      <c r="G129" s="652"/>
      <c r="H129" s="652"/>
      <c r="I129" s="652"/>
      <c r="J129" s="652"/>
      <c r="K129" s="652"/>
      <c r="L129" s="652"/>
      <c r="M129" s="652"/>
      <c r="N129" s="652"/>
      <c r="O129" s="653"/>
      <c r="P129" s="660"/>
    </row>
    <row r="130" spans="1:16" x14ac:dyDescent="0.25">
      <c r="A130" s="652"/>
      <c r="B130" s="652"/>
      <c r="C130" s="654" t="s">
        <v>3954</v>
      </c>
      <c r="D130" s="655" t="s">
        <v>3927</v>
      </c>
      <c r="E130" s="652"/>
      <c r="F130" s="652"/>
      <c r="G130" s="652"/>
      <c r="H130" s="652"/>
      <c r="I130" s="652"/>
      <c r="J130" s="652"/>
      <c r="K130" s="652"/>
      <c r="L130" s="652"/>
      <c r="M130" s="652"/>
      <c r="N130" s="652"/>
      <c r="O130" s="653"/>
      <c r="P130" s="660"/>
    </row>
    <row r="131" spans="1:16" x14ac:dyDescent="0.25">
      <c r="A131" s="656" t="s">
        <v>3955</v>
      </c>
      <c r="B131" s="651">
        <v>31.5</v>
      </c>
      <c r="C131" s="651">
        <v>31.3</v>
      </c>
      <c r="D131" s="651">
        <v>30.6</v>
      </c>
      <c r="E131" s="651">
        <v>29.4</v>
      </c>
      <c r="F131" s="651">
        <v>27.7</v>
      </c>
      <c r="G131" s="651">
        <v>26.1</v>
      </c>
      <c r="H131" s="651">
        <v>25.8</v>
      </c>
      <c r="I131" s="651">
        <v>26.7</v>
      </c>
      <c r="J131" s="651">
        <v>28.2</v>
      </c>
      <c r="K131" s="651">
        <v>29.6</v>
      </c>
      <c r="L131" s="651">
        <v>30.8</v>
      </c>
      <c r="M131" s="651">
        <v>31.5</v>
      </c>
      <c r="N131" s="652"/>
      <c r="O131" s="657">
        <f>ROUND(J131,0)</f>
        <v>28</v>
      </c>
      <c r="P131" s="658" t="s">
        <v>3923</v>
      </c>
    </row>
    <row r="132" spans="1:16" x14ac:dyDescent="0.25">
      <c r="A132" s="656" t="s">
        <v>3956</v>
      </c>
      <c r="B132" s="651">
        <v>23.7</v>
      </c>
      <c r="C132" s="651">
        <v>23.8</v>
      </c>
      <c r="D132" s="651">
        <v>23.1</v>
      </c>
      <c r="E132" s="651">
        <v>21.7</v>
      </c>
      <c r="F132" s="651">
        <v>20</v>
      </c>
      <c r="G132" s="651">
        <v>18</v>
      </c>
      <c r="H132" s="651">
        <v>17.2</v>
      </c>
      <c r="I132" s="651">
        <v>17.399999999999999</v>
      </c>
      <c r="J132" s="651">
        <v>18.8</v>
      </c>
      <c r="K132" s="651">
        <v>20.7</v>
      </c>
      <c r="L132" s="651">
        <v>22.3</v>
      </c>
      <c r="M132" s="651">
        <v>23.4</v>
      </c>
      <c r="N132" s="652"/>
      <c r="O132" s="657">
        <f>ROUNDUP(MIN(B131:M132),0)</f>
        <v>18</v>
      </c>
      <c r="P132" s="659" t="s">
        <v>3925</v>
      </c>
    </row>
    <row r="133" spans="1:16" x14ac:dyDescent="0.25">
      <c r="A133" s="652"/>
      <c r="B133" s="652"/>
      <c r="C133" s="652"/>
      <c r="D133" s="652"/>
      <c r="E133" s="652"/>
      <c r="F133" s="652"/>
      <c r="G133" s="652"/>
      <c r="H133" s="652"/>
      <c r="I133" s="652"/>
      <c r="J133" s="652"/>
      <c r="K133" s="652"/>
      <c r="L133" s="652"/>
      <c r="M133" s="652"/>
      <c r="N133" s="652"/>
      <c r="O133" s="653"/>
      <c r="P133" s="660"/>
    </row>
    <row r="134" spans="1:16" x14ac:dyDescent="0.25">
      <c r="A134" s="652"/>
      <c r="B134" s="652"/>
      <c r="C134" s="652"/>
      <c r="D134" s="652"/>
      <c r="E134" s="652"/>
      <c r="F134" s="652"/>
      <c r="G134" s="652"/>
      <c r="H134" s="652"/>
      <c r="I134" s="652"/>
      <c r="J134" s="652"/>
      <c r="K134" s="652"/>
      <c r="L134" s="652"/>
      <c r="M134" s="652"/>
      <c r="N134" s="652"/>
      <c r="O134" s="653"/>
      <c r="P134" s="645"/>
    </row>
  </sheetData>
  <mergeCells count="41">
    <mergeCell ref="B41:C41"/>
    <mergeCell ref="L41:M41"/>
    <mergeCell ref="O7:T7"/>
    <mergeCell ref="A9:A15"/>
    <mergeCell ref="A16:A27"/>
    <mergeCell ref="A28:A33"/>
    <mergeCell ref="B36:K37"/>
    <mergeCell ref="B42:C42"/>
    <mergeCell ref="L42:M42"/>
    <mergeCell ref="B43:C43"/>
    <mergeCell ref="L43:M43"/>
    <mergeCell ref="B44:C44"/>
    <mergeCell ref="L44:M44"/>
    <mergeCell ref="B45:C45"/>
    <mergeCell ref="L45:M45"/>
    <mergeCell ref="B46:C46"/>
    <mergeCell ref="L46:M46"/>
    <mergeCell ref="B47:C47"/>
    <mergeCell ref="L47:M47"/>
    <mergeCell ref="B48:C48"/>
    <mergeCell ref="L48:M48"/>
    <mergeCell ref="B49:C49"/>
    <mergeCell ref="L49:M49"/>
    <mergeCell ref="B50:C50"/>
    <mergeCell ref="L50:M50"/>
    <mergeCell ref="B51:C51"/>
    <mergeCell ref="L51:M51"/>
    <mergeCell ref="B52:C52"/>
    <mergeCell ref="L52:M52"/>
    <mergeCell ref="B53:C53"/>
    <mergeCell ref="L53:M53"/>
    <mergeCell ref="B57:C57"/>
    <mergeCell ref="L57:M57"/>
    <mergeCell ref="A58:B58"/>
    <mergeCell ref="B87:D88"/>
    <mergeCell ref="B54:C54"/>
    <mergeCell ref="L54:M54"/>
    <mergeCell ref="B55:C55"/>
    <mergeCell ref="L55:M55"/>
    <mergeCell ref="B56:C56"/>
    <mergeCell ref="L56:M56"/>
  </mergeCells>
  <pageMargins left="0.23622047244094491" right="0.23622047244094491" top="0.74803149606299213" bottom="0.74803149606299213" header="0.31496062992125984" footer="0.31496062992125984"/>
  <pageSetup paperSize="9" scale="84" fitToHeight="0" orientation="portrait" r:id="rId1"/>
  <headerFooter>
    <oddFooter>Page &amp;P of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DA6B6-3819-490C-8D3D-F5BB3FC584DD}">
  <sheetPr>
    <tabColor theme="5" tint="0.39997558519241921"/>
  </sheetPr>
  <dimension ref="A1:AZ39"/>
  <sheetViews>
    <sheetView workbookViewId="0">
      <selection activeCell="N16" sqref="N16"/>
    </sheetView>
  </sheetViews>
  <sheetFormatPr defaultRowHeight="15" x14ac:dyDescent="0.25"/>
  <cols>
    <col min="17" max="17" width="18.42578125" customWidth="1"/>
    <col min="18" max="25" width="12.7109375" customWidth="1"/>
  </cols>
  <sheetData>
    <row r="1" spans="2:52" x14ac:dyDescent="0.25">
      <c r="I1">
        <v>1</v>
      </c>
      <c r="J1" t="s">
        <v>601</v>
      </c>
      <c r="L1" s="60" t="s">
        <v>628</v>
      </c>
      <c r="M1" s="60"/>
      <c r="N1" s="60"/>
    </row>
    <row r="2" spans="2:52" x14ac:dyDescent="0.25">
      <c r="B2" s="44" t="s">
        <v>124</v>
      </c>
      <c r="I2">
        <v>2</v>
      </c>
      <c r="J2" t="s">
        <v>602</v>
      </c>
      <c r="L2" s="60"/>
      <c r="M2" s="60"/>
      <c r="N2" s="60" t="s">
        <v>627</v>
      </c>
      <c r="Q2" s="52" t="s">
        <v>148</v>
      </c>
      <c r="R2" s="61" t="s">
        <v>150</v>
      </c>
      <c r="S2" s="61" t="s">
        <v>149</v>
      </c>
      <c r="T2" s="61" t="s">
        <v>216</v>
      </c>
      <c r="U2" s="61" t="s">
        <v>217</v>
      </c>
      <c r="V2" s="61" t="s">
        <v>153</v>
      </c>
      <c r="W2" s="61" t="s">
        <v>154</v>
      </c>
      <c r="X2" s="61" t="s">
        <v>155</v>
      </c>
      <c r="Y2" s="61" t="s">
        <v>156</v>
      </c>
      <c r="Z2" s="61"/>
      <c r="AA2" s="61"/>
      <c r="AB2" s="61"/>
    </row>
    <row r="3" spans="2:52" x14ac:dyDescent="0.25">
      <c r="C3" t="s">
        <v>122</v>
      </c>
      <c r="I3">
        <v>3</v>
      </c>
      <c r="J3" t="s">
        <v>603</v>
      </c>
      <c r="Q3" s="78" t="s">
        <v>147</v>
      </c>
      <c r="R3" s="63" t="s">
        <v>221</v>
      </c>
      <c r="S3" s="64" t="s">
        <v>161</v>
      </c>
      <c r="T3" s="63" t="s">
        <v>222</v>
      </c>
      <c r="U3" s="64" t="s">
        <v>167</v>
      </c>
      <c r="V3" s="63" t="s">
        <v>177</v>
      </c>
      <c r="W3" s="64" t="s">
        <v>183</v>
      </c>
      <c r="X3" s="63" t="s">
        <v>193</v>
      </c>
      <c r="Y3" s="64" t="s">
        <v>196</v>
      </c>
    </row>
    <row r="4" spans="2:52" x14ac:dyDescent="0.25">
      <c r="I4">
        <v>4</v>
      </c>
      <c r="J4" t="s">
        <v>604</v>
      </c>
      <c r="Q4" s="16"/>
      <c r="R4" s="63" t="s">
        <v>157</v>
      </c>
      <c r="S4" s="64" t="s">
        <v>162</v>
      </c>
      <c r="T4" s="65" t="s">
        <v>165</v>
      </c>
      <c r="U4" s="64" t="s">
        <v>168</v>
      </c>
      <c r="V4" s="63" t="s">
        <v>179</v>
      </c>
      <c r="W4" s="66" t="s">
        <v>184</v>
      </c>
      <c r="X4" s="63" t="s">
        <v>223</v>
      </c>
      <c r="Y4" s="64" t="s">
        <v>214</v>
      </c>
    </row>
    <row r="5" spans="2:52" x14ac:dyDescent="0.25">
      <c r="B5" s="44" t="s">
        <v>125</v>
      </c>
      <c r="Q5" s="16"/>
      <c r="R5" s="63" t="s">
        <v>158</v>
      </c>
      <c r="S5" s="64" t="s">
        <v>163</v>
      </c>
      <c r="T5" s="63" t="s">
        <v>166</v>
      </c>
      <c r="U5" s="64" t="s">
        <v>169</v>
      </c>
      <c r="V5" s="63" t="s">
        <v>180</v>
      </c>
      <c r="W5" s="67" t="s">
        <v>185</v>
      </c>
      <c r="X5" s="55"/>
      <c r="Y5" s="64" t="s">
        <v>197</v>
      </c>
    </row>
    <row r="6" spans="2:52" x14ac:dyDescent="0.25">
      <c r="C6" t="s">
        <v>123</v>
      </c>
      <c r="E6" t="s">
        <v>237</v>
      </c>
      <c r="J6" s="13" t="s">
        <v>145</v>
      </c>
      <c r="K6" s="13"/>
      <c r="L6" s="13"/>
      <c r="M6" s="13"/>
      <c r="Q6" s="16"/>
      <c r="R6" s="63" t="s">
        <v>159</v>
      </c>
      <c r="S6" s="64" t="s">
        <v>164</v>
      </c>
      <c r="T6" s="53"/>
      <c r="U6" s="64" t="s">
        <v>170</v>
      </c>
      <c r="V6" s="63" t="s">
        <v>181</v>
      </c>
      <c r="W6" s="67" t="s">
        <v>218</v>
      </c>
      <c r="X6" s="55"/>
      <c r="Y6" s="64" t="s">
        <v>215</v>
      </c>
    </row>
    <row r="7" spans="2:52" x14ac:dyDescent="0.25">
      <c r="J7" s="13" t="s">
        <v>146</v>
      </c>
      <c r="K7" s="13"/>
      <c r="L7" s="13"/>
      <c r="M7" s="13"/>
      <c r="Q7" s="16"/>
      <c r="R7" s="63" t="s">
        <v>160</v>
      </c>
      <c r="S7" s="53"/>
      <c r="T7" s="53"/>
      <c r="U7" s="64" t="s">
        <v>171</v>
      </c>
      <c r="V7" s="63" t="s">
        <v>182</v>
      </c>
      <c r="W7" s="67" t="s">
        <v>219</v>
      </c>
      <c r="X7" s="55"/>
      <c r="Y7" s="68" t="s">
        <v>198</v>
      </c>
    </row>
    <row r="8" spans="2:52" x14ac:dyDescent="0.25">
      <c r="B8" s="45" t="s">
        <v>134</v>
      </c>
      <c r="Q8" s="16"/>
      <c r="R8" s="63" t="s">
        <v>235</v>
      </c>
      <c r="S8" s="53"/>
      <c r="T8" s="53"/>
      <c r="U8" s="64" t="s">
        <v>172</v>
      </c>
      <c r="V8" s="63" t="s">
        <v>230</v>
      </c>
      <c r="W8" s="67" t="s">
        <v>187</v>
      </c>
      <c r="X8" s="55"/>
      <c r="Y8" s="68" t="s">
        <v>199</v>
      </c>
    </row>
    <row r="9" spans="2:52" x14ac:dyDescent="0.25">
      <c r="B9" s="46" t="s">
        <v>133</v>
      </c>
      <c r="C9" s="47" t="s">
        <v>132</v>
      </c>
      <c r="D9" s="47"/>
      <c r="Q9" s="16"/>
      <c r="R9" s="53"/>
      <c r="S9" s="53"/>
      <c r="T9" s="53"/>
      <c r="U9" s="64" t="s">
        <v>173</v>
      </c>
      <c r="V9" s="63" t="s">
        <v>232</v>
      </c>
      <c r="W9" s="64" t="s">
        <v>188</v>
      </c>
      <c r="Y9" s="68" t="s">
        <v>200</v>
      </c>
    </row>
    <row r="10" spans="2:52" ht="15.75" x14ac:dyDescent="0.25">
      <c r="B10" s="46" t="s">
        <v>131</v>
      </c>
      <c r="C10" s="47" t="s">
        <v>130</v>
      </c>
      <c r="D10" s="47"/>
      <c r="Q10" s="16"/>
      <c r="R10" s="53"/>
      <c r="S10" s="53"/>
      <c r="T10" s="53"/>
      <c r="U10" s="64" t="s">
        <v>174</v>
      </c>
      <c r="V10" s="54"/>
      <c r="W10" s="64" t="s">
        <v>189</v>
      </c>
      <c r="Y10" s="68" t="s">
        <v>201</v>
      </c>
      <c r="AB10" s="85" t="s">
        <v>605</v>
      </c>
      <c r="AC10" s="86" t="s">
        <v>606</v>
      </c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</row>
    <row r="11" spans="2:52" x14ac:dyDescent="0.25">
      <c r="B11" s="46" t="s">
        <v>129</v>
      </c>
      <c r="C11" s="47" t="s">
        <v>128</v>
      </c>
      <c r="D11" s="47"/>
      <c r="Q11" s="16"/>
      <c r="R11" s="53"/>
      <c r="S11" s="53"/>
      <c r="T11" s="53"/>
      <c r="U11" s="64" t="s">
        <v>175</v>
      </c>
      <c r="V11" s="54"/>
      <c r="W11" s="64" t="s">
        <v>190</v>
      </c>
      <c r="Y11" s="68" t="s">
        <v>202</v>
      </c>
      <c r="AA11" s="79" t="s">
        <v>607</v>
      </c>
      <c r="AB11" s="80" t="s">
        <v>608</v>
      </c>
      <c r="AC11" s="81" t="s">
        <v>609</v>
      </c>
      <c r="AI11" s="82" t="s">
        <v>610</v>
      </c>
    </row>
    <row r="12" spans="2:52" x14ac:dyDescent="0.25">
      <c r="B12" s="46" t="s">
        <v>127</v>
      </c>
      <c r="C12" s="47" t="s">
        <v>126</v>
      </c>
      <c r="D12" s="47"/>
      <c r="U12" s="64" t="s">
        <v>176</v>
      </c>
      <c r="V12" s="54"/>
      <c r="W12" s="64" t="s">
        <v>191</v>
      </c>
      <c r="Y12" s="68" t="s">
        <v>203</v>
      </c>
      <c r="AA12" s="79" t="s">
        <v>607</v>
      </c>
      <c r="AB12" s="80" t="s">
        <v>611</v>
      </c>
      <c r="AC12" s="81" t="s">
        <v>612</v>
      </c>
      <c r="AI12" s="82" t="s">
        <v>613</v>
      </c>
    </row>
    <row r="13" spans="2:52" x14ac:dyDescent="0.25">
      <c r="B13" s="46" t="s">
        <v>135</v>
      </c>
      <c r="C13" s="47" t="s">
        <v>136</v>
      </c>
      <c r="U13" s="64" t="s">
        <v>231</v>
      </c>
      <c r="W13" s="63" t="s">
        <v>178</v>
      </c>
      <c r="Y13" s="68" t="s">
        <v>204</v>
      </c>
      <c r="AA13" s="79" t="s">
        <v>607</v>
      </c>
      <c r="AB13" s="80" t="s">
        <v>614</v>
      </c>
      <c r="AC13" s="81" t="s">
        <v>615</v>
      </c>
      <c r="AI13" s="82" t="s">
        <v>610</v>
      </c>
    </row>
    <row r="14" spans="2:52" x14ac:dyDescent="0.25">
      <c r="U14" s="64" t="s">
        <v>234</v>
      </c>
      <c r="W14" s="64" t="s">
        <v>192</v>
      </c>
      <c r="Y14" s="68" t="s">
        <v>205</v>
      </c>
      <c r="AA14" s="79" t="s">
        <v>607</v>
      </c>
      <c r="AB14" s="80" t="s">
        <v>616</v>
      </c>
      <c r="AC14" s="81" t="s">
        <v>617</v>
      </c>
      <c r="AI14" s="82" t="s">
        <v>613</v>
      </c>
    </row>
    <row r="15" spans="2:52" x14ac:dyDescent="0.25">
      <c r="B15" s="45" t="s">
        <v>121</v>
      </c>
      <c r="U15" s="53"/>
      <c r="W15" s="64" t="s">
        <v>233</v>
      </c>
      <c r="Y15" s="68" t="s">
        <v>206</v>
      </c>
      <c r="AA15" s="79" t="s">
        <v>607</v>
      </c>
      <c r="AB15" s="80" t="s">
        <v>618</v>
      </c>
      <c r="AC15" s="81" t="s">
        <v>619</v>
      </c>
      <c r="AE15" s="83"/>
      <c r="AF15" s="84"/>
      <c r="AG15" s="84"/>
      <c r="AH15" s="84"/>
      <c r="AI15" s="82" t="s">
        <v>620</v>
      </c>
    </row>
    <row r="16" spans="2:52" x14ac:dyDescent="0.25">
      <c r="B16" s="48">
        <v>1</v>
      </c>
      <c r="C16" s="48" t="s">
        <v>120</v>
      </c>
      <c r="U16" s="53"/>
      <c r="W16" s="53"/>
      <c r="Y16" s="68" t="s">
        <v>220</v>
      </c>
    </row>
    <row r="17" spans="1:31" x14ac:dyDescent="0.25">
      <c r="B17" s="48">
        <v>2</v>
      </c>
      <c r="C17" s="48" t="s">
        <v>144</v>
      </c>
      <c r="W17" s="53"/>
      <c r="Y17" s="68" t="s">
        <v>207</v>
      </c>
    </row>
    <row r="18" spans="1:31" x14ac:dyDescent="0.25">
      <c r="B18" s="48">
        <v>3</v>
      </c>
      <c r="C18" s="48" t="s">
        <v>142</v>
      </c>
      <c r="W18" s="53"/>
      <c r="Y18" s="68" t="s">
        <v>208</v>
      </c>
    </row>
    <row r="19" spans="1:31" x14ac:dyDescent="0.25">
      <c r="A19" s="50" t="s">
        <v>143</v>
      </c>
      <c r="B19" s="49">
        <v>4</v>
      </c>
      <c r="C19" s="48" t="s">
        <v>119</v>
      </c>
      <c r="W19" s="53"/>
      <c r="Y19" s="68" t="s">
        <v>209</v>
      </c>
    </row>
    <row r="20" spans="1:31" x14ac:dyDescent="0.25">
      <c r="B20" s="48">
        <v>5</v>
      </c>
      <c r="C20" s="48" t="s">
        <v>118</v>
      </c>
      <c r="Y20" s="68" t="s">
        <v>202</v>
      </c>
    </row>
    <row r="21" spans="1:31" x14ac:dyDescent="0.25">
      <c r="Y21" s="68" t="s">
        <v>210</v>
      </c>
    </row>
    <row r="22" spans="1:31" x14ac:dyDescent="0.25">
      <c r="B22" t="s">
        <v>138</v>
      </c>
      <c r="Y22" s="68" t="s">
        <v>211</v>
      </c>
    </row>
    <row r="23" spans="1:31" x14ac:dyDescent="0.25">
      <c r="C23" s="90" t="s">
        <v>137</v>
      </c>
      <c r="D23" t="s">
        <v>139</v>
      </c>
      <c r="Y23" s="68" t="s">
        <v>212</v>
      </c>
    </row>
    <row r="24" spans="1:31" x14ac:dyDescent="0.25">
      <c r="C24" s="89" t="s">
        <v>137</v>
      </c>
      <c r="D24" t="s">
        <v>140</v>
      </c>
      <c r="N24" s="69" t="s">
        <v>224</v>
      </c>
      <c r="O24" s="69"/>
      <c r="Y24" s="68" t="s">
        <v>213</v>
      </c>
    </row>
    <row r="25" spans="1:31" x14ac:dyDescent="0.25">
      <c r="C25" s="77" t="s">
        <v>137</v>
      </c>
      <c r="D25" t="s">
        <v>141</v>
      </c>
      <c r="N25" s="69" t="s">
        <v>225</v>
      </c>
      <c r="O25" s="69"/>
      <c r="Y25" s="56"/>
    </row>
    <row r="26" spans="1:31" x14ac:dyDescent="0.25">
      <c r="N26" s="69" t="s">
        <v>226</v>
      </c>
      <c r="O26" s="69"/>
      <c r="Y26" s="56"/>
    </row>
    <row r="27" spans="1:31" x14ac:dyDescent="0.25">
      <c r="B27" s="45" t="s">
        <v>622</v>
      </c>
      <c r="O27" s="69" t="s">
        <v>228</v>
      </c>
    </row>
    <row r="28" spans="1:31" x14ac:dyDescent="0.25">
      <c r="B28" s="48">
        <v>1</v>
      </c>
      <c r="C28" s="48" t="s">
        <v>623</v>
      </c>
      <c r="I28" s="91" t="s">
        <v>624</v>
      </c>
      <c r="O28" s="69" t="s">
        <v>229</v>
      </c>
    </row>
    <row r="29" spans="1:31" x14ac:dyDescent="0.25">
      <c r="B29" s="48">
        <v>2</v>
      </c>
      <c r="C29" s="48" t="s">
        <v>625</v>
      </c>
      <c r="N29" s="69" t="s">
        <v>227</v>
      </c>
      <c r="Q29" s="61" t="s">
        <v>150</v>
      </c>
      <c r="R29" s="63" t="s">
        <v>221</v>
      </c>
      <c r="S29" s="63" t="s">
        <v>157</v>
      </c>
      <c r="T29" s="63" t="s">
        <v>158</v>
      </c>
      <c r="U29" s="63" t="s">
        <v>159</v>
      </c>
      <c r="V29" s="63" t="s">
        <v>160</v>
      </c>
      <c r="W29" s="63" t="s">
        <v>235</v>
      </c>
      <c r="X29" s="53"/>
      <c r="Y29" s="53"/>
      <c r="Z29" s="53"/>
    </row>
    <row r="30" spans="1:31" x14ac:dyDescent="0.25">
      <c r="B30" s="48">
        <v>3</v>
      </c>
      <c r="C30" s="48" t="s">
        <v>626</v>
      </c>
      <c r="I30" s="92" t="s">
        <v>624</v>
      </c>
      <c r="O30" t="s">
        <v>236</v>
      </c>
      <c r="Q30" s="61" t="s">
        <v>149</v>
      </c>
      <c r="R30" s="64" t="s">
        <v>161</v>
      </c>
      <c r="S30" s="64" t="s">
        <v>162</v>
      </c>
      <c r="T30" s="64" t="s">
        <v>163</v>
      </c>
      <c r="U30" s="64" t="s">
        <v>164</v>
      </c>
      <c r="V30" s="53"/>
      <c r="W30" s="53"/>
      <c r="X30" s="53"/>
      <c r="Y30" s="53"/>
      <c r="Z30" s="53"/>
    </row>
    <row r="31" spans="1:31" x14ac:dyDescent="0.25">
      <c r="B31" s="48"/>
      <c r="Q31" s="61" t="s">
        <v>216</v>
      </c>
      <c r="R31" s="63" t="s">
        <v>222</v>
      </c>
      <c r="S31" s="65" t="s">
        <v>165</v>
      </c>
      <c r="T31" s="63" t="s">
        <v>166</v>
      </c>
      <c r="U31" s="53"/>
      <c r="V31" s="53"/>
      <c r="W31" s="53"/>
      <c r="X31" s="53"/>
    </row>
    <row r="32" spans="1:31" x14ac:dyDescent="0.25">
      <c r="B32" s="48"/>
      <c r="D32" t="s">
        <v>634</v>
      </c>
      <c r="Q32" s="61" t="s">
        <v>217</v>
      </c>
      <c r="R32" s="64" t="s">
        <v>167</v>
      </c>
      <c r="S32" s="64" t="s">
        <v>168</v>
      </c>
      <c r="T32" s="64" t="s">
        <v>169</v>
      </c>
      <c r="U32" s="64" t="s">
        <v>170</v>
      </c>
      <c r="V32" s="64" t="s">
        <v>171</v>
      </c>
      <c r="W32" s="64" t="s">
        <v>172</v>
      </c>
      <c r="X32" s="64" t="s">
        <v>173</v>
      </c>
      <c r="Y32" s="64" t="s">
        <v>174</v>
      </c>
      <c r="Z32" s="64" t="s">
        <v>175</v>
      </c>
      <c r="AA32" s="64" t="s">
        <v>176</v>
      </c>
      <c r="AB32" s="64" t="s">
        <v>231</v>
      </c>
      <c r="AC32" s="64" t="s">
        <v>234</v>
      </c>
      <c r="AD32" s="53"/>
      <c r="AE32" s="53"/>
    </row>
    <row r="33" spans="2:41" x14ac:dyDescent="0.25">
      <c r="E33" t="s">
        <v>633</v>
      </c>
      <c r="Q33" s="61" t="s">
        <v>153</v>
      </c>
      <c r="R33" s="63" t="s">
        <v>177</v>
      </c>
      <c r="S33" s="63" t="s">
        <v>179</v>
      </c>
      <c r="T33" s="63" t="s">
        <v>180</v>
      </c>
      <c r="U33" s="63" t="s">
        <v>181</v>
      </c>
      <c r="V33" s="63" t="s">
        <v>182</v>
      </c>
      <c r="W33" s="63" t="s">
        <v>230</v>
      </c>
      <c r="X33" s="63" t="s">
        <v>232</v>
      </c>
      <c r="Y33" s="54"/>
      <c r="Z33" s="54"/>
      <c r="AA33" s="54"/>
    </row>
    <row r="34" spans="2:41" x14ac:dyDescent="0.25">
      <c r="B34" t="s">
        <v>629</v>
      </c>
      <c r="H34" s="93"/>
      <c r="Q34" s="61" t="s">
        <v>154</v>
      </c>
      <c r="R34" s="64" t="s">
        <v>183</v>
      </c>
      <c r="S34" s="66" t="s">
        <v>184</v>
      </c>
      <c r="T34" s="67" t="s">
        <v>185</v>
      </c>
      <c r="U34" s="67" t="s">
        <v>218</v>
      </c>
      <c r="V34" s="67" t="s">
        <v>219</v>
      </c>
      <c r="W34" s="67" t="s">
        <v>187</v>
      </c>
      <c r="X34" s="64" t="s">
        <v>188</v>
      </c>
      <c r="Y34" s="64" t="s">
        <v>189</v>
      </c>
      <c r="Z34" s="64" t="s">
        <v>190</v>
      </c>
      <c r="AA34" s="64" t="s">
        <v>191</v>
      </c>
      <c r="AB34" s="63" t="s">
        <v>178</v>
      </c>
      <c r="AC34" s="64" t="s">
        <v>192</v>
      </c>
      <c r="AD34" s="64" t="s">
        <v>233</v>
      </c>
      <c r="AE34" s="53"/>
      <c r="AF34" s="53"/>
      <c r="AG34" s="53"/>
      <c r="AH34" s="53"/>
    </row>
    <row r="35" spans="2:41" x14ac:dyDescent="0.25">
      <c r="Q35" s="61" t="s">
        <v>155</v>
      </c>
      <c r="R35" s="63" t="s">
        <v>193</v>
      </c>
      <c r="S35" s="63" t="s">
        <v>223</v>
      </c>
      <c r="T35" s="55"/>
      <c r="U35" s="55"/>
      <c r="V35" s="55"/>
      <c r="W35" s="55"/>
    </row>
    <row r="36" spans="2:41" x14ac:dyDescent="0.25">
      <c r="B36" t="s">
        <v>630</v>
      </c>
      <c r="H36" s="93"/>
      <c r="Q36" s="61" t="s">
        <v>156</v>
      </c>
      <c r="R36" s="64" t="s">
        <v>196</v>
      </c>
      <c r="S36" s="64" t="s">
        <v>214</v>
      </c>
      <c r="T36" s="64" t="s">
        <v>197</v>
      </c>
      <c r="U36" s="64" t="s">
        <v>215</v>
      </c>
      <c r="V36" s="68" t="s">
        <v>198</v>
      </c>
      <c r="W36" s="68" t="s">
        <v>199</v>
      </c>
      <c r="X36" s="68" t="s">
        <v>200</v>
      </c>
      <c r="Y36" s="68" t="s">
        <v>201</v>
      </c>
      <c r="Z36" s="68" t="s">
        <v>202</v>
      </c>
      <c r="AA36" s="68" t="s">
        <v>203</v>
      </c>
      <c r="AB36" s="68" t="s">
        <v>204</v>
      </c>
      <c r="AC36" s="68" t="s">
        <v>205</v>
      </c>
      <c r="AD36" s="68" t="s">
        <v>206</v>
      </c>
      <c r="AE36" s="68" t="s">
        <v>220</v>
      </c>
      <c r="AF36" s="68" t="s">
        <v>207</v>
      </c>
      <c r="AG36" s="68" t="s">
        <v>208</v>
      </c>
      <c r="AH36" s="68" t="s">
        <v>209</v>
      </c>
      <c r="AI36" s="68" t="s">
        <v>202</v>
      </c>
      <c r="AJ36" s="68" t="s">
        <v>210</v>
      </c>
      <c r="AK36" s="68" t="s">
        <v>211</v>
      </c>
      <c r="AL36" s="68" t="s">
        <v>212</v>
      </c>
      <c r="AM36" s="68" t="s">
        <v>213</v>
      </c>
      <c r="AN36" s="56"/>
      <c r="AO36" s="56"/>
    </row>
    <row r="37" spans="2:41" x14ac:dyDescent="0.25">
      <c r="Q37" s="61"/>
      <c r="R37" s="57" t="s">
        <v>194</v>
      </c>
      <c r="S37" s="57" t="s">
        <v>195</v>
      </c>
      <c r="T37" s="58"/>
      <c r="U37" s="59"/>
      <c r="V37" s="60"/>
    </row>
    <row r="38" spans="2:41" x14ac:dyDescent="0.25">
      <c r="B38" t="s">
        <v>631</v>
      </c>
      <c r="Q38" s="61"/>
    </row>
    <row r="39" spans="2:41" x14ac:dyDescent="0.25">
      <c r="B39" t="s">
        <v>632</v>
      </c>
      <c r="Q39" s="61"/>
      <c r="V39" s="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FED5B-88C4-491B-9400-2C44AF40D96F}">
  <dimension ref="A1:P43"/>
  <sheetViews>
    <sheetView topLeftCell="A7" workbookViewId="0">
      <selection activeCell="H23" sqref="H23"/>
    </sheetView>
  </sheetViews>
  <sheetFormatPr defaultRowHeight="15" x14ac:dyDescent="0.25"/>
  <cols>
    <col min="1" max="1" width="7.7109375" style="106" customWidth="1"/>
    <col min="2" max="2" width="9.42578125" customWidth="1"/>
    <col min="3" max="3" width="11.42578125" style="106" customWidth="1"/>
    <col min="4" max="4" width="10.42578125" customWidth="1"/>
    <col min="5" max="5" width="9.85546875" customWidth="1"/>
    <col min="11" max="11" width="13.42578125" customWidth="1"/>
    <col min="12" max="12" width="12.7109375" customWidth="1"/>
    <col min="13" max="13" width="12.42578125" customWidth="1"/>
    <col min="14" max="14" width="31.140625" customWidth="1"/>
    <col min="15" max="15" width="9.140625" style="106"/>
  </cols>
  <sheetData>
    <row r="1" spans="1:16" x14ac:dyDescent="0.25">
      <c r="C1" s="201" t="s">
        <v>4234</v>
      </c>
      <c r="D1" s="712" t="s">
        <v>4235</v>
      </c>
      <c r="E1" s="713" t="s">
        <v>4236</v>
      </c>
      <c r="F1" s="714" t="s">
        <v>4237</v>
      </c>
      <c r="G1" s="714"/>
      <c r="H1" s="320" t="s">
        <v>4238</v>
      </c>
      <c r="I1" s="704"/>
      <c r="J1" s="715" t="s">
        <v>4239</v>
      </c>
      <c r="K1" s="716" t="s">
        <v>4240</v>
      </c>
      <c r="M1" s="717">
        <v>0.35</v>
      </c>
      <c r="N1" s="717" t="s">
        <v>4241</v>
      </c>
    </row>
    <row r="3" spans="1:16" x14ac:dyDescent="0.25">
      <c r="A3" s="718" t="s">
        <v>3229</v>
      </c>
      <c r="B3" s="718" t="s">
        <v>4239</v>
      </c>
      <c r="C3" s="719" t="s">
        <v>4242</v>
      </c>
      <c r="D3" s="718" t="s">
        <v>4243</v>
      </c>
      <c r="E3" s="718" t="s">
        <v>4244</v>
      </c>
      <c r="F3" s="718" t="s">
        <v>4237</v>
      </c>
      <c r="G3" s="718" t="s">
        <v>4245</v>
      </c>
      <c r="H3" s="718" t="s">
        <v>4238</v>
      </c>
      <c r="I3" s="718" t="s">
        <v>4246</v>
      </c>
      <c r="J3" s="718" t="s">
        <v>4247</v>
      </c>
      <c r="K3" s="720" t="s">
        <v>4248</v>
      </c>
      <c r="L3" s="720" t="s">
        <v>50</v>
      </c>
      <c r="M3" s="721" t="s">
        <v>4249</v>
      </c>
      <c r="N3" s="722" t="s">
        <v>4250</v>
      </c>
      <c r="O3" s="723" t="s">
        <v>4241</v>
      </c>
    </row>
    <row r="4" spans="1:16" x14ac:dyDescent="0.25">
      <c r="A4" s="105">
        <v>1.5</v>
      </c>
      <c r="B4" s="105" t="str">
        <f>"PK19.0"&amp;A4*10</f>
        <v>PK19.015</v>
      </c>
      <c r="C4" s="105">
        <v>3</v>
      </c>
      <c r="D4" s="105">
        <f>ROUNDUP(C4/4,0)</f>
        <v>1</v>
      </c>
      <c r="E4" s="105" t="s">
        <v>4251</v>
      </c>
      <c r="F4" s="105" t="s">
        <v>82</v>
      </c>
      <c r="G4" s="105">
        <v>1</v>
      </c>
      <c r="H4" s="620"/>
      <c r="I4" s="620">
        <v>1</v>
      </c>
      <c r="J4" s="53"/>
      <c r="K4" s="724">
        <f>C4*B$28+D4*B$29+VLOOKUP(E4,$A$30:$B$31,2,FALSE)*G4+VLOOKUP(F4,$A$34:$B$43,2,FALSE)*I4+IFERROR(VLOOKUP(H4,$A$34:$B$43,2,FALSE),0)</f>
        <v>755.5</v>
      </c>
      <c r="L4" s="724">
        <f>K4/(1-O4)</f>
        <v>1162.3076923076924</v>
      </c>
      <c r="M4" s="725">
        <f>L4*1.1</f>
        <v>1278.5384615384617</v>
      </c>
      <c r="N4" s="473" t="str">
        <f t="shared" ref="N4:N25" si="0">"Solar Array+MPPT Package "&amp;A4&amp;"KW"</f>
        <v>Solar Array+MPPT Package 1.5KW</v>
      </c>
      <c r="O4" s="726">
        <f>M$1</f>
        <v>0.35</v>
      </c>
      <c r="P4" s="716"/>
    </row>
    <row r="5" spans="1:16" x14ac:dyDescent="0.25">
      <c r="A5" s="105">
        <v>2</v>
      </c>
      <c r="B5" s="105" t="str">
        <f t="shared" ref="B5:B12" si="1">"PK19.0"&amp;A5</f>
        <v>PK19.02</v>
      </c>
      <c r="C5" s="105">
        <v>4</v>
      </c>
      <c r="D5" s="105">
        <f t="shared" ref="D5:D25" si="2">ROUNDUP(C5/4,0)</f>
        <v>1</v>
      </c>
      <c r="E5" s="105" t="s">
        <v>4251</v>
      </c>
      <c r="F5" s="105" t="s">
        <v>82</v>
      </c>
      <c r="G5" s="105">
        <v>1</v>
      </c>
      <c r="H5" s="620"/>
      <c r="I5" s="620">
        <v>1</v>
      </c>
      <c r="J5" s="53"/>
      <c r="K5" s="724">
        <f t="shared" ref="K5:K25" si="3">C5*B$28+D5*B$29+VLOOKUP(E5,$A$30:$B$31,2,FALSE)*G5+VLOOKUP(F5,$A$34:$B$43,2,FALSE)*I5+IFERROR(VLOOKUP(H5,$A$34:$B$43,2,FALSE),0)</f>
        <v>869</v>
      </c>
      <c r="L5" s="724">
        <f t="shared" ref="L5:L25" si="4">K5/(1-O5)</f>
        <v>1336.9230769230769</v>
      </c>
      <c r="M5" s="725">
        <f t="shared" ref="M5:M25" si="5">L5*1.1</f>
        <v>1470.6153846153848</v>
      </c>
      <c r="N5" s="473" t="str">
        <f t="shared" si="0"/>
        <v>Solar Array+MPPT Package 2KW</v>
      </c>
      <c r="O5" s="726">
        <f t="shared" ref="O5:O25" si="6">M$1</f>
        <v>0.35</v>
      </c>
    </row>
    <row r="6" spans="1:16" x14ac:dyDescent="0.25">
      <c r="A6" s="105">
        <v>3</v>
      </c>
      <c r="B6" s="105" t="str">
        <f t="shared" si="1"/>
        <v>PK19.03</v>
      </c>
      <c r="C6" s="105">
        <v>6</v>
      </c>
      <c r="D6" s="105">
        <f t="shared" si="2"/>
        <v>2</v>
      </c>
      <c r="E6" s="105" t="s">
        <v>4251</v>
      </c>
      <c r="F6" s="105" t="s">
        <v>82</v>
      </c>
      <c r="G6" s="105">
        <v>1</v>
      </c>
      <c r="H6" s="620"/>
      <c r="I6" s="620">
        <v>1</v>
      </c>
      <c r="J6" s="53"/>
      <c r="K6" s="724">
        <f t="shared" si="3"/>
        <v>1206</v>
      </c>
      <c r="L6" s="724">
        <f t="shared" si="4"/>
        <v>1855.3846153846152</v>
      </c>
      <c r="M6" s="725">
        <f t="shared" si="5"/>
        <v>2040.9230769230769</v>
      </c>
      <c r="N6" s="473" t="str">
        <f t="shared" si="0"/>
        <v>Solar Array+MPPT Package 3KW</v>
      </c>
      <c r="O6" s="726">
        <f t="shared" si="6"/>
        <v>0.35</v>
      </c>
    </row>
    <row r="7" spans="1:16" x14ac:dyDescent="0.25">
      <c r="A7" s="105">
        <v>4</v>
      </c>
      <c r="B7" s="105" t="str">
        <f t="shared" si="1"/>
        <v>PK19.04</v>
      </c>
      <c r="C7" s="105">
        <v>8</v>
      </c>
      <c r="D7" s="105">
        <f t="shared" si="2"/>
        <v>2</v>
      </c>
      <c r="E7" s="105" t="s">
        <v>4251</v>
      </c>
      <c r="F7" s="105" t="s">
        <v>86</v>
      </c>
      <c r="G7" s="105">
        <v>1</v>
      </c>
      <c r="H7" s="53"/>
      <c r="I7" s="620">
        <v>1</v>
      </c>
      <c r="J7" s="53"/>
      <c r="K7" s="724">
        <f t="shared" si="3"/>
        <v>1659.9199999999998</v>
      </c>
      <c r="L7" s="724">
        <f t="shared" si="4"/>
        <v>2553.7230769230764</v>
      </c>
      <c r="M7" s="725">
        <f t="shared" si="5"/>
        <v>2809.0953846153843</v>
      </c>
      <c r="N7" s="473" t="str">
        <f t="shared" si="0"/>
        <v>Solar Array+MPPT Package 4KW</v>
      </c>
      <c r="O7" s="726">
        <f t="shared" si="6"/>
        <v>0.35</v>
      </c>
    </row>
    <row r="8" spans="1:16" x14ac:dyDescent="0.25">
      <c r="A8" s="105">
        <v>5</v>
      </c>
      <c r="B8" s="105" t="str">
        <f t="shared" si="1"/>
        <v>PK19.05</v>
      </c>
      <c r="C8" s="105">
        <v>10</v>
      </c>
      <c r="D8" s="105">
        <f t="shared" si="2"/>
        <v>3</v>
      </c>
      <c r="E8" s="105" t="s">
        <v>4251</v>
      </c>
      <c r="F8" s="53" t="s">
        <v>85</v>
      </c>
      <c r="G8" s="105">
        <v>1</v>
      </c>
      <c r="H8" s="53"/>
      <c r="I8" s="620">
        <v>1</v>
      </c>
      <c r="J8" s="53"/>
      <c r="K8" s="724">
        <f t="shared" si="3"/>
        <v>2864.3</v>
      </c>
      <c r="L8" s="724">
        <f t="shared" si="4"/>
        <v>4406.6153846153848</v>
      </c>
      <c r="M8" s="725">
        <f t="shared" si="5"/>
        <v>4847.2769230769236</v>
      </c>
      <c r="N8" s="473" t="str">
        <f t="shared" si="0"/>
        <v>Solar Array+MPPT Package 5KW</v>
      </c>
      <c r="O8" s="726">
        <f t="shared" si="6"/>
        <v>0.35</v>
      </c>
    </row>
    <row r="9" spans="1:16" x14ac:dyDescent="0.25">
      <c r="A9" s="105">
        <v>6</v>
      </c>
      <c r="B9" s="105" t="str">
        <f t="shared" si="1"/>
        <v>PK19.06</v>
      </c>
      <c r="C9" s="105">
        <v>12</v>
      </c>
      <c r="D9" s="105">
        <f t="shared" si="2"/>
        <v>3</v>
      </c>
      <c r="E9" s="105" t="s">
        <v>4251</v>
      </c>
      <c r="F9" s="53" t="s">
        <v>85</v>
      </c>
      <c r="G9" s="105">
        <v>1</v>
      </c>
      <c r="H9" s="53"/>
      <c r="I9" s="620">
        <v>1</v>
      </c>
      <c r="J9" s="53"/>
      <c r="K9" s="724">
        <f t="shared" si="3"/>
        <v>3091.3</v>
      </c>
      <c r="L9" s="724">
        <f t="shared" si="4"/>
        <v>4755.8461538461543</v>
      </c>
      <c r="M9" s="725">
        <f t="shared" si="5"/>
        <v>5231.4307692307702</v>
      </c>
      <c r="N9" s="473" t="str">
        <f t="shared" si="0"/>
        <v>Solar Array+MPPT Package 6KW</v>
      </c>
      <c r="O9" s="726">
        <f t="shared" si="6"/>
        <v>0.35</v>
      </c>
    </row>
    <row r="10" spans="1:16" x14ac:dyDescent="0.25">
      <c r="A10" s="105">
        <v>7</v>
      </c>
      <c r="B10" s="105" t="str">
        <f t="shared" si="1"/>
        <v>PK19.07</v>
      </c>
      <c r="C10" s="105">
        <v>14</v>
      </c>
      <c r="D10" s="105">
        <f t="shared" si="2"/>
        <v>4</v>
      </c>
      <c r="E10" s="105" t="s">
        <v>4251</v>
      </c>
      <c r="F10" s="53" t="s">
        <v>85</v>
      </c>
      <c r="G10" s="105">
        <v>1</v>
      </c>
      <c r="H10" s="53"/>
      <c r="I10" s="620">
        <v>1</v>
      </c>
      <c r="J10" s="53"/>
      <c r="K10" s="724">
        <f t="shared" si="3"/>
        <v>3428.3</v>
      </c>
      <c r="L10" s="724">
        <f t="shared" si="4"/>
        <v>5274.3076923076924</v>
      </c>
      <c r="M10" s="725">
        <f t="shared" si="5"/>
        <v>5801.7384615384617</v>
      </c>
      <c r="N10" s="473" t="str">
        <f t="shared" si="0"/>
        <v>Solar Array+MPPT Package 7KW</v>
      </c>
      <c r="O10" s="726">
        <f t="shared" si="6"/>
        <v>0.35</v>
      </c>
    </row>
    <row r="11" spans="1:16" x14ac:dyDescent="0.25">
      <c r="A11" s="105">
        <v>7.5</v>
      </c>
      <c r="B11" s="105" t="str">
        <f>"PK19.0"&amp;A11*10</f>
        <v>PK19.075</v>
      </c>
      <c r="C11" s="105">
        <v>15</v>
      </c>
      <c r="D11" s="105">
        <f t="shared" si="2"/>
        <v>4</v>
      </c>
      <c r="E11" s="105" t="s">
        <v>4251</v>
      </c>
      <c r="F11" s="53" t="s">
        <v>85</v>
      </c>
      <c r="G11" s="105">
        <v>1</v>
      </c>
      <c r="H11" s="53"/>
      <c r="I11" s="620">
        <v>1</v>
      </c>
      <c r="J11" s="53"/>
      <c r="K11" s="724">
        <f t="shared" si="3"/>
        <v>3541.8</v>
      </c>
      <c r="L11" s="724">
        <f t="shared" si="4"/>
        <v>5448.9230769230771</v>
      </c>
      <c r="M11" s="725">
        <f t="shared" si="5"/>
        <v>5993.8153846153855</v>
      </c>
      <c r="N11" s="473" t="str">
        <f t="shared" si="0"/>
        <v>Solar Array+MPPT Package 7.5KW</v>
      </c>
      <c r="O11" s="726">
        <f t="shared" si="6"/>
        <v>0.35</v>
      </c>
    </row>
    <row r="12" spans="1:16" x14ac:dyDescent="0.25">
      <c r="A12" s="105">
        <v>9</v>
      </c>
      <c r="B12" s="105" t="str">
        <f t="shared" si="1"/>
        <v>PK19.09</v>
      </c>
      <c r="C12" s="105">
        <v>18</v>
      </c>
      <c r="D12" s="105">
        <f t="shared" si="2"/>
        <v>5</v>
      </c>
      <c r="E12" s="105" t="s">
        <v>4251</v>
      </c>
      <c r="F12" s="53" t="s">
        <v>528</v>
      </c>
      <c r="G12" s="105">
        <v>1</v>
      </c>
      <c r="H12" s="53"/>
      <c r="I12" s="620">
        <v>1</v>
      </c>
      <c r="J12" s="53"/>
      <c r="K12" s="724">
        <f t="shared" si="3"/>
        <v>4973.76</v>
      </c>
      <c r="L12" s="724">
        <f t="shared" si="4"/>
        <v>7651.9384615384615</v>
      </c>
      <c r="M12" s="725">
        <f t="shared" si="5"/>
        <v>8417.132307692309</v>
      </c>
      <c r="N12" s="473" t="str">
        <f t="shared" si="0"/>
        <v>Solar Array+MPPT Package 9KW</v>
      </c>
      <c r="O12" s="726">
        <f t="shared" si="6"/>
        <v>0.35</v>
      </c>
    </row>
    <row r="13" spans="1:16" x14ac:dyDescent="0.25">
      <c r="A13" s="105">
        <v>10</v>
      </c>
      <c r="B13" s="105" t="str">
        <f>"PK19."&amp;A13</f>
        <v>PK19.10</v>
      </c>
      <c r="C13" s="105">
        <v>20</v>
      </c>
      <c r="D13" s="105">
        <f t="shared" si="2"/>
        <v>5</v>
      </c>
      <c r="E13" s="105" t="s">
        <v>4251</v>
      </c>
      <c r="F13" s="53" t="s">
        <v>528</v>
      </c>
      <c r="G13" s="105">
        <v>1</v>
      </c>
      <c r="H13" s="53"/>
      <c r="I13" s="620">
        <v>1</v>
      </c>
      <c r="J13" s="53"/>
      <c r="K13" s="724">
        <f t="shared" si="3"/>
        <v>5200.76</v>
      </c>
      <c r="L13" s="724">
        <f t="shared" si="4"/>
        <v>8001.169230769231</v>
      </c>
      <c r="M13" s="725">
        <f t="shared" si="5"/>
        <v>8801.2861538461548</v>
      </c>
      <c r="N13" s="473" t="str">
        <f t="shared" si="0"/>
        <v>Solar Array+MPPT Package 10KW</v>
      </c>
      <c r="O13" s="726">
        <f t="shared" si="6"/>
        <v>0.35</v>
      </c>
    </row>
    <row r="14" spans="1:16" x14ac:dyDescent="0.25">
      <c r="A14" s="105">
        <v>11</v>
      </c>
      <c r="B14" s="105" t="str">
        <f t="shared" ref="B14:B25" si="7">"PK19."&amp;A14</f>
        <v>PK19.11</v>
      </c>
      <c r="C14" s="105">
        <v>22</v>
      </c>
      <c r="D14" s="105">
        <f t="shared" si="2"/>
        <v>6</v>
      </c>
      <c r="E14" s="105" t="s">
        <v>4251</v>
      </c>
      <c r="F14" s="53" t="s">
        <v>528</v>
      </c>
      <c r="G14" s="105">
        <v>1</v>
      </c>
      <c r="H14" s="53"/>
      <c r="I14" s="620">
        <v>1</v>
      </c>
      <c r="J14" s="53"/>
      <c r="K14" s="724">
        <f t="shared" si="3"/>
        <v>5537.76</v>
      </c>
      <c r="L14" s="724">
        <f t="shared" si="4"/>
        <v>8519.6307692307691</v>
      </c>
      <c r="M14" s="725">
        <f t="shared" si="5"/>
        <v>9371.5938461538462</v>
      </c>
      <c r="N14" s="473" t="str">
        <f t="shared" si="0"/>
        <v>Solar Array+MPPT Package 11KW</v>
      </c>
      <c r="O14" s="726">
        <f t="shared" si="6"/>
        <v>0.35</v>
      </c>
    </row>
    <row r="15" spans="1:16" x14ac:dyDescent="0.25">
      <c r="A15" s="105">
        <v>12</v>
      </c>
      <c r="B15" s="105" t="str">
        <f t="shared" si="7"/>
        <v>PK19.12</v>
      </c>
      <c r="C15" s="105">
        <v>24</v>
      </c>
      <c r="D15" s="105">
        <f t="shared" si="2"/>
        <v>6</v>
      </c>
      <c r="E15" s="105" t="s">
        <v>4251</v>
      </c>
      <c r="F15" s="53" t="s">
        <v>528</v>
      </c>
      <c r="G15" s="105">
        <v>1</v>
      </c>
      <c r="H15" s="53"/>
      <c r="I15" s="620">
        <v>1</v>
      </c>
      <c r="J15" s="53"/>
      <c r="K15" s="724">
        <f t="shared" si="3"/>
        <v>5764.76</v>
      </c>
      <c r="L15" s="724">
        <f t="shared" si="4"/>
        <v>8868.8615384615387</v>
      </c>
      <c r="M15" s="725">
        <f t="shared" si="5"/>
        <v>9755.7476923076938</v>
      </c>
      <c r="N15" s="473" t="str">
        <f t="shared" si="0"/>
        <v>Solar Array+MPPT Package 12KW</v>
      </c>
      <c r="O15" s="726">
        <f t="shared" si="6"/>
        <v>0.35</v>
      </c>
    </row>
    <row r="16" spans="1:16" x14ac:dyDescent="0.25">
      <c r="A16" s="105">
        <v>14</v>
      </c>
      <c r="B16" s="105" t="str">
        <f t="shared" si="7"/>
        <v>PK19.14</v>
      </c>
      <c r="C16" s="105">
        <v>28</v>
      </c>
      <c r="D16" s="105">
        <f t="shared" si="2"/>
        <v>7</v>
      </c>
      <c r="E16" s="105" t="s">
        <v>4251</v>
      </c>
      <c r="F16" s="53" t="s">
        <v>528</v>
      </c>
      <c r="G16" s="105">
        <v>1</v>
      </c>
      <c r="H16" s="53"/>
      <c r="I16" s="620">
        <v>1</v>
      </c>
      <c r="J16" s="53"/>
      <c r="K16" s="724">
        <f t="shared" si="3"/>
        <v>6328.76</v>
      </c>
      <c r="L16" s="724">
        <f t="shared" si="4"/>
        <v>9736.5538461538454</v>
      </c>
      <c r="M16" s="725">
        <f t="shared" si="5"/>
        <v>10710.209230769231</v>
      </c>
      <c r="N16" s="473" t="str">
        <f t="shared" si="0"/>
        <v>Solar Array+MPPT Package 14KW</v>
      </c>
      <c r="O16" s="726">
        <f t="shared" si="6"/>
        <v>0.35</v>
      </c>
    </row>
    <row r="17" spans="1:15" x14ac:dyDescent="0.25">
      <c r="A17" s="105">
        <v>15</v>
      </c>
      <c r="B17" s="105" t="str">
        <f t="shared" si="7"/>
        <v>PK19.15</v>
      </c>
      <c r="C17" s="105">
        <v>30</v>
      </c>
      <c r="D17" s="105">
        <f t="shared" si="2"/>
        <v>8</v>
      </c>
      <c r="E17" s="105" t="s">
        <v>4251</v>
      </c>
      <c r="F17" s="53" t="s">
        <v>528</v>
      </c>
      <c r="G17" s="105">
        <v>1</v>
      </c>
      <c r="H17" s="53"/>
      <c r="I17" s="620">
        <v>1</v>
      </c>
      <c r="J17" s="53"/>
      <c r="K17" s="724">
        <f t="shared" si="3"/>
        <v>6665.76</v>
      </c>
      <c r="L17" s="724">
        <f t="shared" si="4"/>
        <v>10255.015384615384</v>
      </c>
      <c r="M17" s="725">
        <f t="shared" si="5"/>
        <v>11280.516923076924</v>
      </c>
      <c r="N17" s="473" t="str">
        <f t="shared" si="0"/>
        <v>Solar Array+MPPT Package 15KW</v>
      </c>
      <c r="O17" s="726">
        <f t="shared" si="6"/>
        <v>0.35</v>
      </c>
    </row>
    <row r="18" spans="1:15" x14ac:dyDescent="0.25">
      <c r="A18" s="105">
        <v>16</v>
      </c>
      <c r="B18" s="105" t="str">
        <f t="shared" si="7"/>
        <v>PK19.16</v>
      </c>
      <c r="C18" s="105">
        <v>32</v>
      </c>
      <c r="D18" s="105">
        <f t="shared" si="2"/>
        <v>8</v>
      </c>
      <c r="E18" s="105" t="s">
        <v>4252</v>
      </c>
      <c r="F18" s="53" t="s">
        <v>528</v>
      </c>
      <c r="G18" s="105">
        <v>1</v>
      </c>
      <c r="H18" s="53" t="s">
        <v>530</v>
      </c>
      <c r="I18" s="620">
        <v>1</v>
      </c>
      <c r="J18" s="53"/>
      <c r="K18" s="724">
        <f t="shared" si="3"/>
        <v>8672.2099999999991</v>
      </c>
      <c r="L18" s="724">
        <f t="shared" si="4"/>
        <v>13341.861538461537</v>
      </c>
      <c r="M18" s="725">
        <f t="shared" si="5"/>
        <v>14676.047692307691</v>
      </c>
      <c r="N18" s="473" t="str">
        <f t="shared" si="0"/>
        <v>Solar Array+MPPT Package 16KW</v>
      </c>
      <c r="O18" s="726">
        <f t="shared" si="6"/>
        <v>0.35</v>
      </c>
    </row>
    <row r="19" spans="1:15" x14ac:dyDescent="0.25">
      <c r="A19" s="105">
        <v>18</v>
      </c>
      <c r="B19" s="105" t="str">
        <f t="shared" si="7"/>
        <v>PK19.18</v>
      </c>
      <c r="C19" s="105">
        <v>36</v>
      </c>
      <c r="D19" s="105">
        <f t="shared" si="2"/>
        <v>9</v>
      </c>
      <c r="E19" s="105" t="s">
        <v>4252</v>
      </c>
      <c r="F19" s="53" t="s">
        <v>528</v>
      </c>
      <c r="G19" s="105">
        <v>1</v>
      </c>
      <c r="H19" s="53" t="s">
        <v>530</v>
      </c>
      <c r="I19" s="620">
        <v>1</v>
      </c>
      <c r="J19" s="53"/>
      <c r="K19" s="724">
        <f t="shared" si="3"/>
        <v>9236.2099999999991</v>
      </c>
      <c r="L19" s="724">
        <f t="shared" si="4"/>
        <v>14209.553846153844</v>
      </c>
      <c r="M19" s="725">
        <f t="shared" si="5"/>
        <v>15630.509230769228</v>
      </c>
      <c r="N19" s="473" t="str">
        <f t="shared" si="0"/>
        <v>Solar Array+MPPT Package 18KW</v>
      </c>
      <c r="O19" s="726">
        <f t="shared" si="6"/>
        <v>0.35</v>
      </c>
    </row>
    <row r="20" spans="1:15" x14ac:dyDescent="0.25">
      <c r="A20" s="105">
        <v>20</v>
      </c>
      <c r="B20" s="105" t="str">
        <f t="shared" si="7"/>
        <v>PK19.20</v>
      </c>
      <c r="C20" s="105">
        <v>40</v>
      </c>
      <c r="D20" s="105">
        <f t="shared" si="2"/>
        <v>10</v>
      </c>
      <c r="E20" s="105" t="s">
        <v>4252</v>
      </c>
      <c r="F20" s="53" t="s">
        <v>528</v>
      </c>
      <c r="G20" s="105">
        <v>1</v>
      </c>
      <c r="H20" s="53" t="s">
        <v>530</v>
      </c>
      <c r="I20" s="620">
        <v>1</v>
      </c>
      <c r="J20" s="53"/>
      <c r="K20" s="724">
        <f t="shared" si="3"/>
        <v>9800.2099999999991</v>
      </c>
      <c r="L20" s="724">
        <f t="shared" si="4"/>
        <v>15077.246153846152</v>
      </c>
      <c r="M20" s="725">
        <f t="shared" si="5"/>
        <v>16584.970769230767</v>
      </c>
      <c r="N20" s="473" t="str">
        <f t="shared" si="0"/>
        <v>Solar Array+MPPT Package 20KW</v>
      </c>
      <c r="O20" s="726">
        <f t="shared" si="6"/>
        <v>0.35</v>
      </c>
    </row>
    <row r="21" spans="1:15" x14ac:dyDescent="0.25">
      <c r="A21" s="105">
        <v>22</v>
      </c>
      <c r="B21" s="105" t="str">
        <f t="shared" si="7"/>
        <v>PK19.22</v>
      </c>
      <c r="C21" s="105">
        <v>44</v>
      </c>
      <c r="D21" s="105">
        <f t="shared" si="2"/>
        <v>11</v>
      </c>
      <c r="E21" s="105" t="s">
        <v>4252</v>
      </c>
      <c r="F21" s="53" t="s">
        <v>528</v>
      </c>
      <c r="G21" s="105">
        <v>1</v>
      </c>
      <c r="H21" s="53" t="s">
        <v>531</v>
      </c>
      <c r="I21" s="620">
        <v>1</v>
      </c>
      <c r="J21" s="53"/>
      <c r="K21" s="724">
        <f t="shared" si="3"/>
        <v>10555.45</v>
      </c>
      <c r="L21" s="724">
        <f t="shared" si="4"/>
        <v>16239.153846153848</v>
      </c>
      <c r="M21" s="725">
        <f t="shared" si="5"/>
        <v>17863.069230769233</v>
      </c>
      <c r="N21" s="473" t="str">
        <f t="shared" si="0"/>
        <v>Solar Array+MPPT Package 22KW</v>
      </c>
      <c r="O21" s="726">
        <f t="shared" si="6"/>
        <v>0.35</v>
      </c>
    </row>
    <row r="22" spans="1:15" x14ac:dyDescent="0.25">
      <c r="A22" s="105">
        <v>24</v>
      </c>
      <c r="B22" s="105" t="str">
        <f t="shared" si="7"/>
        <v>PK19.24</v>
      </c>
      <c r="C22" s="105">
        <v>48</v>
      </c>
      <c r="D22" s="105">
        <f t="shared" si="2"/>
        <v>12</v>
      </c>
      <c r="E22" s="105" t="s">
        <v>4252</v>
      </c>
      <c r="F22" s="53" t="s">
        <v>528</v>
      </c>
      <c r="G22" s="105">
        <v>1</v>
      </c>
      <c r="H22" s="53" t="s">
        <v>304</v>
      </c>
      <c r="I22" s="620">
        <v>1</v>
      </c>
      <c r="J22" s="53"/>
      <c r="K22" s="724">
        <f t="shared" si="3"/>
        <v>11342.66</v>
      </c>
      <c r="L22" s="724">
        <f t="shared" si="4"/>
        <v>17450.246153846154</v>
      </c>
      <c r="M22" s="725">
        <f t="shared" si="5"/>
        <v>19195.27076923077</v>
      </c>
      <c r="N22" s="473" t="str">
        <f t="shared" si="0"/>
        <v>Solar Array+MPPT Package 24KW</v>
      </c>
      <c r="O22" s="726">
        <f t="shared" si="6"/>
        <v>0.35</v>
      </c>
    </row>
    <row r="23" spans="1:15" x14ac:dyDescent="0.25">
      <c r="A23" s="105">
        <v>26</v>
      </c>
      <c r="B23" s="105" t="str">
        <f t="shared" si="7"/>
        <v>PK19.26</v>
      </c>
      <c r="C23" s="105">
        <v>52</v>
      </c>
      <c r="D23" s="105">
        <f t="shared" si="2"/>
        <v>13</v>
      </c>
      <c r="E23" s="105" t="s">
        <v>4252</v>
      </c>
      <c r="F23" s="53" t="s">
        <v>528</v>
      </c>
      <c r="G23" s="105">
        <v>1</v>
      </c>
      <c r="H23" s="53" t="s">
        <v>304</v>
      </c>
      <c r="I23" s="620">
        <v>1</v>
      </c>
      <c r="J23" s="53"/>
      <c r="K23" s="724">
        <f t="shared" si="3"/>
        <v>11906.66</v>
      </c>
      <c r="L23" s="724">
        <f t="shared" si="4"/>
        <v>18317.938461538462</v>
      </c>
      <c r="M23" s="725">
        <f t="shared" si="5"/>
        <v>20149.732307692309</v>
      </c>
      <c r="N23" s="473" t="str">
        <f t="shared" si="0"/>
        <v>Solar Array+MPPT Package 26KW</v>
      </c>
      <c r="O23" s="726">
        <f t="shared" si="6"/>
        <v>0.35</v>
      </c>
    </row>
    <row r="24" spans="1:15" x14ac:dyDescent="0.25">
      <c r="A24" s="105">
        <v>28</v>
      </c>
      <c r="B24" s="105" t="str">
        <f t="shared" si="7"/>
        <v>PK19.28</v>
      </c>
      <c r="C24" s="105">
        <v>56</v>
      </c>
      <c r="D24" s="105">
        <f t="shared" si="2"/>
        <v>14</v>
      </c>
      <c r="E24" s="105" t="s">
        <v>4252</v>
      </c>
      <c r="F24" s="53" t="s">
        <v>528</v>
      </c>
      <c r="G24" s="105">
        <v>1</v>
      </c>
      <c r="H24" s="53" t="s">
        <v>4253</v>
      </c>
      <c r="I24" s="620">
        <v>1</v>
      </c>
      <c r="J24" s="53"/>
      <c r="K24" s="724">
        <f t="shared" si="3"/>
        <v>13158.34</v>
      </c>
      <c r="L24" s="724">
        <f t="shared" si="4"/>
        <v>20243.599999999999</v>
      </c>
      <c r="M24" s="725">
        <f t="shared" si="5"/>
        <v>22267.96</v>
      </c>
      <c r="N24" s="473" t="str">
        <f t="shared" si="0"/>
        <v>Solar Array+MPPT Package 28KW</v>
      </c>
      <c r="O24" s="726">
        <f t="shared" si="6"/>
        <v>0.35</v>
      </c>
    </row>
    <row r="25" spans="1:15" x14ac:dyDescent="0.25">
      <c r="A25" s="105">
        <v>30</v>
      </c>
      <c r="B25" s="105" t="str">
        <f t="shared" si="7"/>
        <v>PK19.30</v>
      </c>
      <c r="C25" s="105">
        <v>60</v>
      </c>
      <c r="D25" s="105">
        <f t="shared" si="2"/>
        <v>15</v>
      </c>
      <c r="E25" s="105" t="s">
        <v>4252</v>
      </c>
      <c r="F25" s="53" t="s">
        <v>528</v>
      </c>
      <c r="G25" s="105">
        <v>1</v>
      </c>
      <c r="H25" s="53" t="s">
        <v>4253</v>
      </c>
      <c r="I25" s="620">
        <v>2</v>
      </c>
      <c r="J25" s="53"/>
      <c r="K25" s="724">
        <f t="shared" si="3"/>
        <v>16012</v>
      </c>
      <c r="L25" s="724">
        <f t="shared" si="4"/>
        <v>24633.846153846152</v>
      </c>
      <c r="M25" s="725">
        <f t="shared" si="5"/>
        <v>27097.23076923077</v>
      </c>
      <c r="N25" s="473" t="str">
        <f t="shared" si="0"/>
        <v>Solar Array+MPPT Package 30KW</v>
      </c>
      <c r="O25" s="726">
        <f t="shared" si="6"/>
        <v>0.35</v>
      </c>
    </row>
    <row r="27" spans="1:15" x14ac:dyDescent="0.25">
      <c r="A27" s="727" t="s">
        <v>3344</v>
      </c>
      <c r="B27" s="280" t="s">
        <v>4254</v>
      </c>
      <c r="C27" s="727" t="s">
        <v>4255</v>
      </c>
      <c r="D27" s="280" t="s">
        <v>4256</v>
      </c>
      <c r="E27" s="280"/>
      <c r="F27" s="280"/>
      <c r="G27" s="280"/>
      <c r="H27" s="246"/>
      <c r="I27" s="246"/>
    </row>
    <row r="28" spans="1:15" x14ac:dyDescent="0.25">
      <c r="A28" s="105" t="s">
        <v>4257</v>
      </c>
      <c r="B28" s="728">
        <v>113.5</v>
      </c>
      <c r="C28" s="729" t="s">
        <v>4258</v>
      </c>
      <c r="D28" s="696" t="s">
        <v>4259</v>
      </c>
    </row>
    <row r="29" spans="1:15" x14ac:dyDescent="0.25">
      <c r="A29" s="105" t="s">
        <v>543</v>
      </c>
      <c r="B29" s="728">
        <v>110</v>
      </c>
      <c r="C29" s="730" t="s">
        <v>4260</v>
      </c>
      <c r="D29" s="696" t="s">
        <v>4261</v>
      </c>
    </row>
    <row r="30" spans="1:15" x14ac:dyDescent="0.25">
      <c r="A30" s="105" t="s">
        <v>4251</v>
      </c>
      <c r="B30" s="731">
        <f>'[2]A0049.BOS1'!G6</f>
        <v>91.1</v>
      </c>
      <c r="C30" s="732" t="s">
        <v>4262</v>
      </c>
      <c r="D30" s="696" t="s">
        <v>4263</v>
      </c>
    </row>
    <row r="31" spans="1:15" x14ac:dyDescent="0.25">
      <c r="A31" s="105" t="s">
        <v>4252</v>
      </c>
      <c r="B31" s="733">
        <v>110</v>
      </c>
      <c r="C31" s="732" t="s">
        <v>4264</v>
      </c>
      <c r="D31" s="696"/>
    </row>
    <row r="32" spans="1:15" x14ac:dyDescent="0.25">
      <c r="C32" s="734" t="s">
        <v>4237</v>
      </c>
      <c r="D32" s="696" t="s">
        <v>4265</v>
      </c>
    </row>
    <row r="33" spans="1:8" x14ac:dyDescent="0.25">
      <c r="C33" s="735" t="s">
        <v>4238</v>
      </c>
      <c r="D33" s="696" t="s">
        <v>4266</v>
      </c>
    </row>
    <row r="34" spans="1:8" x14ac:dyDescent="0.25">
      <c r="A34" s="105" t="str">
        <f>C34</f>
        <v>B1133</v>
      </c>
      <c r="B34" s="731">
        <f>VLOOKUP(A34,[3]Suppliers!$A$2:$J$15000, 7, FALSE)</f>
        <v>213.9</v>
      </c>
      <c r="C34" s="105" t="s">
        <v>82</v>
      </c>
      <c r="D34" s="696" t="s">
        <v>197</v>
      </c>
      <c r="E34" t="s">
        <v>4267</v>
      </c>
    </row>
    <row r="35" spans="1:8" x14ac:dyDescent="0.25">
      <c r="A35" s="105" t="str">
        <f t="shared" ref="A35:A40" si="8">C35</f>
        <v>B1337</v>
      </c>
      <c r="B35" s="731">
        <f>VLOOKUP(A35,[3]Suppliers!$A$2:$J$15000, 7, FALSE)</f>
        <v>1308.2</v>
      </c>
      <c r="C35" s="105" t="s">
        <v>85</v>
      </c>
      <c r="D35" s="696" t="s">
        <v>197</v>
      </c>
      <c r="E35" t="s">
        <v>4268</v>
      </c>
    </row>
    <row r="36" spans="1:8" x14ac:dyDescent="0.25">
      <c r="A36" s="105" t="str">
        <f t="shared" si="8"/>
        <v>B1338</v>
      </c>
      <c r="B36" s="731">
        <f>VLOOKUP(A36,[3]Suppliers!$A$2:$J$15000, 7, FALSE)</f>
        <v>2289.66</v>
      </c>
      <c r="C36" s="105" t="s">
        <v>528</v>
      </c>
      <c r="D36" s="696" t="s">
        <v>197</v>
      </c>
      <c r="E36" t="s">
        <v>4269</v>
      </c>
    </row>
    <row r="37" spans="1:8" x14ac:dyDescent="0.25">
      <c r="A37" s="105" t="str">
        <f t="shared" si="8"/>
        <v>B1324</v>
      </c>
      <c r="B37" s="731">
        <f>VLOOKUP(A37,[3]Suppliers!$A$2:$J$15000, 7, FALSE)</f>
        <v>1760.55</v>
      </c>
      <c r="C37" s="105" t="s">
        <v>530</v>
      </c>
      <c r="D37" s="696" t="s">
        <v>210</v>
      </c>
      <c r="E37" t="s">
        <v>4270</v>
      </c>
      <c r="H37">
        <v>5</v>
      </c>
    </row>
    <row r="38" spans="1:8" x14ac:dyDescent="0.25">
      <c r="A38" s="105" t="str">
        <f t="shared" si="8"/>
        <v>B1330</v>
      </c>
      <c r="B38" s="731">
        <f>VLOOKUP(A38,[3]Suppliers!$A$2:$J$15000, 7, FALSE)</f>
        <v>1951.79</v>
      </c>
      <c r="C38" s="105" t="s">
        <v>531</v>
      </c>
      <c r="D38" s="696" t="s">
        <v>210</v>
      </c>
      <c r="E38" t="s">
        <v>4271</v>
      </c>
      <c r="H38">
        <v>6</v>
      </c>
    </row>
    <row r="39" spans="1:8" x14ac:dyDescent="0.25">
      <c r="A39" s="105" t="str">
        <f t="shared" si="8"/>
        <v>B0402</v>
      </c>
      <c r="B39" s="731">
        <f>VLOOKUP(A39,[3]Suppliers!$A$2:$J$15000, 7, FALSE)</f>
        <v>2175</v>
      </c>
      <c r="C39" s="105" t="s">
        <v>304</v>
      </c>
      <c r="D39" s="696" t="s">
        <v>210</v>
      </c>
      <c r="E39" t="s">
        <v>4272</v>
      </c>
      <c r="H39">
        <v>8</v>
      </c>
    </row>
    <row r="40" spans="1:8" x14ac:dyDescent="0.25">
      <c r="A40" s="105" t="str">
        <f t="shared" si="8"/>
        <v>B1191</v>
      </c>
      <c r="B40" s="731">
        <f>VLOOKUP(A40,[3]Suppliers!$A$2:$J$15000, 7, FALSE)</f>
        <v>2862.68</v>
      </c>
      <c r="C40" s="105" t="s">
        <v>4253</v>
      </c>
      <c r="D40" s="696" t="s">
        <v>210</v>
      </c>
      <c r="E40" t="s">
        <v>4273</v>
      </c>
      <c r="H40">
        <v>10</v>
      </c>
    </row>
    <row r="41" spans="1:8" x14ac:dyDescent="0.25">
      <c r="A41" s="736" t="s">
        <v>86</v>
      </c>
      <c r="B41" s="731">
        <f>VLOOKUP(A41,[3]Suppliers!$A$2:$J$15000, 7, FALSE)</f>
        <v>440.82</v>
      </c>
      <c r="C41" s="106" t="s">
        <v>86</v>
      </c>
      <c r="D41" s="696" t="s">
        <v>197</v>
      </c>
      <c r="E41" t="s">
        <v>4274</v>
      </c>
    </row>
    <row r="42" spans="1:8" x14ac:dyDescent="0.25">
      <c r="A42" s="736" t="s">
        <v>85</v>
      </c>
      <c r="B42" s="731">
        <f>VLOOKUP(A42,[3]Suppliers!$A$2:$J$15000, 7, FALSE)</f>
        <v>1308.2</v>
      </c>
      <c r="C42" s="106" t="s">
        <v>85</v>
      </c>
      <c r="D42" s="696" t="s">
        <v>197</v>
      </c>
      <c r="E42" t="s">
        <v>4275</v>
      </c>
    </row>
    <row r="43" spans="1:8" x14ac:dyDescent="0.25">
      <c r="A43" s="736" t="s">
        <v>528</v>
      </c>
      <c r="B43" s="731">
        <f>VLOOKUP(A43,[3]Suppliers!$A$2:$J$15000, 7, FALSE)</f>
        <v>2289.66</v>
      </c>
      <c r="C43" s="106" t="s">
        <v>528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9D1D5-5D7C-4F16-8C2D-A9882AB8F679}">
  <dimension ref="A1"/>
  <sheetViews>
    <sheetView workbookViewId="0">
      <selection activeCell="R16" sqref="R16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8919D-6E2F-485E-B946-34A2C7AE420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FB1A4-94B4-4FBF-A214-AEF4BCCD874C}">
  <sheetPr>
    <tabColor theme="4" tint="-0.249977111117893"/>
  </sheetPr>
  <dimension ref="B3:AC50"/>
  <sheetViews>
    <sheetView workbookViewId="0">
      <selection activeCell="G26" sqref="G26"/>
    </sheetView>
  </sheetViews>
  <sheetFormatPr defaultRowHeight="15" x14ac:dyDescent="0.25"/>
  <cols>
    <col min="1" max="1" width="3.140625" style="144" customWidth="1"/>
    <col min="2" max="2" width="6.7109375" style="144" customWidth="1"/>
    <col min="3" max="3" width="17.7109375" style="144" customWidth="1"/>
    <col min="4" max="4" width="9.140625" style="144" customWidth="1"/>
    <col min="5" max="9" width="9.140625" style="144"/>
    <col min="10" max="10" width="14.42578125" style="144" customWidth="1"/>
    <col min="11" max="14" width="9.140625" style="144"/>
    <col min="15" max="15" width="38.85546875" style="144" customWidth="1"/>
    <col min="16" max="16384" width="9.140625" style="144"/>
  </cols>
  <sheetData>
    <row r="3" spans="2:29" ht="15.75" x14ac:dyDescent="0.25">
      <c r="B3" s="494" t="s">
        <v>3106</v>
      </c>
      <c r="C3" s="494" t="s">
        <v>3735</v>
      </c>
      <c r="D3" s="495" t="s">
        <v>3736</v>
      </c>
      <c r="E3" s="495" t="s">
        <v>3737</v>
      </c>
      <c r="F3" s="495" t="s">
        <v>3738</v>
      </c>
      <c r="G3" s="495" t="s">
        <v>3150</v>
      </c>
      <c r="H3" s="495" t="s">
        <v>3739</v>
      </c>
      <c r="I3" s="495" t="s">
        <v>3740</v>
      </c>
      <c r="J3" s="495" t="s">
        <v>3741</v>
      </c>
      <c r="K3" s="495" t="s">
        <v>3342</v>
      </c>
      <c r="L3" s="495" t="s">
        <v>3341</v>
      </c>
      <c r="M3" s="495" t="s">
        <v>3340</v>
      </c>
      <c r="N3" s="495" t="s">
        <v>3339</v>
      </c>
      <c r="O3" s="495" t="s">
        <v>3338</v>
      </c>
      <c r="P3" s="495" t="s">
        <v>3337</v>
      </c>
      <c r="Q3" s="495" t="s">
        <v>3336</v>
      </c>
      <c r="R3" s="496" t="s">
        <v>3335</v>
      </c>
      <c r="S3" s="496" t="s">
        <v>3742</v>
      </c>
      <c r="T3" s="496" t="s">
        <v>3743</v>
      </c>
      <c r="U3" s="497" t="s">
        <v>14</v>
      </c>
      <c r="V3" s="497" t="s">
        <v>3332</v>
      </c>
      <c r="W3" s="497" t="s">
        <v>3063</v>
      </c>
      <c r="X3" s="497" t="s">
        <v>3331</v>
      </c>
      <c r="Y3" s="496" t="s">
        <v>3744</v>
      </c>
      <c r="Z3" s="495" t="s">
        <v>3745</v>
      </c>
      <c r="AA3" s="495" t="s">
        <v>3746</v>
      </c>
      <c r="AB3" s="495" t="s">
        <v>4224</v>
      </c>
    </row>
    <row r="4" spans="2:29" x14ac:dyDescent="0.25">
      <c r="B4" s="498">
        <v>1</v>
      </c>
      <c r="C4" s="320">
        <f t="shared" ref="C4:C23" si="0">I4/1000</f>
        <v>1</v>
      </c>
      <c r="D4" s="320">
        <v>2</v>
      </c>
      <c r="E4" s="320">
        <f>VLOOKUP(D4, Equipment!$A$69:$T$83, 5, FALSE)</f>
        <v>500</v>
      </c>
      <c r="F4" s="319">
        <v>2</v>
      </c>
      <c r="G4" s="319">
        <v>1</v>
      </c>
      <c r="H4" s="319">
        <f>F4*G4</f>
        <v>2</v>
      </c>
      <c r="I4" s="320">
        <f>E4*F4*G4</f>
        <v>1000</v>
      </c>
      <c r="J4" s="500" t="str">
        <f>VLOOKUP($D4, Equipment!$A$69:$T$83, 2, FALSE)</f>
        <v>Trina 500W</v>
      </c>
      <c r="K4" s="320" t="str">
        <f>VLOOKUP($D4, Equipment!$A$69:$T$83, 6, FALSE)</f>
        <v>42.8 V</v>
      </c>
      <c r="L4" s="320">
        <f>VLOOKUP($D4, Equipment!$A$69:$T$83, 7, FALSE)</f>
        <v>11.69</v>
      </c>
      <c r="M4" s="320">
        <f>VLOOKUP($D4, Equipment!$A$69:$T$83, 8, FALSE)</f>
        <v>51.7</v>
      </c>
      <c r="N4" s="320">
        <f>VLOOKUP($D4, Equipment!$A$69:$T$83, 9, FALSE)</f>
        <v>12.28</v>
      </c>
      <c r="O4" s="320">
        <f>VLOOKUP($D4, Equipment!$A$69:$T$83, 10, FALSE)</f>
        <v>15.67</v>
      </c>
      <c r="P4" s="320">
        <f>VLOOKUP($D4, Equipment!$A$69:$T$83, 11, FALSE)</f>
        <v>15</v>
      </c>
      <c r="Q4" s="320">
        <f>VLOOKUP($D4, Equipment!$A$69:$T$83, 12, FALSE)</f>
        <v>5</v>
      </c>
      <c r="R4" s="320">
        <f>VLOOKUP($D4, Equipment!$A$69:$T$83, 13, FALSE)</f>
        <v>-0.26</v>
      </c>
      <c r="S4" s="320">
        <f>VLOOKUP($D4, Equipment!$A$69:$T$83, 14, FALSE)</f>
        <v>-0.36</v>
      </c>
      <c r="T4" s="320">
        <v>25</v>
      </c>
      <c r="U4" s="320">
        <f>VLOOKUP($D4, Equipment!$A$69:$T$83, 17, FALSE)</f>
        <v>2176</v>
      </c>
      <c r="V4" s="320">
        <f>VLOOKUP($D4, Equipment!$A$69:$T$83, 18, FALSE)</f>
        <v>1098</v>
      </c>
      <c r="W4" s="320">
        <f>VLOOKUP($D4, Equipment!$A$69:$T$83, 19, FALSE)</f>
        <v>35</v>
      </c>
      <c r="X4" s="320">
        <f>VLOOKUP($D4, Equipment!$A$69:$T$83, 20, FALSE)</f>
        <v>26.3</v>
      </c>
      <c r="Y4" s="320">
        <f t="shared" ref="Y4:Y8" si="1">F4*M4</f>
        <v>103.4</v>
      </c>
      <c r="Z4" s="320">
        <v>8</v>
      </c>
      <c r="AA4" s="320">
        <v>1</v>
      </c>
      <c r="AB4" s="144">
        <f>N4*G4</f>
        <v>12.28</v>
      </c>
      <c r="AC4" s="144" t="str">
        <f>VLOOKUP(Z4, Equipment!$A$5:$D$29, 2, FALSE)</f>
        <v>Blue-/ SmartSolar MPPT 150/35</v>
      </c>
    </row>
    <row r="5" spans="2:29" x14ac:dyDescent="0.25">
      <c r="B5" s="498">
        <v>2</v>
      </c>
      <c r="C5" s="320">
        <f t="shared" si="0"/>
        <v>1.5</v>
      </c>
      <c r="D5" s="320">
        <v>2</v>
      </c>
      <c r="E5" s="320">
        <f>VLOOKUP(D5, Equipment!$A$69:$T$83, 5, FALSE)</f>
        <v>500</v>
      </c>
      <c r="F5" s="319">
        <v>3</v>
      </c>
      <c r="G5" s="319">
        <v>1</v>
      </c>
      <c r="H5" s="319">
        <f t="shared" ref="H5:H23" si="2">F5*G5</f>
        <v>3</v>
      </c>
      <c r="I5" s="320">
        <f t="shared" ref="I5:I23" si="3">E5*F5*G5</f>
        <v>1500</v>
      </c>
      <c r="J5" s="500" t="str">
        <f>VLOOKUP($D5, Equipment!$A$69:$T$83, 2, FALSE)</f>
        <v>Trina 500W</v>
      </c>
      <c r="K5" s="320" t="str">
        <f>VLOOKUP($D5, Equipment!$A$69:$T$83, 6, FALSE)</f>
        <v>42.8 V</v>
      </c>
      <c r="L5" s="320">
        <f>VLOOKUP($D5, Equipment!$A$69:$T$83, 7, FALSE)</f>
        <v>11.69</v>
      </c>
      <c r="M5" s="320">
        <f>VLOOKUP($D5, Equipment!$A$69:$T$83, 8, FALSE)</f>
        <v>51.7</v>
      </c>
      <c r="N5" s="320">
        <f>VLOOKUP($D5, Equipment!$A$69:$T$83, 9, FALSE)</f>
        <v>12.28</v>
      </c>
      <c r="O5" s="320">
        <f>VLOOKUP($D5, Equipment!$A$69:$T$83, 10, FALSE)</f>
        <v>15.67</v>
      </c>
      <c r="P5" s="320">
        <f>VLOOKUP($D5, Equipment!$A$69:$T$83, 11, FALSE)</f>
        <v>15</v>
      </c>
      <c r="Q5" s="320">
        <f>VLOOKUP($D5, Equipment!$A$69:$T$83, 12, FALSE)</f>
        <v>5</v>
      </c>
      <c r="R5" s="320">
        <f>VLOOKUP($D5, Equipment!$A$69:$T$83, 13, FALSE)</f>
        <v>-0.26</v>
      </c>
      <c r="S5" s="320">
        <f>VLOOKUP($D5, Equipment!$A$69:$T$83, 14, FALSE)</f>
        <v>-0.36</v>
      </c>
      <c r="T5" s="320">
        <v>25</v>
      </c>
      <c r="U5" s="320">
        <f>VLOOKUP($D5, Equipment!$A$69:$T$83, 17, FALSE)</f>
        <v>2176</v>
      </c>
      <c r="V5" s="320">
        <f>VLOOKUP($D5, Equipment!$A$69:$T$83, 18, FALSE)</f>
        <v>1098</v>
      </c>
      <c r="W5" s="320">
        <f>VLOOKUP($D5, Equipment!$A$69:$T$83, 19, FALSE)</f>
        <v>35</v>
      </c>
      <c r="X5" s="320">
        <f>VLOOKUP($D5, Equipment!$A$69:$T$83, 20, FALSE)</f>
        <v>26.3</v>
      </c>
      <c r="Y5" s="320">
        <f t="shared" si="1"/>
        <v>155.10000000000002</v>
      </c>
      <c r="Z5" s="320">
        <v>14</v>
      </c>
      <c r="AA5" s="320">
        <v>1</v>
      </c>
      <c r="AB5" s="144">
        <f t="shared" ref="AB5:AB25" si="4">N5*G5</f>
        <v>12.28</v>
      </c>
      <c r="AC5" s="144" t="str">
        <f>VLOOKUP(Z5, Equipment!$A$5:$D$29, 2, FALSE)</f>
        <v>SmartSolar MPPT 250/60 Tr/MC4</v>
      </c>
    </row>
    <row r="6" spans="2:29" x14ac:dyDescent="0.25">
      <c r="B6" s="498">
        <v>3</v>
      </c>
      <c r="C6" s="320">
        <f t="shared" si="0"/>
        <v>2</v>
      </c>
      <c r="D6" s="320">
        <v>2</v>
      </c>
      <c r="E6" s="320">
        <f>VLOOKUP(D6, Equipment!$A$69:$T$83, 5, FALSE)</f>
        <v>500</v>
      </c>
      <c r="F6" s="319">
        <v>4</v>
      </c>
      <c r="G6" s="319">
        <v>1</v>
      </c>
      <c r="H6" s="319">
        <f t="shared" si="2"/>
        <v>4</v>
      </c>
      <c r="I6" s="320">
        <f t="shared" si="3"/>
        <v>2000</v>
      </c>
      <c r="J6" s="500" t="str">
        <f>VLOOKUP($D6, Equipment!$A$69:$T$83, 2, FALSE)</f>
        <v>Trina 500W</v>
      </c>
      <c r="K6" s="320" t="str">
        <f>VLOOKUP($D6, Equipment!$A$69:$T$83, 6, FALSE)</f>
        <v>42.8 V</v>
      </c>
      <c r="L6" s="320">
        <f>VLOOKUP($D6, Equipment!$A$69:$T$83, 7, FALSE)</f>
        <v>11.69</v>
      </c>
      <c r="M6" s="320">
        <f>VLOOKUP($D6, Equipment!$A$69:$T$83, 8, FALSE)</f>
        <v>51.7</v>
      </c>
      <c r="N6" s="320">
        <f>VLOOKUP($D6, Equipment!$A$69:$T$83, 9, FALSE)</f>
        <v>12.28</v>
      </c>
      <c r="O6" s="320">
        <f>VLOOKUP($D6, Equipment!$A$69:$T$83, 10, FALSE)</f>
        <v>15.67</v>
      </c>
      <c r="P6" s="320">
        <f>VLOOKUP($D6, Equipment!$A$69:$T$83, 11, FALSE)</f>
        <v>15</v>
      </c>
      <c r="Q6" s="320">
        <f>VLOOKUP($D6, Equipment!$A$69:$T$83, 12, FALSE)</f>
        <v>5</v>
      </c>
      <c r="R6" s="320">
        <f>VLOOKUP($D6, Equipment!$A$69:$T$83, 13, FALSE)</f>
        <v>-0.26</v>
      </c>
      <c r="S6" s="320">
        <f>VLOOKUP($D6, Equipment!$A$69:$T$83, 14, FALSE)</f>
        <v>-0.36</v>
      </c>
      <c r="T6" s="320">
        <v>25</v>
      </c>
      <c r="U6" s="320">
        <f>VLOOKUP($D6, Equipment!$A$69:$T$83, 17, FALSE)</f>
        <v>2176</v>
      </c>
      <c r="V6" s="320">
        <f>VLOOKUP($D6, Equipment!$A$69:$T$83, 18, FALSE)</f>
        <v>1098</v>
      </c>
      <c r="W6" s="320">
        <f>VLOOKUP($D6, Equipment!$A$69:$T$83, 19, FALSE)</f>
        <v>35</v>
      </c>
      <c r="X6" s="320">
        <f>VLOOKUP($D6, Equipment!$A$69:$T$83, 20, FALSE)</f>
        <v>26.3</v>
      </c>
      <c r="Y6" s="320">
        <f t="shared" si="1"/>
        <v>206.8</v>
      </c>
      <c r="Z6" s="320">
        <v>14</v>
      </c>
      <c r="AA6" s="320">
        <v>1</v>
      </c>
      <c r="AB6" s="144">
        <f t="shared" si="4"/>
        <v>12.28</v>
      </c>
      <c r="AC6" s="144" t="str">
        <f>VLOOKUP(Z6, Equipment!$A$5:$D$29, 2, FALSE)</f>
        <v>SmartSolar MPPT 250/60 Tr/MC4</v>
      </c>
    </row>
    <row r="7" spans="2:29" x14ac:dyDescent="0.25">
      <c r="B7" s="498">
        <v>4</v>
      </c>
      <c r="C7" s="320">
        <f t="shared" si="0"/>
        <v>2.5</v>
      </c>
      <c r="D7" s="320">
        <v>2</v>
      </c>
      <c r="E7" s="320">
        <f>VLOOKUP(D7, Equipment!$A$69:$T$83, 5, FALSE)</f>
        <v>500</v>
      </c>
      <c r="F7" s="319">
        <v>5</v>
      </c>
      <c r="G7" s="319">
        <v>1</v>
      </c>
      <c r="H7" s="319">
        <f t="shared" si="2"/>
        <v>5</v>
      </c>
      <c r="I7" s="320">
        <f t="shared" si="3"/>
        <v>2500</v>
      </c>
      <c r="J7" s="500" t="str">
        <f>VLOOKUP($D7, Equipment!$A$69:$T$83, 2, FALSE)</f>
        <v>Trina 500W</v>
      </c>
      <c r="K7" s="320" t="str">
        <f>VLOOKUP($D7, Equipment!$A$69:$T$83, 6, FALSE)</f>
        <v>42.8 V</v>
      </c>
      <c r="L7" s="320">
        <f>VLOOKUP($D7, Equipment!$A$69:$T$83, 7, FALSE)</f>
        <v>11.69</v>
      </c>
      <c r="M7" s="320">
        <f>VLOOKUP($D7, Equipment!$A$69:$T$83, 8, FALSE)</f>
        <v>51.7</v>
      </c>
      <c r="N7" s="320">
        <f>VLOOKUP($D7, Equipment!$A$69:$T$83, 9, FALSE)</f>
        <v>12.28</v>
      </c>
      <c r="O7" s="320">
        <f>VLOOKUP($D7, Equipment!$A$69:$T$83, 10, FALSE)</f>
        <v>15.67</v>
      </c>
      <c r="P7" s="320">
        <f>VLOOKUP($D7, Equipment!$A$69:$T$83, 11, FALSE)</f>
        <v>15</v>
      </c>
      <c r="Q7" s="320">
        <f>VLOOKUP($D7, Equipment!$A$69:$T$83, 12, FALSE)</f>
        <v>5</v>
      </c>
      <c r="R7" s="320">
        <f>VLOOKUP($D7, Equipment!$A$69:$T$83, 13, FALSE)</f>
        <v>-0.26</v>
      </c>
      <c r="S7" s="320">
        <f>VLOOKUP($D7, Equipment!$A$69:$T$83, 14, FALSE)</f>
        <v>-0.36</v>
      </c>
      <c r="T7" s="320">
        <v>25</v>
      </c>
      <c r="U7" s="320">
        <f>VLOOKUP($D7, Equipment!$A$69:$T$83, 17, FALSE)</f>
        <v>2176</v>
      </c>
      <c r="V7" s="320">
        <f>VLOOKUP($D7, Equipment!$A$69:$T$83, 18, FALSE)</f>
        <v>1098</v>
      </c>
      <c r="W7" s="320">
        <f>VLOOKUP($D7, Equipment!$A$69:$T$83, 19, FALSE)</f>
        <v>35</v>
      </c>
      <c r="X7" s="320">
        <f>VLOOKUP($D7, Equipment!$A$69:$T$83, 20, FALSE)</f>
        <v>26.3</v>
      </c>
      <c r="Y7" s="320">
        <f t="shared" si="1"/>
        <v>258.5</v>
      </c>
      <c r="Z7" s="320">
        <v>21</v>
      </c>
      <c r="AA7" s="320">
        <v>1</v>
      </c>
      <c r="AB7" s="144">
        <f t="shared" si="4"/>
        <v>12.28</v>
      </c>
      <c r="AC7" s="144" t="str">
        <f>VLOOKUP(Z7, Equipment!$A$5:$D$29, 2, FALSE)</f>
        <v>SmartSolar MPPT 450/100 Tr</v>
      </c>
    </row>
    <row r="8" spans="2:29" x14ac:dyDescent="0.25">
      <c r="B8" s="703">
        <v>5</v>
      </c>
      <c r="C8" s="320">
        <f t="shared" si="0"/>
        <v>3</v>
      </c>
      <c r="D8" s="320">
        <v>2</v>
      </c>
      <c r="E8" s="320">
        <f>VLOOKUP(D8, Equipment!$A$69:$T$83, 5, FALSE)</f>
        <v>500</v>
      </c>
      <c r="F8" s="319">
        <v>6</v>
      </c>
      <c r="G8" s="319">
        <v>1</v>
      </c>
      <c r="H8" s="319">
        <f t="shared" si="2"/>
        <v>6</v>
      </c>
      <c r="I8" s="320">
        <f t="shared" si="3"/>
        <v>3000</v>
      </c>
      <c r="J8" s="500" t="str">
        <f>VLOOKUP($D8, Equipment!$A$69:$T$83, 2, FALSE)</f>
        <v>Trina 500W</v>
      </c>
      <c r="K8" s="320" t="str">
        <f>VLOOKUP($D8, Equipment!$A$69:$T$83, 6, FALSE)</f>
        <v>42.8 V</v>
      </c>
      <c r="L8" s="320">
        <f>VLOOKUP($D8, Equipment!$A$69:$T$83, 7, FALSE)</f>
        <v>11.69</v>
      </c>
      <c r="M8" s="320">
        <f>VLOOKUP($D8, Equipment!$A$69:$T$83, 8, FALSE)</f>
        <v>51.7</v>
      </c>
      <c r="N8" s="320">
        <f>VLOOKUP($D8, Equipment!$A$69:$T$83, 9, FALSE)</f>
        <v>12.28</v>
      </c>
      <c r="O8" s="320">
        <f>VLOOKUP($D8, Equipment!$A$69:$T$83, 10, FALSE)</f>
        <v>15.67</v>
      </c>
      <c r="P8" s="320">
        <f>VLOOKUP($D8, Equipment!$A$69:$T$83, 11, FALSE)</f>
        <v>15</v>
      </c>
      <c r="Q8" s="320">
        <f>VLOOKUP($D8, Equipment!$A$69:$T$83, 12, FALSE)</f>
        <v>5</v>
      </c>
      <c r="R8" s="320">
        <f>VLOOKUP($D8, Equipment!$A$69:$T$83, 13, FALSE)</f>
        <v>-0.26</v>
      </c>
      <c r="S8" s="320">
        <f>VLOOKUP($D8, Equipment!$A$69:$T$83, 14, FALSE)</f>
        <v>-0.36</v>
      </c>
      <c r="T8" s="320">
        <v>25</v>
      </c>
      <c r="U8" s="320">
        <f>VLOOKUP($D8, Equipment!$A$69:$T$83, 17, FALSE)</f>
        <v>2176</v>
      </c>
      <c r="V8" s="320">
        <f>VLOOKUP($D8, Equipment!$A$69:$T$83, 18, FALSE)</f>
        <v>1098</v>
      </c>
      <c r="W8" s="320">
        <f>VLOOKUP($D8, Equipment!$A$69:$T$83, 19, FALSE)</f>
        <v>35</v>
      </c>
      <c r="X8" s="320">
        <f>VLOOKUP($D8, Equipment!$A$69:$T$83, 20, FALSE)</f>
        <v>26.3</v>
      </c>
      <c r="Y8" s="320">
        <f t="shared" si="1"/>
        <v>310.20000000000005</v>
      </c>
      <c r="Z8" s="320">
        <v>21</v>
      </c>
      <c r="AA8" s="320">
        <v>1</v>
      </c>
      <c r="AB8" s="144">
        <f t="shared" si="4"/>
        <v>12.28</v>
      </c>
      <c r="AC8" s="144" t="str">
        <f>VLOOKUP(Z8, Equipment!$A$5:$D$29, 2, FALSE)</f>
        <v>SmartSolar MPPT 450/100 Tr</v>
      </c>
    </row>
    <row r="9" spans="2:29" x14ac:dyDescent="0.25">
      <c r="B9" s="498">
        <v>6</v>
      </c>
      <c r="C9" s="320">
        <f t="shared" si="0"/>
        <v>3.5</v>
      </c>
      <c r="D9" s="320">
        <v>2</v>
      </c>
      <c r="E9" s="320">
        <f>VLOOKUP(D9, Equipment!$A$69:$T$83, 5, FALSE)</f>
        <v>500</v>
      </c>
      <c r="F9" s="319">
        <v>7</v>
      </c>
      <c r="G9" s="319">
        <v>1</v>
      </c>
      <c r="H9" s="319">
        <f t="shared" si="2"/>
        <v>7</v>
      </c>
      <c r="I9" s="320">
        <f t="shared" si="3"/>
        <v>3500</v>
      </c>
      <c r="J9" s="500" t="str">
        <f>VLOOKUP($D9, Equipment!$A$69:$T$83, 2, FALSE)</f>
        <v>Trina 500W</v>
      </c>
      <c r="K9" s="320" t="str">
        <f>VLOOKUP($D9, Equipment!$A$69:$T$83, 6, FALSE)</f>
        <v>42.8 V</v>
      </c>
      <c r="L9" s="320">
        <f>VLOOKUP($D9, Equipment!$A$69:$T$83, 7, FALSE)</f>
        <v>11.69</v>
      </c>
      <c r="M9" s="320">
        <f>VLOOKUP($D9, Equipment!$A$69:$T$83, 8, FALSE)</f>
        <v>51.7</v>
      </c>
      <c r="N9" s="320">
        <f>VLOOKUP($D9, Equipment!$A$69:$T$83, 9, FALSE)</f>
        <v>12.28</v>
      </c>
      <c r="O9" s="320">
        <f>VLOOKUP($D9, Equipment!$A$69:$T$83, 10, FALSE)</f>
        <v>15.67</v>
      </c>
      <c r="P9" s="320">
        <f>VLOOKUP($D9, Equipment!$A$69:$T$83, 11, FALSE)</f>
        <v>15</v>
      </c>
      <c r="Q9" s="320">
        <f>VLOOKUP($D9, Equipment!$A$69:$T$83, 12, FALSE)</f>
        <v>5</v>
      </c>
      <c r="R9" s="320">
        <f>VLOOKUP($D9, Equipment!$A$69:$T$83, 13, FALSE)</f>
        <v>-0.26</v>
      </c>
      <c r="S9" s="320">
        <f>VLOOKUP($D9, Equipment!$A$69:$T$83, 14, FALSE)</f>
        <v>-0.36</v>
      </c>
      <c r="T9" s="320">
        <v>25</v>
      </c>
      <c r="U9" s="320">
        <f>VLOOKUP($D9, Equipment!$A$69:$T$83, 17, FALSE)</f>
        <v>2176</v>
      </c>
      <c r="V9" s="320">
        <f>VLOOKUP($D9, Equipment!$A$69:$T$83, 18, FALSE)</f>
        <v>1098</v>
      </c>
      <c r="W9" s="320">
        <f>VLOOKUP($D9, Equipment!$A$69:$T$83, 19, FALSE)</f>
        <v>35</v>
      </c>
      <c r="X9" s="320">
        <f>VLOOKUP($D9, Equipment!$A$69:$T$83, 20, FALSE)</f>
        <v>26.3</v>
      </c>
      <c r="Y9" s="320">
        <f>F9*M9</f>
        <v>361.90000000000003</v>
      </c>
      <c r="Z9" s="320">
        <v>21</v>
      </c>
      <c r="AA9" s="320">
        <v>1</v>
      </c>
      <c r="AB9" s="144">
        <f t="shared" si="4"/>
        <v>12.28</v>
      </c>
      <c r="AC9" s="144" t="str">
        <f>VLOOKUP(Z9, Equipment!$A$5:$D$29, 2, FALSE)</f>
        <v>SmartSolar MPPT 450/100 Tr</v>
      </c>
    </row>
    <row r="10" spans="2:29" x14ac:dyDescent="0.25">
      <c r="B10" s="498">
        <v>7</v>
      </c>
      <c r="C10" s="320">
        <f t="shared" si="0"/>
        <v>4</v>
      </c>
      <c r="D10" s="320">
        <v>2</v>
      </c>
      <c r="E10" s="320">
        <f>VLOOKUP(D10, Equipment!$A$69:$T$83, 5, FALSE)</f>
        <v>500</v>
      </c>
      <c r="F10" s="319">
        <v>8</v>
      </c>
      <c r="G10" s="319">
        <v>1</v>
      </c>
      <c r="H10" s="319">
        <f t="shared" si="2"/>
        <v>8</v>
      </c>
      <c r="I10" s="320">
        <f t="shared" si="3"/>
        <v>4000</v>
      </c>
      <c r="J10" s="500" t="str">
        <f>VLOOKUP($D10, Equipment!$A$69:$T$83, 2, FALSE)</f>
        <v>Trina 500W</v>
      </c>
      <c r="K10" s="320" t="str">
        <f>VLOOKUP($D10, Equipment!$A$69:$T$83, 6, FALSE)</f>
        <v>42.8 V</v>
      </c>
      <c r="L10" s="320">
        <f>VLOOKUP($D10, Equipment!$A$69:$T$83, 7, FALSE)</f>
        <v>11.69</v>
      </c>
      <c r="M10" s="320">
        <f>VLOOKUP($D10, Equipment!$A$69:$T$83, 8, FALSE)</f>
        <v>51.7</v>
      </c>
      <c r="N10" s="320">
        <f>VLOOKUP($D10, Equipment!$A$69:$T$83, 9, FALSE)</f>
        <v>12.28</v>
      </c>
      <c r="O10" s="320">
        <f>VLOOKUP($D10, Equipment!$A$69:$T$83, 10, FALSE)</f>
        <v>15.67</v>
      </c>
      <c r="P10" s="320">
        <f>VLOOKUP($D10, Equipment!$A$69:$T$83, 11, FALSE)</f>
        <v>15</v>
      </c>
      <c r="Q10" s="320">
        <f>VLOOKUP($D10, Equipment!$A$69:$T$83, 12, FALSE)</f>
        <v>5</v>
      </c>
      <c r="R10" s="320">
        <f>VLOOKUP($D10, Equipment!$A$69:$T$83, 13, FALSE)</f>
        <v>-0.26</v>
      </c>
      <c r="S10" s="320">
        <f>VLOOKUP($D10, Equipment!$A$69:$T$83, 14, FALSE)</f>
        <v>-0.36</v>
      </c>
      <c r="T10" s="320">
        <v>25</v>
      </c>
      <c r="U10" s="320">
        <f>VLOOKUP($D10, Equipment!$A$69:$T$83, 17, FALSE)</f>
        <v>2176</v>
      </c>
      <c r="V10" s="320">
        <f>VLOOKUP($D10, Equipment!$A$69:$T$83, 18, FALSE)</f>
        <v>1098</v>
      </c>
      <c r="W10" s="320">
        <f>VLOOKUP($D10, Equipment!$A$69:$T$83, 19, FALSE)</f>
        <v>35</v>
      </c>
      <c r="X10" s="320">
        <f>VLOOKUP($D10, Equipment!$A$69:$T$83, 20, FALSE)</f>
        <v>26.3</v>
      </c>
      <c r="Y10" s="320">
        <f>F10*M10</f>
        <v>413.6</v>
      </c>
      <c r="Z10" s="320">
        <v>21</v>
      </c>
      <c r="AA10" s="320">
        <v>1</v>
      </c>
      <c r="AB10" s="144">
        <f t="shared" si="4"/>
        <v>12.28</v>
      </c>
      <c r="AC10" s="144" t="str">
        <f>VLOOKUP(Z10, Equipment!$A$5:$D$29, 2, FALSE)</f>
        <v>SmartSolar MPPT 450/100 Tr</v>
      </c>
    </row>
    <row r="11" spans="2:29" x14ac:dyDescent="0.25">
      <c r="B11" s="498">
        <v>8</v>
      </c>
      <c r="C11" s="320">
        <f t="shared" si="0"/>
        <v>4.5</v>
      </c>
      <c r="D11" s="320">
        <v>2</v>
      </c>
      <c r="E11" s="320">
        <f>VLOOKUP(D11, Equipment!$A$69:$T$83, 5, FALSE)</f>
        <v>500</v>
      </c>
      <c r="F11" s="319">
        <v>9</v>
      </c>
      <c r="G11" s="319">
        <v>1</v>
      </c>
      <c r="H11" s="319">
        <f t="shared" si="2"/>
        <v>9</v>
      </c>
      <c r="I11" s="320">
        <f t="shared" si="3"/>
        <v>4500</v>
      </c>
      <c r="J11" s="500" t="str">
        <f>VLOOKUP($D11, Equipment!$A$69:$T$83, 2, FALSE)</f>
        <v>Trina 500W</v>
      </c>
      <c r="K11" s="320" t="str">
        <f>VLOOKUP($D11, Equipment!$A$69:$T$83, 6, FALSE)</f>
        <v>42.8 V</v>
      </c>
      <c r="L11" s="320">
        <f>VLOOKUP($D11, Equipment!$A$69:$T$83, 7, FALSE)</f>
        <v>11.69</v>
      </c>
      <c r="M11" s="320">
        <f>VLOOKUP($D11, Equipment!$A$69:$T$83, 8, FALSE)</f>
        <v>51.7</v>
      </c>
      <c r="N11" s="320">
        <f>VLOOKUP($D11, Equipment!$A$69:$T$83, 9, FALSE)</f>
        <v>12.28</v>
      </c>
      <c r="O11" s="320">
        <f>VLOOKUP($D11, Equipment!$A$69:$T$83, 10, FALSE)</f>
        <v>15.67</v>
      </c>
      <c r="P11" s="320">
        <f>VLOOKUP($D11, Equipment!$A$69:$T$83, 11, FALSE)</f>
        <v>15</v>
      </c>
      <c r="Q11" s="320">
        <f>VLOOKUP($D11, Equipment!$A$69:$T$83, 12, FALSE)</f>
        <v>5</v>
      </c>
      <c r="R11" s="320">
        <f>VLOOKUP($D11, Equipment!$A$69:$T$83, 13, FALSE)</f>
        <v>-0.26</v>
      </c>
      <c r="S11" s="320">
        <f>VLOOKUP($D11, Equipment!$A$69:$T$83, 14, FALSE)</f>
        <v>-0.36</v>
      </c>
      <c r="T11" s="320">
        <v>25</v>
      </c>
      <c r="U11" s="320">
        <f>VLOOKUP($D11, Equipment!$A$69:$T$83, 17, FALSE)</f>
        <v>2176</v>
      </c>
      <c r="V11" s="320">
        <f>VLOOKUP($D11, Equipment!$A$69:$T$83, 18, FALSE)</f>
        <v>1098</v>
      </c>
      <c r="W11" s="320">
        <f>VLOOKUP($D11, Equipment!$A$69:$T$83, 19, FALSE)</f>
        <v>35</v>
      </c>
      <c r="X11" s="320">
        <f>VLOOKUP($D11, Equipment!$A$69:$T$83, 20, FALSE)</f>
        <v>26.3</v>
      </c>
      <c r="Y11" s="320">
        <f t="shared" ref="Y11:Y23" si="5">F11*M11</f>
        <v>465.3</v>
      </c>
      <c r="Z11" s="320">
        <v>18</v>
      </c>
      <c r="AA11" s="320">
        <v>2</v>
      </c>
      <c r="AB11" s="144">
        <f t="shared" si="4"/>
        <v>12.28</v>
      </c>
      <c r="AC11" s="144" t="str">
        <f>VLOOKUP(Z11, Equipment!$A$5:$D$29, 2, FALSE)</f>
        <v>Fronius Primo 5KW Inverter</v>
      </c>
    </row>
    <row r="12" spans="2:29" x14ac:dyDescent="0.25">
      <c r="B12" s="498">
        <v>9</v>
      </c>
      <c r="C12" s="320">
        <f t="shared" si="0"/>
        <v>5</v>
      </c>
      <c r="D12" s="320">
        <v>2</v>
      </c>
      <c r="E12" s="320">
        <f>VLOOKUP(D12, Equipment!$A$69:$T$83, 5, FALSE)</f>
        <v>500</v>
      </c>
      <c r="F12" s="319">
        <v>10</v>
      </c>
      <c r="G12" s="319">
        <v>1</v>
      </c>
      <c r="H12" s="319">
        <f t="shared" si="2"/>
        <v>10</v>
      </c>
      <c r="I12" s="320">
        <f t="shared" si="3"/>
        <v>5000</v>
      </c>
      <c r="J12" s="500" t="str">
        <f>VLOOKUP($D12, Equipment!$A$69:$T$83, 2, FALSE)</f>
        <v>Trina 500W</v>
      </c>
      <c r="K12" s="320" t="str">
        <f>VLOOKUP($D12, Equipment!$A$69:$T$83, 6, FALSE)</f>
        <v>42.8 V</v>
      </c>
      <c r="L12" s="320">
        <f>VLOOKUP($D12, Equipment!$A$69:$T$83, 7, FALSE)</f>
        <v>11.69</v>
      </c>
      <c r="M12" s="320">
        <f>VLOOKUP($D12, Equipment!$A$69:$T$83, 8, FALSE)</f>
        <v>51.7</v>
      </c>
      <c r="N12" s="320">
        <f>VLOOKUP($D12, Equipment!$A$69:$T$83, 9, FALSE)</f>
        <v>12.28</v>
      </c>
      <c r="O12" s="320">
        <f>VLOOKUP($D12, Equipment!$A$69:$T$83, 10, FALSE)</f>
        <v>15.67</v>
      </c>
      <c r="P12" s="320">
        <f>VLOOKUP($D12, Equipment!$A$69:$T$83, 11, FALSE)</f>
        <v>15</v>
      </c>
      <c r="Q12" s="320">
        <f>VLOOKUP($D12, Equipment!$A$69:$T$83, 12, FALSE)</f>
        <v>5</v>
      </c>
      <c r="R12" s="320">
        <f>VLOOKUP($D12, Equipment!$A$69:$T$83, 13, FALSE)</f>
        <v>-0.26</v>
      </c>
      <c r="S12" s="320">
        <f>VLOOKUP($D12, Equipment!$A$69:$T$83, 14, FALSE)</f>
        <v>-0.36</v>
      </c>
      <c r="T12" s="320">
        <v>25</v>
      </c>
      <c r="U12" s="320">
        <f>VLOOKUP($D12, Equipment!$A$69:$T$83, 17, FALSE)</f>
        <v>2176</v>
      </c>
      <c r="V12" s="320">
        <f>VLOOKUP($D12, Equipment!$A$69:$T$83, 18, FALSE)</f>
        <v>1098</v>
      </c>
      <c r="W12" s="320">
        <f>VLOOKUP($D12, Equipment!$A$69:$T$83, 19, FALSE)</f>
        <v>35</v>
      </c>
      <c r="X12" s="320">
        <f>VLOOKUP($D12, Equipment!$A$69:$T$83, 20, FALSE)</f>
        <v>26.3</v>
      </c>
      <c r="Y12" s="320">
        <f t="shared" si="5"/>
        <v>517</v>
      </c>
      <c r="Z12" s="320">
        <v>18</v>
      </c>
      <c r="AA12" s="320">
        <v>1</v>
      </c>
      <c r="AB12" s="144">
        <f t="shared" si="4"/>
        <v>12.28</v>
      </c>
      <c r="AC12" s="144" t="str">
        <f>VLOOKUP(Z12, Equipment!$A$5:$D$29, 2, FALSE)</f>
        <v>Fronius Primo 5KW Inverter</v>
      </c>
    </row>
    <row r="13" spans="2:29" x14ac:dyDescent="0.25">
      <c r="B13" s="498">
        <v>10</v>
      </c>
      <c r="C13" s="320">
        <f t="shared" si="0"/>
        <v>2</v>
      </c>
      <c r="D13" s="320">
        <v>2</v>
      </c>
      <c r="E13" s="320">
        <f>VLOOKUP(D13, Equipment!$A$69:$T$83, 5, FALSE)</f>
        <v>500</v>
      </c>
      <c r="F13" s="319">
        <v>2</v>
      </c>
      <c r="G13" s="319">
        <v>2</v>
      </c>
      <c r="H13" s="319">
        <f t="shared" si="2"/>
        <v>4</v>
      </c>
      <c r="I13" s="320">
        <f t="shared" si="3"/>
        <v>2000</v>
      </c>
      <c r="J13" s="500" t="str">
        <f>VLOOKUP($D13, Equipment!$A$69:$T$83, 2, FALSE)</f>
        <v>Trina 500W</v>
      </c>
      <c r="K13" s="320" t="str">
        <f>VLOOKUP($D13, Equipment!$A$69:$T$83, 6, FALSE)</f>
        <v>42.8 V</v>
      </c>
      <c r="L13" s="320">
        <f>VLOOKUP($D13, Equipment!$A$69:$T$83, 7, FALSE)</f>
        <v>11.69</v>
      </c>
      <c r="M13" s="320">
        <f>VLOOKUP($D13, Equipment!$A$69:$T$83, 8, FALSE)</f>
        <v>51.7</v>
      </c>
      <c r="N13" s="320">
        <f>VLOOKUP($D13, Equipment!$A$69:$T$83, 9, FALSE)</f>
        <v>12.28</v>
      </c>
      <c r="O13" s="320">
        <f>VLOOKUP($D13, Equipment!$A$69:$T$83, 10, FALSE)</f>
        <v>15.67</v>
      </c>
      <c r="P13" s="320">
        <f>VLOOKUP($D13, Equipment!$A$69:$T$83, 11, FALSE)</f>
        <v>15</v>
      </c>
      <c r="Q13" s="320">
        <f>VLOOKUP($D13, Equipment!$A$69:$T$83, 12, FALSE)</f>
        <v>5</v>
      </c>
      <c r="R13" s="320">
        <f>VLOOKUP($D13, Equipment!$A$69:$T$83, 13, FALSE)</f>
        <v>-0.26</v>
      </c>
      <c r="S13" s="320">
        <f>VLOOKUP($D13, Equipment!$A$69:$T$83, 14, FALSE)</f>
        <v>-0.36</v>
      </c>
      <c r="T13" s="320">
        <v>25</v>
      </c>
      <c r="U13" s="320">
        <f>VLOOKUP($D13, Equipment!$A$69:$T$83, 17, FALSE)</f>
        <v>2176</v>
      </c>
      <c r="V13" s="320">
        <f>VLOOKUP($D13, Equipment!$A$69:$T$83, 18, FALSE)</f>
        <v>1098</v>
      </c>
      <c r="W13" s="320">
        <f>VLOOKUP($D13, Equipment!$A$69:$T$83, 19, FALSE)</f>
        <v>35</v>
      </c>
      <c r="X13" s="320">
        <f>VLOOKUP($D13, Equipment!$A$69:$T$83, 20, FALSE)</f>
        <v>26.3</v>
      </c>
      <c r="Y13" s="320">
        <f t="shared" si="5"/>
        <v>103.4</v>
      </c>
      <c r="Z13" s="320">
        <v>8</v>
      </c>
      <c r="AA13" s="320">
        <v>1</v>
      </c>
      <c r="AB13" s="144">
        <f t="shared" si="4"/>
        <v>24.56</v>
      </c>
      <c r="AC13" s="144" t="str">
        <f>VLOOKUP(Z13, Equipment!$A$5:$D$29, 2, FALSE)</f>
        <v>Blue-/ SmartSolar MPPT 150/35</v>
      </c>
    </row>
    <row r="14" spans="2:29" x14ac:dyDescent="0.25">
      <c r="B14" s="498">
        <v>11</v>
      </c>
      <c r="C14" s="320">
        <f t="shared" si="0"/>
        <v>3</v>
      </c>
      <c r="D14" s="320">
        <v>2</v>
      </c>
      <c r="E14" s="320">
        <f>VLOOKUP(D14, Equipment!$A$69:$T$83, 5, FALSE)</f>
        <v>500</v>
      </c>
      <c r="F14" s="319">
        <v>3</v>
      </c>
      <c r="G14" s="319">
        <v>2</v>
      </c>
      <c r="H14" s="319">
        <f t="shared" si="2"/>
        <v>6</v>
      </c>
      <c r="I14" s="320">
        <f t="shared" si="3"/>
        <v>3000</v>
      </c>
      <c r="J14" s="500" t="str">
        <f>VLOOKUP($D14, Equipment!$A$69:$T$83, 2, FALSE)</f>
        <v>Trina 500W</v>
      </c>
      <c r="K14" s="320" t="str">
        <f>VLOOKUP($D14, Equipment!$A$69:$T$83, 6, FALSE)</f>
        <v>42.8 V</v>
      </c>
      <c r="L14" s="320">
        <f>VLOOKUP($D14, Equipment!$A$69:$T$83, 7, FALSE)</f>
        <v>11.69</v>
      </c>
      <c r="M14" s="320">
        <f>VLOOKUP($D14, Equipment!$A$69:$T$83, 8, FALSE)</f>
        <v>51.7</v>
      </c>
      <c r="N14" s="320">
        <f>VLOOKUP($D14, Equipment!$A$69:$T$83, 9, FALSE)</f>
        <v>12.28</v>
      </c>
      <c r="O14" s="320">
        <f>VLOOKUP($D14, Equipment!$A$69:$T$83, 10, FALSE)</f>
        <v>15.67</v>
      </c>
      <c r="P14" s="320">
        <f>VLOOKUP($D14, Equipment!$A$69:$T$83, 11, FALSE)</f>
        <v>15</v>
      </c>
      <c r="Q14" s="320">
        <f>VLOOKUP($D14, Equipment!$A$69:$T$83, 12, FALSE)</f>
        <v>5</v>
      </c>
      <c r="R14" s="320">
        <f>VLOOKUP($D14, Equipment!$A$69:$T$83, 13, FALSE)</f>
        <v>-0.26</v>
      </c>
      <c r="S14" s="320">
        <f>VLOOKUP($D14, Equipment!$A$69:$T$83, 14, FALSE)</f>
        <v>-0.36</v>
      </c>
      <c r="T14" s="320">
        <v>25</v>
      </c>
      <c r="U14" s="320">
        <f>VLOOKUP($D14, Equipment!$A$69:$T$83, 17, FALSE)</f>
        <v>2176</v>
      </c>
      <c r="V14" s="320">
        <f>VLOOKUP($D14, Equipment!$A$69:$T$83, 18, FALSE)</f>
        <v>1098</v>
      </c>
      <c r="W14" s="320">
        <f>VLOOKUP($D14, Equipment!$A$69:$T$83, 19, FALSE)</f>
        <v>35</v>
      </c>
      <c r="X14" s="320">
        <f>VLOOKUP($D14, Equipment!$A$69:$T$83, 20, FALSE)</f>
        <v>26.3</v>
      </c>
      <c r="Y14" s="320">
        <f t="shared" si="5"/>
        <v>155.10000000000002</v>
      </c>
      <c r="Z14" s="320">
        <v>14</v>
      </c>
      <c r="AA14" s="320">
        <v>1</v>
      </c>
      <c r="AB14" s="144">
        <f t="shared" si="4"/>
        <v>24.56</v>
      </c>
      <c r="AC14" s="144" t="str">
        <f>VLOOKUP(Z14, Equipment!$A$5:$D$29, 2, FALSE)</f>
        <v>SmartSolar MPPT 250/60 Tr/MC4</v>
      </c>
    </row>
    <row r="15" spans="2:29" x14ac:dyDescent="0.25">
      <c r="B15" s="498">
        <v>12</v>
      </c>
      <c r="C15" s="320">
        <f t="shared" si="0"/>
        <v>4</v>
      </c>
      <c r="D15" s="320">
        <v>2</v>
      </c>
      <c r="E15" s="320">
        <f>VLOOKUP(D15, Equipment!$A$69:$T$83, 5, FALSE)</f>
        <v>500</v>
      </c>
      <c r="F15" s="319">
        <v>4</v>
      </c>
      <c r="G15" s="319">
        <v>2</v>
      </c>
      <c r="H15" s="319">
        <f t="shared" si="2"/>
        <v>8</v>
      </c>
      <c r="I15" s="320">
        <f t="shared" si="3"/>
        <v>4000</v>
      </c>
      <c r="J15" s="500" t="str">
        <f>VLOOKUP($D15, Equipment!$A$69:$T$83, 2, FALSE)</f>
        <v>Trina 500W</v>
      </c>
      <c r="K15" s="320" t="str">
        <f>VLOOKUP($D15, Equipment!$A$69:$T$83, 6, FALSE)</f>
        <v>42.8 V</v>
      </c>
      <c r="L15" s="320">
        <f>VLOOKUP($D15, Equipment!$A$69:$T$83, 7, FALSE)</f>
        <v>11.69</v>
      </c>
      <c r="M15" s="320">
        <f>VLOOKUP($D15, Equipment!$A$69:$T$83, 8, FALSE)</f>
        <v>51.7</v>
      </c>
      <c r="N15" s="320">
        <f>VLOOKUP($D15, Equipment!$A$69:$T$83, 9, FALSE)</f>
        <v>12.28</v>
      </c>
      <c r="O15" s="320">
        <f>VLOOKUP($D15, Equipment!$A$69:$T$83, 10, FALSE)</f>
        <v>15.67</v>
      </c>
      <c r="P15" s="320">
        <f>VLOOKUP($D15, Equipment!$A$69:$T$83, 11, FALSE)</f>
        <v>15</v>
      </c>
      <c r="Q15" s="320">
        <f>VLOOKUP($D15, Equipment!$A$69:$T$83, 12, FALSE)</f>
        <v>5</v>
      </c>
      <c r="R15" s="320">
        <f>VLOOKUP($D15, Equipment!$A$69:$T$83, 13, FALSE)</f>
        <v>-0.26</v>
      </c>
      <c r="S15" s="320">
        <f>VLOOKUP($D15, Equipment!$A$69:$T$83, 14, FALSE)</f>
        <v>-0.36</v>
      </c>
      <c r="T15" s="320">
        <v>25</v>
      </c>
      <c r="U15" s="320">
        <f>VLOOKUP($D15, Equipment!$A$69:$T$83, 17, FALSE)</f>
        <v>2176</v>
      </c>
      <c r="V15" s="320">
        <f>VLOOKUP($D15, Equipment!$A$69:$T$83, 18, FALSE)</f>
        <v>1098</v>
      </c>
      <c r="W15" s="320">
        <f>VLOOKUP($D15, Equipment!$A$69:$T$83, 19, FALSE)</f>
        <v>35</v>
      </c>
      <c r="X15" s="320">
        <f>VLOOKUP($D15, Equipment!$A$69:$T$83, 20, FALSE)</f>
        <v>26.3</v>
      </c>
      <c r="Y15" s="320">
        <f t="shared" si="5"/>
        <v>206.8</v>
      </c>
      <c r="Z15" s="320">
        <v>14</v>
      </c>
      <c r="AA15" s="320">
        <v>1</v>
      </c>
      <c r="AB15" s="144">
        <f t="shared" si="4"/>
        <v>24.56</v>
      </c>
      <c r="AC15" s="144" t="str">
        <f>VLOOKUP(Z15, Equipment!$A$5:$D$29, 2, FALSE)</f>
        <v>SmartSolar MPPT 250/60 Tr/MC4</v>
      </c>
    </row>
    <row r="16" spans="2:29" x14ac:dyDescent="0.25">
      <c r="B16" s="498">
        <v>13</v>
      </c>
      <c r="C16" s="320">
        <f t="shared" si="0"/>
        <v>5</v>
      </c>
      <c r="D16" s="320">
        <v>2</v>
      </c>
      <c r="E16" s="320">
        <f>VLOOKUP(D16, Equipment!$A$69:$T$83, 5, FALSE)</f>
        <v>500</v>
      </c>
      <c r="F16" s="319">
        <v>5</v>
      </c>
      <c r="G16" s="319">
        <v>2</v>
      </c>
      <c r="H16" s="319">
        <f t="shared" si="2"/>
        <v>10</v>
      </c>
      <c r="I16" s="320">
        <f t="shared" si="3"/>
        <v>5000</v>
      </c>
      <c r="J16" s="500" t="str">
        <f>VLOOKUP($D16, Equipment!$A$69:$T$83, 2, FALSE)</f>
        <v>Trina 500W</v>
      </c>
      <c r="K16" s="320" t="str">
        <f>VLOOKUP($D16, Equipment!$A$69:$T$83, 6, FALSE)</f>
        <v>42.8 V</v>
      </c>
      <c r="L16" s="320">
        <f>VLOOKUP($D16, Equipment!$A$69:$T$83, 7, FALSE)</f>
        <v>11.69</v>
      </c>
      <c r="M16" s="320">
        <f>VLOOKUP($D16, Equipment!$A$69:$T$83, 8, FALSE)</f>
        <v>51.7</v>
      </c>
      <c r="N16" s="320">
        <f>VLOOKUP($D16, Equipment!$A$69:$T$83, 9, FALSE)</f>
        <v>12.28</v>
      </c>
      <c r="O16" s="320">
        <f>VLOOKUP($D16, Equipment!$A$69:$T$83, 10, FALSE)</f>
        <v>15.67</v>
      </c>
      <c r="P16" s="320">
        <f>VLOOKUP($D16, Equipment!$A$69:$T$83, 11, FALSE)</f>
        <v>15</v>
      </c>
      <c r="Q16" s="320">
        <f>VLOOKUP($D16, Equipment!$A$69:$T$83, 12, FALSE)</f>
        <v>5</v>
      </c>
      <c r="R16" s="320">
        <f>VLOOKUP($D16, Equipment!$A$69:$T$83, 13, FALSE)</f>
        <v>-0.26</v>
      </c>
      <c r="S16" s="320">
        <f>VLOOKUP($D16, Equipment!$A$69:$T$83, 14, FALSE)</f>
        <v>-0.36</v>
      </c>
      <c r="T16" s="320">
        <v>25</v>
      </c>
      <c r="U16" s="320">
        <f>VLOOKUP($D16, Equipment!$A$69:$T$83, 17, FALSE)</f>
        <v>2176</v>
      </c>
      <c r="V16" s="320">
        <f>VLOOKUP($D16, Equipment!$A$69:$T$83, 18, FALSE)</f>
        <v>1098</v>
      </c>
      <c r="W16" s="320">
        <f>VLOOKUP($D16, Equipment!$A$69:$T$83, 19, FALSE)</f>
        <v>35</v>
      </c>
      <c r="X16" s="320">
        <f>VLOOKUP($D16, Equipment!$A$69:$T$83, 20, FALSE)</f>
        <v>26.3</v>
      </c>
      <c r="Y16" s="320">
        <f t="shared" si="5"/>
        <v>258.5</v>
      </c>
      <c r="Z16" s="320">
        <v>21</v>
      </c>
      <c r="AA16" s="320">
        <v>1</v>
      </c>
      <c r="AB16" s="144">
        <f t="shared" si="4"/>
        <v>24.56</v>
      </c>
      <c r="AC16" s="144" t="str">
        <f>VLOOKUP(Z16, Equipment!$A$5:$D$29, 2, FALSE)</f>
        <v>SmartSolar MPPT 450/100 Tr</v>
      </c>
    </row>
    <row r="17" spans="2:29" x14ac:dyDescent="0.25">
      <c r="B17" s="498">
        <v>14</v>
      </c>
      <c r="C17" s="320">
        <f t="shared" si="0"/>
        <v>6</v>
      </c>
      <c r="D17" s="320">
        <v>2</v>
      </c>
      <c r="E17" s="320">
        <f>VLOOKUP(D17, Equipment!$A$69:$T$83, 5, FALSE)</f>
        <v>500</v>
      </c>
      <c r="F17" s="319">
        <v>6</v>
      </c>
      <c r="G17" s="319">
        <v>2</v>
      </c>
      <c r="H17" s="319">
        <f t="shared" si="2"/>
        <v>12</v>
      </c>
      <c r="I17" s="320">
        <f t="shared" si="3"/>
        <v>6000</v>
      </c>
      <c r="J17" s="500" t="str">
        <f>VLOOKUP($D17, Equipment!$A$69:$T$83, 2, FALSE)</f>
        <v>Trina 500W</v>
      </c>
      <c r="K17" s="320" t="str">
        <f>VLOOKUP($D17, Equipment!$A$69:$T$83, 6, FALSE)</f>
        <v>42.8 V</v>
      </c>
      <c r="L17" s="320">
        <f>VLOOKUP($D17, Equipment!$A$69:$T$83, 7, FALSE)</f>
        <v>11.69</v>
      </c>
      <c r="M17" s="320">
        <f>VLOOKUP($D17, Equipment!$A$69:$T$83, 8, FALSE)</f>
        <v>51.7</v>
      </c>
      <c r="N17" s="320">
        <f>VLOOKUP($D17, Equipment!$A$69:$T$83, 9, FALSE)</f>
        <v>12.28</v>
      </c>
      <c r="O17" s="320">
        <f>VLOOKUP($D17, Equipment!$A$69:$T$83, 10, FALSE)</f>
        <v>15.67</v>
      </c>
      <c r="P17" s="320">
        <f>VLOOKUP($D17, Equipment!$A$69:$T$83, 11, FALSE)</f>
        <v>15</v>
      </c>
      <c r="Q17" s="320">
        <f>VLOOKUP($D17, Equipment!$A$69:$T$83, 12, FALSE)</f>
        <v>5</v>
      </c>
      <c r="R17" s="320">
        <f>VLOOKUP($D17, Equipment!$A$69:$T$83, 13, FALSE)</f>
        <v>-0.26</v>
      </c>
      <c r="S17" s="320">
        <f>VLOOKUP($D17, Equipment!$A$69:$T$83, 14, FALSE)</f>
        <v>-0.36</v>
      </c>
      <c r="T17" s="320">
        <v>25</v>
      </c>
      <c r="U17" s="320">
        <f>VLOOKUP($D17, Equipment!$A$69:$T$83, 17, FALSE)</f>
        <v>2176</v>
      </c>
      <c r="V17" s="320">
        <f>VLOOKUP($D17, Equipment!$A$69:$T$83, 18, FALSE)</f>
        <v>1098</v>
      </c>
      <c r="W17" s="320">
        <f>VLOOKUP($D17, Equipment!$A$69:$T$83, 19, FALSE)</f>
        <v>35</v>
      </c>
      <c r="X17" s="320">
        <f>VLOOKUP($D17, Equipment!$A$69:$T$83, 20, FALSE)</f>
        <v>26.3</v>
      </c>
      <c r="Y17" s="320">
        <f t="shared" si="5"/>
        <v>310.20000000000005</v>
      </c>
      <c r="Z17" s="320">
        <v>21</v>
      </c>
      <c r="AA17" s="320">
        <v>1</v>
      </c>
      <c r="AB17" s="144">
        <f t="shared" si="4"/>
        <v>24.56</v>
      </c>
      <c r="AC17" s="144" t="str">
        <f>VLOOKUP(Z17, Equipment!$A$5:$D$29, 2, FALSE)</f>
        <v>SmartSolar MPPT 450/100 Tr</v>
      </c>
    </row>
    <row r="18" spans="2:29" x14ac:dyDescent="0.25">
      <c r="B18" s="498">
        <v>15</v>
      </c>
      <c r="C18" s="320">
        <f t="shared" si="0"/>
        <v>7</v>
      </c>
      <c r="D18" s="320">
        <v>2</v>
      </c>
      <c r="E18" s="320">
        <f>VLOOKUP(D18, Equipment!$A$69:$T$83, 5, FALSE)</f>
        <v>500</v>
      </c>
      <c r="F18" s="319">
        <v>7</v>
      </c>
      <c r="G18" s="319">
        <v>2</v>
      </c>
      <c r="H18" s="319">
        <f t="shared" si="2"/>
        <v>14</v>
      </c>
      <c r="I18" s="320">
        <f t="shared" si="3"/>
        <v>7000</v>
      </c>
      <c r="J18" s="500" t="str">
        <f>VLOOKUP($D18, Equipment!$A$69:$T$83, 2, FALSE)</f>
        <v>Trina 500W</v>
      </c>
      <c r="K18" s="320" t="str">
        <f>VLOOKUP($D18, Equipment!$A$69:$T$83, 6, FALSE)</f>
        <v>42.8 V</v>
      </c>
      <c r="L18" s="320">
        <f>VLOOKUP($D18, Equipment!$A$69:$T$83, 7, FALSE)</f>
        <v>11.69</v>
      </c>
      <c r="M18" s="320">
        <f>VLOOKUP($D18, Equipment!$A$69:$T$83, 8, FALSE)</f>
        <v>51.7</v>
      </c>
      <c r="N18" s="320">
        <f>VLOOKUP($D18, Equipment!$A$69:$T$83, 9, FALSE)</f>
        <v>12.28</v>
      </c>
      <c r="O18" s="320">
        <f>VLOOKUP($D18, Equipment!$A$69:$T$83, 10, FALSE)</f>
        <v>15.67</v>
      </c>
      <c r="P18" s="320">
        <f>VLOOKUP($D18, Equipment!$A$69:$T$83, 11, FALSE)</f>
        <v>15</v>
      </c>
      <c r="Q18" s="320">
        <f>VLOOKUP($D18, Equipment!$A$69:$T$83, 12, FALSE)</f>
        <v>5</v>
      </c>
      <c r="R18" s="320">
        <f>VLOOKUP($D18, Equipment!$A$69:$T$83, 13, FALSE)</f>
        <v>-0.26</v>
      </c>
      <c r="S18" s="320">
        <f>VLOOKUP($D18, Equipment!$A$69:$T$83, 14, FALSE)</f>
        <v>-0.36</v>
      </c>
      <c r="T18" s="320">
        <v>25</v>
      </c>
      <c r="U18" s="320">
        <f>VLOOKUP($D18, Equipment!$A$69:$T$83, 17, FALSE)</f>
        <v>2176</v>
      </c>
      <c r="V18" s="320">
        <f>VLOOKUP($D18, Equipment!$A$69:$T$83, 18, FALSE)</f>
        <v>1098</v>
      </c>
      <c r="W18" s="320">
        <f>VLOOKUP($D18, Equipment!$A$69:$T$83, 19, FALSE)</f>
        <v>35</v>
      </c>
      <c r="X18" s="320">
        <f>VLOOKUP($D18, Equipment!$A$69:$T$83, 20, FALSE)</f>
        <v>26.3</v>
      </c>
      <c r="Y18" s="320">
        <f t="shared" si="5"/>
        <v>361.90000000000003</v>
      </c>
      <c r="Z18" s="320">
        <v>21</v>
      </c>
      <c r="AA18" s="320">
        <v>1</v>
      </c>
      <c r="AB18" s="144">
        <f t="shared" si="4"/>
        <v>24.56</v>
      </c>
      <c r="AC18" s="144" t="str">
        <f>VLOOKUP(Z18, Equipment!$A$5:$D$29, 2, FALSE)</f>
        <v>SmartSolar MPPT 450/100 Tr</v>
      </c>
    </row>
    <row r="19" spans="2:29" x14ac:dyDescent="0.25">
      <c r="B19" s="498">
        <v>16</v>
      </c>
      <c r="C19" s="320">
        <f t="shared" si="0"/>
        <v>8</v>
      </c>
      <c r="D19" s="320">
        <v>2</v>
      </c>
      <c r="E19" s="320">
        <f>VLOOKUP(D19, Equipment!$A$69:$T$83, 5, FALSE)</f>
        <v>500</v>
      </c>
      <c r="F19" s="319">
        <v>8</v>
      </c>
      <c r="G19" s="319">
        <v>2</v>
      </c>
      <c r="H19" s="319">
        <f t="shared" si="2"/>
        <v>16</v>
      </c>
      <c r="I19" s="320">
        <f t="shared" si="3"/>
        <v>8000</v>
      </c>
      <c r="J19" s="500" t="str">
        <f>VLOOKUP($D19, Equipment!$A$69:$T$83, 2, FALSE)</f>
        <v>Trina 500W</v>
      </c>
      <c r="K19" s="320" t="str">
        <f>VLOOKUP($D19, Equipment!$A$69:$T$83, 6, FALSE)</f>
        <v>42.8 V</v>
      </c>
      <c r="L19" s="320">
        <f>VLOOKUP($D19, Equipment!$A$69:$T$83, 7, FALSE)</f>
        <v>11.69</v>
      </c>
      <c r="M19" s="320">
        <f>VLOOKUP($D19, Equipment!$A$69:$T$83, 8, FALSE)</f>
        <v>51.7</v>
      </c>
      <c r="N19" s="320">
        <f>VLOOKUP($D19, Equipment!$A$69:$T$83, 9, FALSE)</f>
        <v>12.28</v>
      </c>
      <c r="O19" s="320">
        <f>VLOOKUP($D19, Equipment!$A$69:$T$83, 10, FALSE)</f>
        <v>15.67</v>
      </c>
      <c r="P19" s="320">
        <f>VLOOKUP($D19, Equipment!$A$69:$T$83, 11, FALSE)</f>
        <v>15</v>
      </c>
      <c r="Q19" s="320">
        <f>VLOOKUP($D19, Equipment!$A$69:$T$83, 12, FALSE)</f>
        <v>5</v>
      </c>
      <c r="R19" s="320">
        <f>VLOOKUP($D19, Equipment!$A$69:$T$83, 13, FALSE)</f>
        <v>-0.26</v>
      </c>
      <c r="S19" s="320">
        <f>VLOOKUP($D19, Equipment!$A$69:$T$83, 14, FALSE)</f>
        <v>-0.36</v>
      </c>
      <c r="T19" s="320">
        <v>25</v>
      </c>
      <c r="U19" s="320">
        <f>VLOOKUP($D19, Equipment!$A$69:$T$83, 17, FALSE)</f>
        <v>2176</v>
      </c>
      <c r="V19" s="320">
        <f>VLOOKUP($D19, Equipment!$A$69:$T$83, 18, FALSE)</f>
        <v>1098</v>
      </c>
      <c r="W19" s="320">
        <f>VLOOKUP($D19, Equipment!$A$69:$T$83, 19, FALSE)</f>
        <v>35</v>
      </c>
      <c r="X19" s="320">
        <f>VLOOKUP($D19, Equipment!$A$69:$T$83, 20, FALSE)</f>
        <v>26.3</v>
      </c>
      <c r="Y19" s="320">
        <f t="shared" si="5"/>
        <v>413.6</v>
      </c>
      <c r="Z19" s="320">
        <v>21</v>
      </c>
      <c r="AA19" s="320">
        <v>1</v>
      </c>
      <c r="AB19" s="144">
        <f t="shared" si="4"/>
        <v>24.56</v>
      </c>
      <c r="AC19" s="144" t="str">
        <f>VLOOKUP(Z19, Equipment!$A$5:$D$29, 2, FALSE)</f>
        <v>SmartSolar MPPT 450/100 Tr</v>
      </c>
    </row>
    <row r="20" spans="2:29" x14ac:dyDescent="0.25">
      <c r="B20" s="498">
        <v>17</v>
      </c>
      <c r="C20" s="320">
        <f t="shared" si="0"/>
        <v>9</v>
      </c>
      <c r="D20" s="320">
        <v>2</v>
      </c>
      <c r="E20" s="320">
        <f>VLOOKUP(D20, Equipment!$A$69:$T$83, 5, FALSE)</f>
        <v>500</v>
      </c>
      <c r="F20" s="319">
        <v>9</v>
      </c>
      <c r="G20" s="319">
        <v>2</v>
      </c>
      <c r="H20" s="319">
        <f t="shared" si="2"/>
        <v>18</v>
      </c>
      <c r="I20" s="320">
        <f t="shared" si="3"/>
        <v>9000</v>
      </c>
      <c r="J20" s="500" t="str">
        <f>VLOOKUP($D20, Equipment!$A$69:$T$83, 2, FALSE)</f>
        <v>Trina 500W</v>
      </c>
      <c r="K20" s="320" t="str">
        <f>VLOOKUP($D20, Equipment!$A$69:$T$83, 6, FALSE)</f>
        <v>42.8 V</v>
      </c>
      <c r="L20" s="320">
        <f>VLOOKUP($D20, Equipment!$A$69:$T$83, 7, FALSE)</f>
        <v>11.69</v>
      </c>
      <c r="M20" s="320">
        <f>VLOOKUP($D20, Equipment!$A$69:$T$83, 8, FALSE)</f>
        <v>51.7</v>
      </c>
      <c r="N20" s="320">
        <f>VLOOKUP($D20, Equipment!$A$69:$T$83, 9, FALSE)</f>
        <v>12.28</v>
      </c>
      <c r="O20" s="320">
        <f>VLOOKUP($D20, Equipment!$A$69:$T$83, 10, FALSE)</f>
        <v>15.67</v>
      </c>
      <c r="P20" s="320">
        <f>VLOOKUP($D20, Equipment!$A$69:$T$83, 11, FALSE)</f>
        <v>15</v>
      </c>
      <c r="Q20" s="320">
        <f>VLOOKUP($D20, Equipment!$A$69:$T$83, 12, FALSE)</f>
        <v>5</v>
      </c>
      <c r="R20" s="320">
        <f>VLOOKUP($D20, Equipment!$A$69:$T$83, 13, FALSE)</f>
        <v>-0.26</v>
      </c>
      <c r="S20" s="320">
        <f>VLOOKUP($D20, Equipment!$A$69:$T$83, 14, FALSE)</f>
        <v>-0.36</v>
      </c>
      <c r="T20" s="320">
        <v>25</v>
      </c>
      <c r="U20" s="320">
        <f>VLOOKUP($D20, Equipment!$A$69:$T$83, 17, FALSE)</f>
        <v>2176</v>
      </c>
      <c r="V20" s="320">
        <f>VLOOKUP($D20, Equipment!$A$69:$T$83, 18, FALSE)</f>
        <v>1098</v>
      </c>
      <c r="W20" s="320">
        <f>VLOOKUP($D20, Equipment!$A$69:$T$83, 19, FALSE)</f>
        <v>35</v>
      </c>
      <c r="X20" s="320">
        <f>VLOOKUP($D20, Equipment!$A$69:$T$83, 20, FALSE)</f>
        <v>26.3</v>
      </c>
      <c r="Y20" s="320">
        <f t="shared" si="5"/>
        <v>465.3</v>
      </c>
      <c r="Z20" s="320">
        <v>18</v>
      </c>
      <c r="AA20" s="320">
        <v>2</v>
      </c>
      <c r="AB20" s="144">
        <f t="shared" si="4"/>
        <v>24.56</v>
      </c>
      <c r="AC20" s="144" t="str">
        <f>VLOOKUP(Z20, Equipment!$A$5:$D$29, 2, FALSE)</f>
        <v>Fronius Primo 5KW Inverter</v>
      </c>
    </row>
    <row r="21" spans="2:29" x14ac:dyDescent="0.25">
      <c r="B21" s="498">
        <v>18</v>
      </c>
      <c r="C21" s="320">
        <f t="shared" si="0"/>
        <v>10</v>
      </c>
      <c r="D21" s="320">
        <v>2</v>
      </c>
      <c r="E21" s="320">
        <f>VLOOKUP(D21, Equipment!$A$69:$T$83, 5, FALSE)</f>
        <v>500</v>
      </c>
      <c r="F21" s="319">
        <v>10</v>
      </c>
      <c r="G21" s="319">
        <v>2</v>
      </c>
      <c r="H21" s="319">
        <f t="shared" si="2"/>
        <v>20</v>
      </c>
      <c r="I21" s="320">
        <f t="shared" si="3"/>
        <v>10000</v>
      </c>
      <c r="J21" s="500" t="str">
        <f>VLOOKUP($D21, Equipment!$A$69:$T$83, 2, FALSE)</f>
        <v>Trina 500W</v>
      </c>
      <c r="K21" s="320" t="str">
        <f>VLOOKUP($D21, Equipment!$A$69:$T$83, 6, FALSE)</f>
        <v>42.8 V</v>
      </c>
      <c r="L21" s="320">
        <f>VLOOKUP($D21, Equipment!$A$69:$T$83, 7, FALSE)</f>
        <v>11.69</v>
      </c>
      <c r="M21" s="320">
        <f>VLOOKUP($D21, Equipment!$A$69:$T$83, 8, FALSE)</f>
        <v>51.7</v>
      </c>
      <c r="N21" s="320">
        <f>VLOOKUP($D21, Equipment!$A$69:$T$83, 9, FALSE)</f>
        <v>12.28</v>
      </c>
      <c r="O21" s="320">
        <f>VLOOKUP($D21, Equipment!$A$69:$T$83, 10, FALSE)</f>
        <v>15.67</v>
      </c>
      <c r="P21" s="320">
        <f>VLOOKUP($D21, Equipment!$A$69:$T$83, 11, FALSE)</f>
        <v>15</v>
      </c>
      <c r="Q21" s="320">
        <f>VLOOKUP($D21, Equipment!$A$69:$T$83, 12, FALSE)</f>
        <v>5</v>
      </c>
      <c r="R21" s="320">
        <f>VLOOKUP($D21, Equipment!$A$69:$T$83, 13, FALSE)</f>
        <v>-0.26</v>
      </c>
      <c r="S21" s="320">
        <f>VLOOKUP($D21, Equipment!$A$69:$T$83, 14, FALSE)</f>
        <v>-0.36</v>
      </c>
      <c r="T21" s="320">
        <v>25</v>
      </c>
      <c r="U21" s="320">
        <f>VLOOKUP($D21, Equipment!$A$69:$T$83, 17, FALSE)</f>
        <v>2176</v>
      </c>
      <c r="V21" s="320">
        <f>VLOOKUP($D21, Equipment!$A$69:$T$83, 18, FALSE)</f>
        <v>1098</v>
      </c>
      <c r="W21" s="320">
        <f>VLOOKUP($D21, Equipment!$A$69:$T$83, 19, FALSE)</f>
        <v>35</v>
      </c>
      <c r="X21" s="320">
        <f>VLOOKUP($D21, Equipment!$A$69:$T$83, 20, FALSE)</f>
        <v>26.3</v>
      </c>
      <c r="Y21" s="320">
        <f t="shared" si="5"/>
        <v>517</v>
      </c>
      <c r="Z21" s="320">
        <v>18</v>
      </c>
      <c r="AA21" s="320">
        <v>2</v>
      </c>
      <c r="AB21" s="144">
        <f t="shared" si="4"/>
        <v>24.56</v>
      </c>
      <c r="AC21" s="144" t="str">
        <f>VLOOKUP(Z21, Equipment!$A$5:$D$29, 2, FALSE)</f>
        <v>Fronius Primo 5KW Inverter</v>
      </c>
    </row>
    <row r="22" spans="2:29" x14ac:dyDescent="0.25">
      <c r="B22" s="498">
        <v>19</v>
      </c>
      <c r="C22" s="320">
        <f t="shared" si="0"/>
        <v>4.5</v>
      </c>
      <c r="D22" s="320">
        <v>2</v>
      </c>
      <c r="E22" s="320">
        <f>VLOOKUP(D22, Equipment!$A$69:$T$83, 5, FALSE)</f>
        <v>500</v>
      </c>
      <c r="F22" s="319">
        <v>3</v>
      </c>
      <c r="G22" s="319">
        <v>3</v>
      </c>
      <c r="H22" s="319">
        <f t="shared" si="2"/>
        <v>9</v>
      </c>
      <c r="I22" s="320">
        <f t="shared" si="3"/>
        <v>4500</v>
      </c>
      <c r="J22" s="500" t="str">
        <f>VLOOKUP($D22, Equipment!$A$69:$T$83, 2, FALSE)</f>
        <v>Trina 500W</v>
      </c>
      <c r="K22" s="320" t="str">
        <f>VLOOKUP($D22, Equipment!$A$69:$T$83, 6, FALSE)</f>
        <v>42.8 V</v>
      </c>
      <c r="L22" s="320">
        <f>VLOOKUP($D22, Equipment!$A$69:$T$83, 7, FALSE)</f>
        <v>11.69</v>
      </c>
      <c r="M22" s="320">
        <f>VLOOKUP($D22, Equipment!$A$69:$T$83, 8, FALSE)</f>
        <v>51.7</v>
      </c>
      <c r="N22" s="320">
        <f>VLOOKUP($D22, Equipment!$A$69:$T$83, 9, FALSE)</f>
        <v>12.28</v>
      </c>
      <c r="O22" s="320">
        <f>VLOOKUP($D22, Equipment!$A$69:$T$83, 10, FALSE)</f>
        <v>15.67</v>
      </c>
      <c r="P22" s="320">
        <f>VLOOKUP($D22, Equipment!$A$69:$T$83, 11, FALSE)</f>
        <v>15</v>
      </c>
      <c r="Q22" s="320">
        <f>VLOOKUP($D22, Equipment!$A$69:$T$83, 12, FALSE)</f>
        <v>5</v>
      </c>
      <c r="R22" s="320">
        <f>VLOOKUP($D22, Equipment!$A$69:$T$83, 13, FALSE)</f>
        <v>-0.26</v>
      </c>
      <c r="S22" s="320">
        <f>VLOOKUP($D22, Equipment!$A$69:$T$83, 14, FALSE)</f>
        <v>-0.36</v>
      </c>
      <c r="T22" s="320">
        <v>25</v>
      </c>
      <c r="U22" s="320">
        <f>VLOOKUP($D22, Equipment!$A$69:$T$83, 17, FALSE)</f>
        <v>2176</v>
      </c>
      <c r="V22" s="320">
        <f>VLOOKUP($D22, Equipment!$A$69:$T$83, 18, FALSE)</f>
        <v>1098</v>
      </c>
      <c r="W22" s="320">
        <f>VLOOKUP($D22, Equipment!$A$69:$T$83, 19, FALSE)</f>
        <v>35</v>
      </c>
      <c r="X22" s="320">
        <f>VLOOKUP($D22, Equipment!$A$69:$T$83, 20, FALSE)</f>
        <v>26.3</v>
      </c>
      <c r="Y22" s="320">
        <f t="shared" si="5"/>
        <v>155.10000000000002</v>
      </c>
      <c r="Z22" s="320">
        <v>16</v>
      </c>
      <c r="AA22" s="320">
        <v>1</v>
      </c>
      <c r="AB22" s="144">
        <f t="shared" si="4"/>
        <v>36.839999999999996</v>
      </c>
      <c r="AC22" s="144" t="str">
        <f>VLOOKUP(Z22, Equipment!$A$5:$D$29, 2, FALSE)</f>
        <v>SmartSolar MPPT 250/85 Tr/MC4</v>
      </c>
    </row>
    <row r="23" spans="2:29" x14ac:dyDescent="0.25">
      <c r="B23" s="498">
        <v>20</v>
      </c>
      <c r="C23" s="320">
        <f t="shared" si="0"/>
        <v>12</v>
      </c>
      <c r="D23" s="320">
        <v>2</v>
      </c>
      <c r="E23" s="320">
        <f>VLOOKUP(D23, Equipment!$A$69:$T$83, 5, FALSE)</f>
        <v>500</v>
      </c>
      <c r="F23" s="319">
        <v>8</v>
      </c>
      <c r="G23" s="319">
        <v>3</v>
      </c>
      <c r="H23" s="319">
        <f t="shared" si="2"/>
        <v>24</v>
      </c>
      <c r="I23" s="320">
        <f t="shared" si="3"/>
        <v>12000</v>
      </c>
      <c r="J23" s="500" t="str">
        <f>VLOOKUP($D23, Equipment!$A$69:$T$83, 2, FALSE)</f>
        <v>Trina 500W</v>
      </c>
      <c r="K23" s="320" t="str">
        <f>VLOOKUP($D23, Equipment!$A$69:$T$83, 6, FALSE)</f>
        <v>42.8 V</v>
      </c>
      <c r="L23" s="320">
        <f>VLOOKUP($D23, Equipment!$A$69:$T$83, 7, FALSE)</f>
        <v>11.69</v>
      </c>
      <c r="M23" s="320">
        <f>VLOOKUP($D23, Equipment!$A$69:$T$83, 8, FALSE)</f>
        <v>51.7</v>
      </c>
      <c r="N23" s="320">
        <f>VLOOKUP($D23, Equipment!$A$69:$T$83, 9, FALSE)</f>
        <v>12.28</v>
      </c>
      <c r="O23" s="320">
        <f>VLOOKUP($D23, Equipment!$A$69:$T$83, 10, FALSE)</f>
        <v>15.67</v>
      </c>
      <c r="P23" s="320">
        <f>VLOOKUP($D23, Equipment!$A$69:$T$83, 11, FALSE)</f>
        <v>15</v>
      </c>
      <c r="Q23" s="320">
        <f>VLOOKUP($D23, Equipment!$A$69:$T$83, 12, FALSE)</f>
        <v>5</v>
      </c>
      <c r="R23" s="320">
        <f>VLOOKUP($D23, Equipment!$A$69:$T$83, 13, FALSE)</f>
        <v>-0.26</v>
      </c>
      <c r="S23" s="320">
        <f>VLOOKUP($D23, Equipment!$A$69:$T$83, 14, FALSE)</f>
        <v>-0.36</v>
      </c>
      <c r="T23" s="320">
        <v>25</v>
      </c>
      <c r="U23" s="320">
        <f>VLOOKUP($D23, Equipment!$A$69:$T$83, 17, FALSE)</f>
        <v>2176</v>
      </c>
      <c r="V23" s="320">
        <f>VLOOKUP($D23, Equipment!$A$69:$T$83, 18, FALSE)</f>
        <v>1098</v>
      </c>
      <c r="W23" s="320">
        <f>VLOOKUP($D23, Equipment!$A$69:$T$83, 19, FALSE)</f>
        <v>35</v>
      </c>
      <c r="X23" s="320">
        <f>VLOOKUP($D23, Equipment!$A$69:$T$83, 20, FALSE)</f>
        <v>26.3</v>
      </c>
      <c r="Y23" s="320">
        <f t="shared" si="5"/>
        <v>413.6</v>
      </c>
      <c r="Z23" s="320">
        <v>23</v>
      </c>
      <c r="AA23" s="320">
        <v>1</v>
      </c>
      <c r="AB23" s="144">
        <f t="shared" si="4"/>
        <v>36.839999999999996</v>
      </c>
      <c r="AC23" s="144" t="str">
        <f>VLOOKUP(Z23, Equipment!$A$5:$D$29, 2, FALSE)</f>
        <v>Fronius Symo 12.5KW Inverter</v>
      </c>
    </row>
    <row r="24" spans="2:29" x14ac:dyDescent="0.25">
      <c r="B24" s="498">
        <v>21</v>
      </c>
      <c r="C24" s="320">
        <f t="shared" ref="C24:C25" si="6">I24/1000</f>
        <v>15</v>
      </c>
      <c r="D24" s="320">
        <v>3</v>
      </c>
      <c r="E24" s="320">
        <f>VLOOKUP(D24, Equipment!$A$69:$T$83, 5, FALSE)</f>
        <v>500</v>
      </c>
      <c r="F24" s="319">
        <v>10</v>
      </c>
      <c r="G24" s="319">
        <v>3</v>
      </c>
      <c r="H24" s="319">
        <f t="shared" ref="H24:H25" si="7">F24*G24</f>
        <v>30</v>
      </c>
      <c r="I24" s="320">
        <f t="shared" ref="I24:I25" si="8">E24*F24*G24</f>
        <v>15000</v>
      </c>
      <c r="J24" s="500" t="str">
        <f>VLOOKUP($D24, Equipment!$A$69:$T$83, 2, FALSE)</f>
        <v>Trina 500W</v>
      </c>
      <c r="K24" s="320" t="str">
        <f>VLOOKUP($D24, Equipment!$A$69:$T$83, 6, FALSE)</f>
        <v>42.8 V</v>
      </c>
      <c r="L24" s="320">
        <f>VLOOKUP($D24, Equipment!$A$69:$T$83, 7, FALSE)</f>
        <v>11.69</v>
      </c>
      <c r="M24" s="320">
        <f>VLOOKUP($D24, Equipment!$A$69:$T$83, 8, FALSE)</f>
        <v>51.7</v>
      </c>
      <c r="N24" s="320">
        <f>VLOOKUP($D24, Equipment!$A$69:$T$83, 9, FALSE)</f>
        <v>12.28</v>
      </c>
      <c r="O24" s="320">
        <f>VLOOKUP($D24, Equipment!$A$69:$T$83, 10, FALSE)</f>
        <v>15.67</v>
      </c>
      <c r="P24" s="320">
        <f>VLOOKUP($D24, Equipment!$A$69:$T$83, 11, FALSE)</f>
        <v>15</v>
      </c>
      <c r="Q24" s="320">
        <f>VLOOKUP($D24, Equipment!$A$69:$T$83, 12, FALSE)</f>
        <v>5</v>
      </c>
      <c r="R24" s="320">
        <f>VLOOKUP($D24, Equipment!$A$69:$T$83, 13, FALSE)</f>
        <v>-0.26</v>
      </c>
      <c r="S24" s="320">
        <f>VLOOKUP($D24, Equipment!$A$69:$T$83, 14, FALSE)</f>
        <v>-0.36</v>
      </c>
      <c r="T24" s="320">
        <v>25</v>
      </c>
      <c r="U24" s="320">
        <f>VLOOKUP($D24, Equipment!$A$69:$T$83, 17, FALSE)</f>
        <v>2176</v>
      </c>
      <c r="V24" s="320">
        <f>VLOOKUP($D24, Equipment!$A$69:$T$83, 18, FALSE)</f>
        <v>1098</v>
      </c>
      <c r="W24" s="320">
        <f>VLOOKUP($D24, Equipment!$A$69:$T$83, 19, FALSE)</f>
        <v>35</v>
      </c>
      <c r="X24" s="320">
        <f>VLOOKUP($D24, Equipment!$A$69:$T$83, 20, FALSE)</f>
        <v>26.3</v>
      </c>
      <c r="Y24" s="320">
        <f t="shared" ref="Y24:Y25" si="9">F24*M24</f>
        <v>517</v>
      </c>
      <c r="Z24" s="320">
        <v>24</v>
      </c>
      <c r="AA24" s="320">
        <v>1</v>
      </c>
      <c r="AB24" s="144">
        <f t="shared" si="4"/>
        <v>36.839999999999996</v>
      </c>
      <c r="AC24" s="144" t="str">
        <f>VLOOKUP(Z24, Equipment!$A$5:$D$29, 2, FALSE)</f>
        <v>Fronius Symo 15KW Inverter</v>
      </c>
    </row>
    <row r="25" spans="2:29" x14ac:dyDescent="0.25">
      <c r="B25" s="498">
        <v>22</v>
      </c>
      <c r="C25" s="320">
        <f t="shared" si="6"/>
        <v>0</v>
      </c>
      <c r="D25" s="320">
        <v>4</v>
      </c>
      <c r="E25" s="320">
        <f>VLOOKUP(D25, Equipment!$A$69:$T$83, 5, FALSE)</f>
        <v>500</v>
      </c>
      <c r="F25" s="319">
        <v>0</v>
      </c>
      <c r="G25" s="319">
        <v>0</v>
      </c>
      <c r="H25" s="319">
        <f t="shared" si="7"/>
        <v>0</v>
      </c>
      <c r="I25" s="320">
        <f t="shared" si="8"/>
        <v>0</v>
      </c>
      <c r="J25" s="500" t="str">
        <f>VLOOKUP($D25, Equipment!$A$69:$T$83, 2, FALSE)</f>
        <v>Trina 500W</v>
      </c>
      <c r="K25" s="320" t="str">
        <f>VLOOKUP($D25, Equipment!$A$69:$T$83, 6, FALSE)</f>
        <v>42.8 V</v>
      </c>
      <c r="L25" s="320">
        <f>VLOOKUP($D25, Equipment!$A$69:$T$83, 7, FALSE)</f>
        <v>11.69</v>
      </c>
      <c r="M25" s="320">
        <f>VLOOKUP($D25, Equipment!$A$69:$T$83, 8, FALSE)</f>
        <v>51.7</v>
      </c>
      <c r="N25" s="320">
        <f>VLOOKUP($D25, Equipment!$A$69:$T$83, 9, FALSE)</f>
        <v>12.28</v>
      </c>
      <c r="O25" s="320">
        <f>VLOOKUP($D25, Equipment!$A$69:$T$83, 10, FALSE)</f>
        <v>15.67</v>
      </c>
      <c r="P25" s="320">
        <f>VLOOKUP($D25, Equipment!$A$69:$T$83, 11, FALSE)</f>
        <v>15</v>
      </c>
      <c r="Q25" s="320">
        <f>VLOOKUP($D25, Equipment!$A$69:$T$83, 12, FALSE)</f>
        <v>5</v>
      </c>
      <c r="R25" s="320">
        <f>VLOOKUP($D25, Equipment!$A$69:$T$83, 13, FALSE)</f>
        <v>-0.26</v>
      </c>
      <c r="S25" s="320">
        <f>VLOOKUP($D25, Equipment!$A$69:$T$83, 14, FALSE)</f>
        <v>-0.36</v>
      </c>
      <c r="T25" s="320">
        <v>25</v>
      </c>
      <c r="U25" s="320">
        <f>VLOOKUP($D25, Equipment!$A$69:$T$83, 17, FALSE)</f>
        <v>2176</v>
      </c>
      <c r="V25" s="320">
        <f>VLOOKUP($D25, Equipment!$A$69:$T$83, 18, FALSE)</f>
        <v>1098</v>
      </c>
      <c r="W25" s="320">
        <f>VLOOKUP($D25, Equipment!$A$69:$T$83, 19, FALSE)</f>
        <v>35</v>
      </c>
      <c r="X25" s="320">
        <f>VLOOKUP($D25, Equipment!$A$69:$T$83, 20, FALSE)</f>
        <v>26.3</v>
      </c>
      <c r="Y25" s="320">
        <f t="shared" si="9"/>
        <v>0</v>
      </c>
      <c r="Z25" s="320">
        <v>16</v>
      </c>
      <c r="AA25" s="320">
        <v>1</v>
      </c>
      <c r="AB25" s="144">
        <f t="shared" si="4"/>
        <v>0</v>
      </c>
      <c r="AC25" s="144" t="str">
        <f>VLOOKUP(Z25, Equipment!$A$5:$D$29, 2, FALSE)</f>
        <v>SmartSolar MPPT 250/85 Tr/MC4</v>
      </c>
    </row>
    <row r="26" spans="2:29" x14ac:dyDescent="0.25">
      <c r="B26" s="501"/>
      <c r="C26" s="704"/>
      <c r="D26" s="704"/>
      <c r="E26" s="704"/>
      <c r="F26" s="705"/>
      <c r="G26" s="705"/>
      <c r="H26" s="705"/>
      <c r="I26" s="704"/>
      <c r="J26" s="706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04"/>
      <c r="AA26" s="704"/>
    </row>
    <row r="27" spans="2:29" x14ac:dyDescent="0.25">
      <c r="B27" s="501"/>
    </row>
    <row r="28" spans="2:29" ht="15.75" x14ac:dyDescent="0.25">
      <c r="B28" s="494" t="s">
        <v>3106</v>
      </c>
      <c r="C28" s="494" t="s">
        <v>3747</v>
      </c>
      <c r="D28" s="495" t="s">
        <v>3748</v>
      </c>
      <c r="E28" s="495" t="s">
        <v>3749</v>
      </c>
      <c r="F28" s="495" t="s">
        <v>3750</v>
      </c>
      <c r="G28" s="495" t="s">
        <v>3150</v>
      </c>
      <c r="H28" s="495" t="s">
        <v>3751</v>
      </c>
      <c r="I28" s="495" t="s">
        <v>3752</v>
      </c>
      <c r="J28" s="495" t="s">
        <v>3753</v>
      </c>
      <c r="K28" s="495" t="s">
        <v>3754</v>
      </c>
      <c r="L28" s="495" t="s">
        <v>3394</v>
      </c>
      <c r="M28" s="495" t="s">
        <v>3161</v>
      </c>
      <c r="O28" s="326" t="s">
        <v>3445</v>
      </c>
      <c r="P28" s="324" t="s">
        <v>2</v>
      </c>
      <c r="Q28" s="326" t="s">
        <v>3444</v>
      </c>
      <c r="R28" s="326" t="s">
        <v>3443</v>
      </c>
      <c r="S28" s="326" t="s">
        <v>3442</v>
      </c>
      <c r="T28" s="326" t="s">
        <v>3441</v>
      </c>
      <c r="U28" s="326" t="s">
        <v>3440</v>
      </c>
      <c r="V28" s="326" t="s">
        <v>3439</v>
      </c>
      <c r="W28" s="326" t="s">
        <v>3438</v>
      </c>
      <c r="X28" s="737" t="s">
        <v>3437</v>
      </c>
      <c r="Y28" s="737"/>
      <c r="Z28" s="737"/>
      <c r="AA28" s="737"/>
      <c r="AB28" s="326" t="s">
        <v>3436</v>
      </c>
    </row>
    <row r="29" spans="2:29" x14ac:dyDescent="0.25">
      <c r="B29" s="498">
        <v>1</v>
      </c>
      <c r="C29" s="499">
        <f t="shared" ref="C29:C45" si="10">J29/1000</f>
        <v>7.68</v>
      </c>
      <c r="D29" s="320">
        <v>3</v>
      </c>
      <c r="E29" s="320">
        <f>VLOOKUP(D29, Equipment!$A$50:$N$66, 4, FALSE)</f>
        <v>160</v>
      </c>
      <c r="F29" s="319">
        <v>4</v>
      </c>
      <c r="G29" s="319">
        <v>1</v>
      </c>
      <c r="H29" s="320">
        <f>VLOOKUP(D29, Equipment!$A$50:$N$66, 3, FALSE)</f>
        <v>12</v>
      </c>
      <c r="I29" s="320">
        <f t="shared" ref="I29:I45" si="11">F29*H29</f>
        <v>48</v>
      </c>
      <c r="J29" s="320">
        <f t="shared" ref="J29:J45" si="12">E29*G29*I29</f>
        <v>7680</v>
      </c>
      <c r="K29" s="320" t="str">
        <f>VLOOKUP(D29, Equipment!$A$50:$T$66, 20, FALSE)</f>
        <v>Carbon.AGM</v>
      </c>
      <c r="L29" s="320">
        <f>F29*G29</f>
        <v>4</v>
      </c>
      <c r="M29" s="502">
        <f>VLOOKUP(F29, Equipment!$A$50:$T$66, 15, FALSE)</f>
        <v>1</v>
      </c>
      <c r="N29" s="330">
        <v>1</v>
      </c>
      <c r="O29" s="332" t="s">
        <v>3430</v>
      </c>
      <c r="P29" s="321" t="s">
        <v>197</v>
      </c>
      <c r="Q29" s="332">
        <v>135</v>
      </c>
      <c r="R29" s="332">
        <v>270</v>
      </c>
      <c r="S29" s="321">
        <v>0</v>
      </c>
      <c r="T29" s="321">
        <v>0</v>
      </c>
      <c r="U29" s="332">
        <v>75</v>
      </c>
      <c r="V29" s="708">
        <v>5</v>
      </c>
      <c r="W29" s="708">
        <v>1</v>
      </c>
      <c r="X29" s="332">
        <v>12</v>
      </c>
      <c r="Y29" s="332">
        <v>24</v>
      </c>
      <c r="Z29" s="321" t="s">
        <v>3423</v>
      </c>
      <c r="AA29" s="321" t="s">
        <v>3423</v>
      </c>
      <c r="AB29" s="319">
        <v>13</v>
      </c>
    </row>
    <row r="30" spans="2:29" x14ac:dyDescent="0.25">
      <c r="B30" s="498">
        <v>2</v>
      </c>
      <c r="C30" s="499">
        <f t="shared" si="10"/>
        <v>8.16</v>
      </c>
      <c r="D30" s="320">
        <v>4</v>
      </c>
      <c r="E30" s="320">
        <f>VLOOKUP(D30, Equipment!$A$50:$N$66, 4, FALSE)</f>
        <v>170</v>
      </c>
      <c r="F30" s="319">
        <v>4</v>
      </c>
      <c r="G30" s="319">
        <v>1</v>
      </c>
      <c r="H30" s="320">
        <f>VLOOKUP(D30, Equipment!$A$50:$N$66, 3, FALSE)</f>
        <v>12</v>
      </c>
      <c r="I30" s="320">
        <f t="shared" si="11"/>
        <v>48</v>
      </c>
      <c r="J30" s="320">
        <f t="shared" si="12"/>
        <v>8160</v>
      </c>
      <c r="K30" s="320" t="str">
        <f>VLOOKUP(D30, Equipment!$A$50:$T$66, 20, FALSE)</f>
        <v>AGM</v>
      </c>
      <c r="L30" s="320">
        <f t="shared" ref="L30:L45" si="13">F30*G30</f>
        <v>4</v>
      </c>
      <c r="M30" s="502">
        <f>VLOOKUP(F30, Equipment!$A$50:$T$66, 15, FALSE)</f>
        <v>1</v>
      </c>
      <c r="N30" s="330">
        <v>2</v>
      </c>
      <c r="O30" s="332" t="s">
        <v>3429</v>
      </c>
      <c r="P30" s="321" t="s">
        <v>197</v>
      </c>
      <c r="Q30" s="332">
        <v>200</v>
      </c>
      <c r="R30" s="332">
        <v>400</v>
      </c>
      <c r="S30" s="321">
        <v>0</v>
      </c>
      <c r="T30" s="321">
        <v>0</v>
      </c>
      <c r="U30" s="332">
        <v>75</v>
      </c>
      <c r="V30" s="708">
        <v>5</v>
      </c>
      <c r="W30" s="708">
        <v>1</v>
      </c>
      <c r="X30" s="332">
        <v>12</v>
      </c>
      <c r="Y30" s="332">
        <v>24</v>
      </c>
      <c r="Z30" s="321" t="s">
        <v>3423</v>
      </c>
      <c r="AA30" s="321" t="s">
        <v>3423</v>
      </c>
      <c r="AB30" s="319">
        <v>15</v>
      </c>
    </row>
    <row r="31" spans="2:29" x14ac:dyDescent="0.25">
      <c r="B31" s="498">
        <v>3</v>
      </c>
      <c r="C31" s="499">
        <f t="shared" si="10"/>
        <v>5.76</v>
      </c>
      <c r="D31" s="320">
        <v>9</v>
      </c>
      <c r="E31" s="320">
        <f>VLOOKUP(D31, Equipment!$A$50:$N$66, 4, FALSE)</f>
        <v>120</v>
      </c>
      <c r="F31" s="319">
        <v>4</v>
      </c>
      <c r="G31" s="319">
        <v>1</v>
      </c>
      <c r="H31" s="320">
        <f>VLOOKUP(D31, Equipment!$A$50:$N$66, 3, FALSE)</f>
        <v>12</v>
      </c>
      <c r="I31" s="320">
        <f t="shared" si="11"/>
        <v>48</v>
      </c>
      <c r="J31" s="320">
        <f t="shared" si="12"/>
        <v>5760</v>
      </c>
      <c r="K31" s="320" t="str">
        <f>VLOOKUP(D31, Equipment!$A$50:$T$66, 20, FALSE)</f>
        <v>Carbon.AGM</v>
      </c>
      <c r="L31" s="320">
        <f t="shared" si="13"/>
        <v>4</v>
      </c>
      <c r="M31" s="502">
        <f>VLOOKUP(F31, Equipment!$A$50:$T$66, 15, FALSE)</f>
        <v>1</v>
      </c>
      <c r="N31" s="330">
        <v>3</v>
      </c>
      <c r="O31" s="332" t="s">
        <v>3428</v>
      </c>
      <c r="P31" s="321" t="s">
        <v>197</v>
      </c>
      <c r="Q31" s="332">
        <v>200</v>
      </c>
      <c r="R31" s="332">
        <v>400</v>
      </c>
      <c r="S31" s="321">
        <v>0</v>
      </c>
      <c r="T31" s="321">
        <v>0</v>
      </c>
      <c r="U31" s="332">
        <v>100</v>
      </c>
      <c r="V31" s="708">
        <v>5</v>
      </c>
      <c r="W31" s="708">
        <v>1</v>
      </c>
      <c r="X31" s="332">
        <v>12</v>
      </c>
      <c r="Y31" s="332">
        <v>24</v>
      </c>
      <c r="Z31" s="321" t="s">
        <v>3423</v>
      </c>
      <c r="AA31" s="321" t="s">
        <v>3423</v>
      </c>
      <c r="AB31" s="319">
        <v>15</v>
      </c>
    </row>
    <row r="32" spans="2:29" x14ac:dyDescent="0.25">
      <c r="B32" s="498">
        <v>4</v>
      </c>
      <c r="C32" s="499">
        <f t="shared" si="10"/>
        <v>11.04</v>
      </c>
      <c r="D32" s="320">
        <v>5</v>
      </c>
      <c r="E32" s="320">
        <f>VLOOKUP(D32, Equipment!$A$50:$N$66, 4, FALSE)</f>
        <v>230</v>
      </c>
      <c r="F32" s="319">
        <v>4</v>
      </c>
      <c r="G32" s="319">
        <v>1</v>
      </c>
      <c r="H32" s="320">
        <f>VLOOKUP(D32, Equipment!$A$50:$N$66, 3, FALSE)</f>
        <v>12</v>
      </c>
      <c r="I32" s="320">
        <f t="shared" si="11"/>
        <v>48</v>
      </c>
      <c r="J32" s="320">
        <f t="shared" si="12"/>
        <v>11040</v>
      </c>
      <c r="K32" s="320" t="str">
        <f>VLOOKUP(D32, Equipment!$A$50:$T$66, 20, FALSE)</f>
        <v>AGM</v>
      </c>
      <c r="L32" s="320">
        <f t="shared" si="13"/>
        <v>4</v>
      </c>
      <c r="M32" s="502">
        <f>VLOOKUP(F32, Equipment!$A$50:$T$66, 15, FALSE)</f>
        <v>1</v>
      </c>
      <c r="N32" s="330">
        <v>4</v>
      </c>
      <c r="O32" s="332" t="s">
        <v>3427</v>
      </c>
      <c r="P32" s="321" t="s">
        <v>197</v>
      </c>
      <c r="Q32" s="332">
        <v>560</v>
      </c>
      <c r="R32" s="332">
        <v>580</v>
      </c>
      <c r="S32" s="321">
        <v>0</v>
      </c>
      <c r="T32" s="321">
        <v>0</v>
      </c>
      <c r="U32" s="332">
        <v>100</v>
      </c>
      <c r="V32" s="708">
        <v>5</v>
      </c>
      <c r="W32" s="708">
        <v>1</v>
      </c>
      <c r="X32" s="332">
        <v>12</v>
      </c>
      <c r="Y32" s="332">
        <v>24</v>
      </c>
      <c r="Z32" s="321" t="s">
        <v>3423</v>
      </c>
      <c r="AA32" s="321" t="s">
        <v>3423</v>
      </c>
      <c r="AB32" s="319">
        <v>20</v>
      </c>
    </row>
    <row r="33" spans="2:28" x14ac:dyDescent="0.25">
      <c r="B33" s="498">
        <v>5</v>
      </c>
      <c r="C33" s="499">
        <f t="shared" si="10"/>
        <v>23.04</v>
      </c>
      <c r="D33" s="320">
        <v>3</v>
      </c>
      <c r="E33" s="320">
        <f>VLOOKUP(D33, Equipment!$A$50:$N$66, 4, FALSE)</f>
        <v>160</v>
      </c>
      <c r="F33" s="319">
        <v>4</v>
      </c>
      <c r="G33" s="319">
        <v>3</v>
      </c>
      <c r="H33" s="320">
        <f>VLOOKUP(D33, Equipment!$A$50:$N$66, 3, FALSE)</f>
        <v>12</v>
      </c>
      <c r="I33" s="320">
        <f t="shared" si="11"/>
        <v>48</v>
      </c>
      <c r="J33" s="320">
        <f t="shared" si="12"/>
        <v>23040</v>
      </c>
      <c r="K33" s="320" t="str">
        <f>VLOOKUP(D33, Equipment!$A$50:$T$66, 20, FALSE)</f>
        <v>Carbon.AGM</v>
      </c>
      <c r="L33" s="320">
        <f t="shared" si="13"/>
        <v>12</v>
      </c>
      <c r="M33" s="502">
        <f>VLOOKUP(F33, Equipment!$A$50:$T$66, 15, FALSE)</f>
        <v>1</v>
      </c>
      <c r="N33" s="330">
        <v>5</v>
      </c>
      <c r="O33" s="320" t="s">
        <v>3426</v>
      </c>
      <c r="P33" s="319" t="s">
        <v>197</v>
      </c>
      <c r="Q33" s="320">
        <v>1180</v>
      </c>
      <c r="R33" s="320">
        <v>0</v>
      </c>
      <c r="S33" s="319">
        <v>0</v>
      </c>
      <c r="T33" s="319">
        <v>1160</v>
      </c>
      <c r="U33" s="320">
        <v>100</v>
      </c>
      <c r="V33" s="322">
        <v>5</v>
      </c>
      <c r="W33" s="322">
        <v>1</v>
      </c>
      <c r="X33" s="320" t="s">
        <v>3423</v>
      </c>
      <c r="Y33" s="320" t="s">
        <v>3423</v>
      </c>
      <c r="Z33" s="319" t="s">
        <v>3423</v>
      </c>
      <c r="AA33" s="319">
        <v>48</v>
      </c>
      <c r="AB33" s="319">
        <v>20</v>
      </c>
    </row>
    <row r="34" spans="2:28" x14ac:dyDescent="0.25">
      <c r="B34" s="498">
        <v>6</v>
      </c>
      <c r="C34" s="499">
        <f t="shared" si="10"/>
        <v>14.4</v>
      </c>
      <c r="D34" s="320">
        <v>2</v>
      </c>
      <c r="E34" s="320">
        <f>VLOOKUP(D34, Equipment!$A$50:$N$66, 4, FALSE)</f>
        <v>100</v>
      </c>
      <c r="F34" s="319">
        <v>4</v>
      </c>
      <c r="G34" s="319">
        <v>3</v>
      </c>
      <c r="H34" s="320">
        <f>VLOOKUP(D34, Equipment!$A$50:$N$66, 3, FALSE)</f>
        <v>12</v>
      </c>
      <c r="I34" s="320">
        <f t="shared" si="11"/>
        <v>48</v>
      </c>
      <c r="J34" s="320">
        <f t="shared" si="12"/>
        <v>14400</v>
      </c>
      <c r="K34" s="320" t="str">
        <f>VLOOKUP(D34, Equipment!$A$50:$T$66, 20, FALSE)</f>
        <v>AGM</v>
      </c>
      <c r="L34" s="320">
        <f t="shared" si="13"/>
        <v>12</v>
      </c>
      <c r="M34" s="502">
        <f>VLOOKUP(F34, Equipment!$A$50:$T$66, 15, FALSE)</f>
        <v>1</v>
      </c>
      <c r="N34" s="330">
        <v>6</v>
      </c>
      <c r="O34" s="332" t="s">
        <v>3425</v>
      </c>
      <c r="P34" s="321" t="s">
        <v>197</v>
      </c>
      <c r="Q34" s="332">
        <v>440</v>
      </c>
      <c r="R34" s="332">
        <v>880</v>
      </c>
      <c r="S34" s="321">
        <v>0</v>
      </c>
      <c r="T34" s="321">
        <v>0</v>
      </c>
      <c r="U34" s="332">
        <v>100</v>
      </c>
      <c r="V34" s="708">
        <v>5</v>
      </c>
      <c r="W34" s="708">
        <v>1</v>
      </c>
      <c r="X34" s="332">
        <v>12</v>
      </c>
      <c r="Y34" s="332">
        <v>24</v>
      </c>
      <c r="Z34" s="321" t="s">
        <v>3423</v>
      </c>
      <c r="AA34" s="321" t="s">
        <v>3423</v>
      </c>
      <c r="AB34" s="319">
        <v>30</v>
      </c>
    </row>
    <row r="35" spans="2:28" x14ac:dyDescent="0.25">
      <c r="B35" s="498">
        <v>7</v>
      </c>
      <c r="C35" s="499">
        <f t="shared" si="10"/>
        <v>2.88</v>
      </c>
      <c r="D35" s="320">
        <v>1</v>
      </c>
      <c r="E35" s="320">
        <f>VLOOKUP(D35, Equipment!$A$50:$N$66, 4, FALSE)</f>
        <v>60</v>
      </c>
      <c r="F35" s="319">
        <v>4</v>
      </c>
      <c r="G35" s="319">
        <v>1</v>
      </c>
      <c r="H35" s="320">
        <f>VLOOKUP(D35, Equipment!$A$50:$N$66, 3, FALSE)</f>
        <v>12</v>
      </c>
      <c r="I35" s="320">
        <f t="shared" si="11"/>
        <v>48</v>
      </c>
      <c r="J35" s="320">
        <f t="shared" si="12"/>
        <v>2880</v>
      </c>
      <c r="K35" s="320" t="str">
        <f>VLOOKUP(D35, Equipment!$A$50:$T$66, 20, FALSE)</f>
        <v>AGM</v>
      </c>
      <c r="L35" s="320">
        <f t="shared" si="13"/>
        <v>4</v>
      </c>
      <c r="M35" s="502">
        <f>VLOOKUP(F35, Equipment!$A$50:$T$66, 15, FALSE)</f>
        <v>1</v>
      </c>
      <c r="N35" s="330">
        <v>7</v>
      </c>
      <c r="O35" s="332" t="s">
        <v>3424</v>
      </c>
      <c r="P35" s="321" t="s">
        <v>197</v>
      </c>
      <c r="Q35" s="332">
        <v>700</v>
      </c>
      <c r="R35" s="332">
        <v>1400</v>
      </c>
      <c r="S35" s="321">
        <v>0</v>
      </c>
      <c r="T35" s="321">
        <v>0</v>
      </c>
      <c r="U35" s="332">
        <v>100</v>
      </c>
      <c r="V35" s="708">
        <v>5</v>
      </c>
      <c r="W35" s="708">
        <v>1</v>
      </c>
      <c r="X35" s="332">
        <v>12</v>
      </c>
      <c r="Y35" s="332">
        <v>24</v>
      </c>
      <c r="Z35" s="321" t="s">
        <v>3423</v>
      </c>
      <c r="AA35" s="321" t="s">
        <v>3423</v>
      </c>
      <c r="AB35" s="319">
        <v>50</v>
      </c>
    </row>
    <row r="36" spans="2:28" x14ac:dyDescent="0.25">
      <c r="B36" s="498">
        <v>8</v>
      </c>
      <c r="C36" s="499">
        <f t="shared" si="10"/>
        <v>29.952000000000002</v>
      </c>
      <c r="D36" s="320">
        <v>6</v>
      </c>
      <c r="E36" s="320">
        <f>VLOOKUP(D36, Equipment!$A$50:$N$66, 4, FALSE)</f>
        <v>624</v>
      </c>
      <c r="F36" s="319">
        <v>24</v>
      </c>
      <c r="G36" s="319">
        <v>1</v>
      </c>
      <c r="H36" s="320">
        <f>VLOOKUP(D36, Equipment!$A$50:$N$66, 3, FALSE)</f>
        <v>2</v>
      </c>
      <c r="I36" s="320">
        <f t="shared" si="11"/>
        <v>48</v>
      </c>
      <c r="J36" s="320">
        <f t="shared" si="12"/>
        <v>29952</v>
      </c>
      <c r="K36" s="320" t="str">
        <f>VLOOKUP(D36, Equipment!$A$50:$T$66, 20, FALSE)</f>
        <v>Gel</v>
      </c>
      <c r="L36" s="320">
        <f t="shared" si="13"/>
        <v>24</v>
      </c>
      <c r="M36" s="502">
        <f>VLOOKUP(D36, Equipment!$A$50:$T$66, 15, FALSE)</f>
        <v>1</v>
      </c>
      <c r="N36" s="330">
        <v>8</v>
      </c>
      <c r="O36" s="320" t="s">
        <v>3422</v>
      </c>
      <c r="P36" s="319" t="s">
        <v>197</v>
      </c>
      <c r="Q36" s="320">
        <v>2000</v>
      </c>
      <c r="R36" s="320">
        <v>1000</v>
      </c>
      <c r="S36" s="320">
        <v>1500</v>
      </c>
      <c r="T36" s="320">
        <v>2000</v>
      </c>
      <c r="U36" s="320">
        <v>150</v>
      </c>
      <c r="V36" s="322">
        <v>5</v>
      </c>
      <c r="W36" s="322">
        <v>1</v>
      </c>
      <c r="X36" s="320">
        <v>12</v>
      </c>
      <c r="Y36" s="320">
        <v>24</v>
      </c>
      <c r="Z36" s="320">
        <v>36</v>
      </c>
      <c r="AA36" s="320">
        <v>48</v>
      </c>
      <c r="AB36" s="320">
        <v>40</v>
      </c>
    </row>
    <row r="37" spans="2:28" x14ac:dyDescent="0.25">
      <c r="B37" s="498">
        <v>9</v>
      </c>
      <c r="C37" s="499">
        <f t="shared" si="10"/>
        <v>10.199999999999999</v>
      </c>
      <c r="D37" s="320">
        <v>7</v>
      </c>
      <c r="E37" s="320">
        <f>VLOOKUP(D37, Equipment!$A$50:$N$66, 4, FALSE)</f>
        <v>100</v>
      </c>
      <c r="F37" s="319">
        <v>1</v>
      </c>
      <c r="G37" s="319">
        <v>2</v>
      </c>
      <c r="H37" s="320">
        <f>VLOOKUP(D37, Equipment!$A$50:$N$66, 3, FALSE)</f>
        <v>51</v>
      </c>
      <c r="I37" s="320">
        <f t="shared" si="11"/>
        <v>51</v>
      </c>
      <c r="J37" s="320">
        <f t="shared" si="12"/>
        <v>10200</v>
      </c>
      <c r="K37" s="320" t="str">
        <f>VLOOKUP(D37, Equipment!$A$50:$T$66, 20, FALSE)</f>
        <v>Lithium</v>
      </c>
      <c r="L37" s="320">
        <f t="shared" si="13"/>
        <v>2</v>
      </c>
      <c r="M37" s="502">
        <f>VLOOKUP(F37, Equipment!$A$50:$T$66, 15, FALSE)</f>
        <v>1</v>
      </c>
      <c r="N37" s="330">
        <v>9</v>
      </c>
      <c r="O37" s="320" t="s">
        <v>3421</v>
      </c>
      <c r="P37" s="319" t="s">
        <v>197</v>
      </c>
      <c r="Q37" s="320">
        <v>2600</v>
      </c>
      <c r="R37" s="320">
        <v>1300</v>
      </c>
      <c r="S37" s="320"/>
      <c r="T37" s="320">
        <v>2600</v>
      </c>
      <c r="U37" s="320">
        <v>150</v>
      </c>
      <c r="V37" s="322">
        <v>5</v>
      </c>
      <c r="W37" s="322">
        <v>1</v>
      </c>
      <c r="X37" s="320">
        <v>12</v>
      </c>
      <c r="Y37" s="320">
        <v>24</v>
      </c>
      <c r="Z37" s="320">
        <v>36</v>
      </c>
      <c r="AA37" s="320">
        <v>48</v>
      </c>
      <c r="AB37" s="320">
        <v>2600</v>
      </c>
    </row>
    <row r="38" spans="2:28" x14ac:dyDescent="0.25">
      <c r="B38" s="498">
        <v>10</v>
      </c>
      <c r="C38" s="499">
        <f t="shared" si="10"/>
        <v>30.6</v>
      </c>
      <c r="D38" s="320">
        <v>7</v>
      </c>
      <c r="E38" s="320">
        <f>VLOOKUP(D38, Equipment!$A$50:$N$66, 4, FALSE)</f>
        <v>100</v>
      </c>
      <c r="F38" s="319">
        <v>1</v>
      </c>
      <c r="G38" s="319">
        <v>6</v>
      </c>
      <c r="H38" s="320">
        <f>VLOOKUP(D38, Equipment!$A$50:$N$66, 3, FALSE)</f>
        <v>51</v>
      </c>
      <c r="I38" s="320">
        <f t="shared" si="11"/>
        <v>51</v>
      </c>
      <c r="J38" s="320">
        <f t="shared" si="12"/>
        <v>30600</v>
      </c>
      <c r="K38" s="320" t="str">
        <f>VLOOKUP(D38, Equipment!$A$50:$T$66, 20, FALSE)</f>
        <v>Lithium</v>
      </c>
      <c r="L38" s="320">
        <f t="shared" si="13"/>
        <v>6</v>
      </c>
      <c r="M38" s="502">
        <f>VLOOKUP(F38, Equipment!$A$50:$T$66, 15, FALSE)</f>
        <v>1</v>
      </c>
      <c r="N38" s="330">
        <v>10</v>
      </c>
      <c r="O38" s="320" t="s">
        <v>3420</v>
      </c>
      <c r="P38" s="319" t="s">
        <v>197</v>
      </c>
      <c r="Q38" s="320">
        <v>3400</v>
      </c>
      <c r="R38" s="320">
        <v>1720</v>
      </c>
      <c r="S38" s="320"/>
      <c r="T38" s="320">
        <v>3440</v>
      </c>
      <c r="U38" s="320">
        <v>150</v>
      </c>
      <c r="V38" s="322">
        <v>5</v>
      </c>
      <c r="W38" s="322">
        <v>1</v>
      </c>
      <c r="X38" s="320">
        <v>12</v>
      </c>
      <c r="Y38" s="320">
        <v>24</v>
      </c>
      <c r="Z38" s="320">
        <v>36</v>
      </c>
      <c r="AA38" s="320">
        <v>48</v>
      </c>
      <c r="AB38" s="320">
        <v>50</v>
      </c>
    </row>
    <row r="39" spans="2:28" x14ac:dyDescent="0.25">
      <c r="B39" s="498">
        <v>11</v>
      </c>
      <c r="C39" s="499">
        <f t="shared" si="10"/>
        <v>24.044799999999999</v>
      </c>
      <c r="D39" s="320">
        <v>11</v>
      </c>
      <c r="E39" s="320">
        <f>VLOOKUP(D39, Equipment!$A$50:$N$66, 4, FALSE)</f>
        <v>57.8</v>
      </c>
      <c r="F39" s="319">
        <v>1</v>
      </c>
      <c r="G39" s="319">
        <v>8</v>
      </c>
      <c r="H39" s="320">
        <f>VLOOKUP(D39, Equipment!$A$50:$N$66, 3, FALSE)</f>
        <v>52</v>
      </c>
      <c r="I39" s="320">
        <f t="shared" si="11"/>
        <v>52</v>
      </c>
      <c r="J39" s="320">
        <f t="shared" si="12"/>
        <v>24044.799999999999</v>
      </c>
      <c r="K39" s="320" t="str">
        <f>VLOOKUP(D39, Equipment!$A$50:$T$66, 20, FALSE)</f>
        <v>Carbon.AGM</v>
      </c>
      <c r="L39" s="320">
        <f t="shared" si="13"/>
        <v>8</v>
      </c>
      <c r="M39" s="502">
        <f>VLOOKUP(F39, Equipment!$A$50:$T$66, 15, FALSE)</f>
        <v>1</v>
      </c>
      <c r="N39" s="330">
        <v>11</v>
      </c>
      <c r="O39" s="320" t="s">
        <v>3419</v>
      </c>
      <c r="P39" s="319" t="s">
        <v>197</v>
      </c>
      <c r="Q39" s="320">
        <v>4000</v>
      </c>
      <c r="R39" s="320">
        <v>2000</v>
      </c>
      <c r="S39" s="320"/>
      <c r="T39" s="320">
        <v>4000</v>
      </c>
      <c r="U39" s="320">
        <v>150</v>
      </c>
      <c r="V39" s="322">
        <v>5</v>
      </c>
      <c r="W39" s="322">
        <v>1</v>
      </c>
      <c r="X39" s="320">
        <v>12</v>
      </c>
      <c r="Y39" s="320">
        <v>24</v>
      </c>
      <c r="Z39" s="320">
        <v>36</v>
      </c>
      <c r="AA39" s="320">
        <v>48</v>
      </c>
      <c r="AB39" s="320">
        <v>50</v>
      </c>
    </row>
    <row r="40" spans="2:28" x14ac:dyDescent="0.25">
      <c r="B40" s="498">
        <v>12</v>
      </c>
      <c r="C40" s="499">
        <f t="shared" si="10"/>
        <v>30.056000000000001</v>
      </c>
      <c r="D40" s="320">
        <v>11</v>
      </c>
      <c r="E40" s="320">
        <f>VLOOKUP(D40, Equipment!$A$50:$N$66, 4, FALSE)</f>
        <v>57.8</v>
      </c>
      <c r="F40" s="319">
        <v>1</v>
      </c>
      <c r="G40" s="319">
        <v>10</v>
      </c>
      <c r="H40" s="320">
        <f>VLOOKUP(D40, Equipment!$A$50:$N$66, 3, FALSE)</f>
        <v>52</v>
      </c>
      <c r="I40" s="320">
        <f t="shared" si="11"/>
        <v>52</v>
      </c>
      <c r="J40" s="320">
        <f t="shared" si="12"/>
        <v>30056</v>
      </c>
      <c r="K40" s="320" t="str">
        <f>VLOOKUP(D40, Equipment!$A$50:$T$66, 20, FALSE)</f>
        <v>Carbon.AGM</v>
      </c>
      <c r="L40" s="320">
        <f t="shared" si="13"/>
        <v>10</v>
      </c>
      <c r="M40" s="502">
        <f>VLOOKUP(F40, Equipment!$A$50:$T$66, 15, FALSE)</f>
        <v>1</v>
      </c>
      <c r="N40" s="330">
        <v>12</v>
      </c>
      <c r="O40" s="320" t="s">
        <v>3418</v>
      </c>
      <c r="P40" s="319" t="s">
        <v>197</v>
      </c>
      <c r="Q40" s="320">
        <v>4900</v>
      </c>
      <c r="R40" s="320">
        <v>2400</v>
      </c>
      <c r="S40" s="320"/>
      <c r="T40" s="320">
        <v>4900</v>
      </c>
      <c r="U40" s="320">
        <v>150</v>
      </c>
      <c r="V40" s="322">
        <v>5</v>
      </c>
      <c r="W40" s="322">
        <v>1</v>
      </c>
      <c r="X40" s="320">
        <v>12</v>
      </c>
      <c r="Y40" s="320">
        <v>24</v>
      </c>
      <c r="Z40" s="320">
        <v>36</v>
      </c>
      <c r="AA40" s="320">
        <v>48</v>
      </c>
      <c r="AB40" s="320">
        <v>70</v>
      </c>
    </row>
    <row r="41" spans="2:28" x14ac:dyDescent="0.25">
      <c r="B41" s="498">
        <v>13</v>
      </c>
      <c r="C41" s="499">
        <f t="shared" si="10"/>
        <v>36.0672</v>
      </c>
      <c r="D41" s="320">
        <v>11</v>
      </c>
      <c r="E41" s="320">
        <f>VLOOKUP(D41, Equipment!$A$50:$N$66, 4, FALSE)</f>
        <v>57.8</v>
      </c>
      <c r="F41" s="319">
        <v>1</v>
      </c>
      <c r="G41" s="319">
        <v>12</v>
      </c>
      <c r="H41" s="320">
        <f>VLOOKUP(D41, Equipment!$A$50:$N$66, 3, FALSE)</f>
        <v>52</v>
      </c>
      <c r="I41" s="320">
        <f t="shared" si="11"/>
        <v>52</v>
      </c>
      <c r="J41" s="320">
        <f t="shared" si="12"/>
        <v>36067.199999999997</v>
      </c>
      <c r="K41" s="320" t="str">
        <f>VLOOKUP(D41, Equipment!$A$50:$T$66, 20, FALSE)</f>
        <v>Carbon.AGM</v>
      </c>
      <c r="L41" s="320">
        <f t="shared" si="13"/>
        <v>12</v>
      </c>
      <c r="M41" s="502">
        <f>VLOOKUP(F41, Equipment!$A$50:$T$66, 15, FALSE)</f>
        <v>1</v>
      </c>
      <c r="N41" s="330">
        <v>13</v>
      </c>
      <c r="O41" s="320" t="s">
        <v>3417</v>
      </c>
      <c r="P41" s="319" t="s">
        <v>197</v>
      </c>
      <c r="Q41" s="320">
        <v>5800</v>
      </c>
      <c r="R41" s="320">
        <v>2900</v>
      </c>
      <c r="S41" s="320"/>
      <c r="T41" s="320">
        <v>5800</v>
      </c>
      <c r="U41" s="320">
        <v>150</v>
      </c>
      <c r="V41" s="322">
        <v>5</v>
      </c>
      <c r="W41" s="322">
        <v>1</v>
      </c>
      <c r="X41" s="320">
        <v>12</v>
      </c>
      <c r="Y41" s="320">
        <v>24</v>
      </c>
      <c r="Z41" s="320">
        <v>36</v>
      </c>
      <c r="AA41" s="320">
        <v>48</v>
      </c>
      <c r="AB41" s="320">
        <v>70</v>
      </c>
    </row>
    <row r="42" spans="2:28" x14ac:dyDescent="0.25">
      <c r="B42" s="498">
        <v>14</v>
      </c>
      <c r="C42" s="499">
        <f t="shared" si="10"/>
        <v>7.9872000000000005</v>
      </c>
      <c r="D42" s="320">
        <v>12</v>
      </c>
      <c r="E42" s="320">
        <f>VLOOKUP(D42, Equipment!$A$50:$N$65, 4, FALSE)</f>
        <v>78</v>
      </c>
      <c r="F42" s="319">
        <v>1</v>
      </c>
      <c r="G42" s="319">
        <v>2</v>
      </c>
      <c r="H42" s="320">
        <f>VLOOKUP(D42, Equipment!$A$50:$N$65, 3, FALSE)</f>
        <v>51.2</v>
      </c>
      <c r="I42" s="320">
        <f t="shared" si="11"/>
        <v>51.2</v>
      </c>
      <c r="J42" s="320">
        <f t="shared" si="12"/>
        <v>7987.2000000000007</v>
      </c>
      <c r="K42" s="320" t="str">
        <f>VLOOKUP(D42, Equipment!$A$50:$T$66, 20, FALSE)</f>
        <v>Lithium</v>
      </c>
      <c r="L42" s="320">
        <f t="shared" si="13"/>
        <v>2</v>
      </c>
      <c r="M42" s="502">
        <f>VLOOKUP(F42, Equipment!$A$50:$T$66, 15, FALSE)</f>
        <v>1</v>
      </c>
      <c r="N42" s="330">
        <v>14</v>
      </c>
      <c r="O42" s="320" t="s">
        <v>3416</v>
      </c>
      <c r="P42" s="319" t="s">
        <v>197</v>
      </c>
      <c r="Q42" s="320">
        <v>3400</v>
      </c>
      <c r="R42" s="320">
        <v>1720</v>
      </c>
      <c r="S42" s="320"/>
      <c r="T42" s="320">
        <v>3440</v>
      </c>
      <c r="U42" s="320">
        <v>250</v>
      </c>
      <c r="V42" s="322">
        <v>5</v>
      </c>
      <c r="W42" s="322">
        <v>1</v>
      </c>
      <c r="X42" s="320">
        <v>12</v>
      </c>
      <c r="Y42" s="320">
        <v>24</v>
      </c>
      <c r="Z42" s="320">
        <v>36</v>
      </c>
      <c r="AA42" s="320">
        <v>48</v>
      </c>
      <c r="AB42" s="320">
        <v>35</v>
      </c>
    </row>
    <row r="43" spans="2:28" x14ac:dyDescent="0.25">
      <c r="B43" s="498">
        <v>15</v>
      </c>
      <c r="C43" s="499">
        <f t="shared" si="10"/>
        <v>9.8304000000000009</v>
      </c>
      <c r="D43" s="320">
        <v>13</v>
      </c>
      <c r="E43" s="320">
        <f>VLOOKUP(D43, Equipment!$A$50:$N$65, 4, FALSE)</f>
        <v>64</v>
      </c>
      <c r="F43" s="319">
        <v>1</v>
      </c>
      <c r="G43" s="319">
        <v>3</v>
      </c>
      <c r="H43" s="320">
        <f>VLOOKUP(D43, Equipment!$A$50:$N$65, 3, FALSE)</f>
        <v>51.2</v>
      </c>
      <c r="I43" s="320">
        <f t="shared" si="11"/>
        <v>51.2</v>
      </c>
      <c r="J43" s="320">
        <f t="shared" si="12"/>
        <v>9830.4000000000015</v>
      </c>
      <c r="K43" s="320" t="str">
        <f>VLOOKUP(D43, Equipment!$A$50:$T$66, 20, FALSE)</f>
        <v>Lithium</v>
      </c>
      <c r="L43" s="320">
        <f t="shared" si="13"/>
        <v>3</v>
      </c>
      <c r="M43" s="502">
        <f>VLOOKUP(F43, Equipment!$A$50:$T$66, 15, FALSE)</f>
        <v>1</v>
      </c>
      <c r="N43" s="330">
        <v>15</v>
      </c>
      <c r="O43" s="320" t="s">
        <v>3415</v>
      </c>
      <c r="P43" s="319" t="s">
        <v>197</v>
      </c>
      <c r="Q43" s="320">
        <v>4000</v>
      </c>
      <c r="R43" s="320">
        <v>2000</v>
      </c>
      <c r="S43" s="320"/>
      <c r="T43" s="320">
        <v>4000</v>
      </c>
      <c r="U43" s="320">
        <v>250</v>
      </c>
      <c r="V43" s="322">
        <v>5</v>
      </c>
      <c r="W43" s="322">
        <v>1</v>
      </c>
      <c r="X43" s="320">
        <v>12</v>
      </c>
      <c r="Y43" s="320">
        <v>24</v>
      </c>
      <c r="Z43" s="320">
        <v>36</v>
      </c>
      <c r="AA43" s="320">
        <v>48</v>
      </c>
      <c r="AB43" s="320">
        <v>35</v>
      </c>
    </row>
    <row r="44" spans="2:28" x14ac:dyDescent="0.25">
      <c r="B44" s="498">
        <v>16</v>
      </c>
      <c r="C44" s="499">
        <f t="shared" si="10"/>
        <v>20.928000000000001</v>
      </c>
      <c r="D44" s="320">
        <v>10</v>
      </c>
      <c r="E44" s="320">
        <f>VLOOKUP(D44, Equipment!$A$50:$N$65, 4, FALSE)</f>
        <v>218</v>
      </c>
      <c r="F44" s="319">
        <v>4</v>
      </c>
      <c r="G44" s="319">
        <v>2</v>
      </c>
      <c r="H44" s="320">
        <f>VLOOKUP(D44, Equipment!$A$50:$N$65, 3, FALSE)</f>
        <v>12</v>
      </c>
      <c r="I44" s="320">
        <f t="shared" si="11"/>
        <v>48</v>
      </c>
      <c r="J44" s="320">
        <f t="shared" si="12"/>
        <v>20928</v>
      </c>
      <c r="K44" s="320" t="str">
        <f>VLOOKUP(D44, Equipment!$A$50:$T$66, 20, FALSE)</f>
        <v>Carbon.AGM</v>
      </c>
      <c r="L44" s="320">
        <f t="shared" si="13"/>
        <v>8</v>
      </c>
      <c r="M44" s="502">
        <f>VLOOKUP(F44, Equipment!$A$50:$T$66, 15, FALSE)</f>
        <v>1</v>
      </c>
      <c r="N44" s="330">
        <v>16</v>
      </c>
      <c r="O44" s="320" t="s">
        <v>3414</v>
      </c>
      <c r="P44" s="319" t="s">
        <v>197</v>
      </c>
      <c r="Q44" s="320">
        <v>4900</v>
      </c>
      <c r="R44" s="320">
        <v>2400</v>
      </c>
      <c r="S44" s="320"/>
      <c r="T44" s="320">
        <v>4900</v>
      </c>
      <c r="U44" s="320">
        <v>250</v>
      </c>
      <c r="V44" s="322">
        <v>5</v>
      </c>
      <c r="W44" s="322">
        <v>1</v>
      </c>
      <c r="X44" s="320">
        <v>12</v>
      </c>
      <c r="Y44" s="320">
        <v>24</v>
      </c>
      <c r="Z44" s="320">
        <v>36</v>
      </c>
      <c r="AA44" s="320">
        <v>48</v>
      </c>
      <c r="AB44" s="320">
        <v>70</v>
      </c>
    </row>
    <row r="45" spans="2:28" x14ac:dyDescent="0.25">
      <c r="B45" s="498">
        <v>17</v>
      </c>
      <c r="C45" s="499">
        <f t="shared" si="10"/>
        <v>45.984000000000002</v>
      </c>
      <c r="D45" s="320">
        <v>14</v>
      </c>
      <c r="E45" s="320">
        <f>VLOOKUP(D45, Equipment!$A$50:$N$65, 4, FALSE)</f>
        <v>958</v>
      </c>
      <c r="F45" s="319">
        <v>24</v>
      </c>
      <c r="G45" s="319">
        <v>1</v>
      </c>
      <c r="H45" s="320">
        <f>VLOOKUP(D45, Equipment!$A$50:$N$65, 3, FALSE)</f>
        <v>2</v>
      </c>
      <c r="I45" s="320">
        <f t="shared" si="11"/>
        <v>48</v>
      </c>
      <c r="J45" s="320">
        <f t="shared" si="12"/>
        <v>45984</v>
      </c>
      <c r="K45" s="320" t="str">
        <f>VLOOKUP(D45, Equipment!$A$50:$T$66, 20, FALSE)</f>
        <v>Gel</v>
      </c>
      <c r="L45" s="320">
        <f t="shared" si="13"/>
        <v>24</v>
      </c>
      <c r="M45" s="502">
        <f>VLOOKUP(D45, Equipment!$A$50:$T$66, 15, FALSE)</f>
        <v>1</v>
      </c>
      <c r="N45" s="330">
        <v>17</v>
      </c>
      <c r="O45" s="320" t="s">
        <v>3413</v>
      </c>
      <c r="P45" s="319" t="s">
        <v>197</v>
      </c>
      <c r="Q45" s="320">
        <v>1450</v>
      </c>
      <c r="R45" s="320">
        <v>2900</v>
      </c>
      <c r="S45" s="320"/>
      <c r="T45" s="320">
        <v>5800</v>
      </c>
      <c r="U45" s="320">
        <v>250</v>
      </c>
      <c r="V45" s="322">
        <v>5</v>
      </c>
      <c r="W45" s="322">
        <v>1</v>
      </c>
      <c r="X45" s="320">
        <v>12</v>
      </c>
      <c r="Y45" s="320">
        <v>24</v>
      </c>
      <c r="Z45" s="320">
        <v>36</v>
      </c>
      <c r="AA45" s="320">
        <v>48</v>
      </c>
      <c r="AB45" s="320">
        <v>70</v>
      </c>
    </row>
    <row r="46" spans="2:28" x14ac:dyDescent="0.25">
      <c r="B46" s="200"/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330">
        <v>18</v>
      </c>
      <c r="O46" s="320" t="s">
        <v>3412</v>
      </c>
      <c r="P46" s="320" t="s">
        <v>210</v>
      </c>
      <c r="Q46" s="320">
        <v>5000</v>
      </c>
      <c r="R46" s="320"/>
      <c r="S46" s="320"/>
      <c r="T46" s="320">
        <v>6600</v>
      </c>
      <c r="U46" s="320">
        <v>600</v>
      </c>
      <c r="V46" s="322"/>
      <c r="W46" s="322"/>
      <c r="X46" s="320"/>
      <c r="Y46" s="320"/>
      <c r="Z46" s="320"/>
      <c r="AA46" s="320"/>
      <c r="AB46" s="320">
        <v>7500</v>
      </c>
    </row>
    <row r="47" spans="2:28" x14ac:dyDescent="0.25">
      <c r="N47" s="330">
        <v>19</v>
      </c>
      <c r="O47" s="320" t="s">
        <v>3411</v>
      </c>
      <c r="P47" s="320" t="s">
        <v>210</v>
      </c>
      <c r="Q47" s="320">
        <v>6000</v>
      </c>
      <c r="R47" s="320"/>
      <c r="S47" s="320"/>
      <c r="T47" s="320">
        <v>6600</v>
      </c>
      <c r="U47" s="320">
        <v>600</v>
      </c>
      <c r="V47" s="337"/>
      <c r="W47" s="337"/>
      <c r="X47" s="175"/>
      <c r="Y47" s="175"/>
      <c r="Z47" s="175"/>
      <c r="AA47" s="175"/>
      <c r="AB47" s="175"/>
    </row>
    <row r="48" spans="2:28" x14ac:dyDescent="0.25">
      <c r="N48" s="330">
        <v>20</v>
      </c>
      <c r="O48" s="320" t="s">
        <v>3410</v>
      </c>
      <c r="P48" s="319" t="s">
        <v>197</v>
      </c>
      <c r="Q48" s="320">
        <v>5800</v>
      </c>
      <c r="R48" s="320">
        <v>2900</v>
      </c>
      <c r="S48" s="320"/>
      <c r="T48" s="320">
        <v>11600</v>
      </c>
      <c r="U48" s="320">
        <v>450</v>
      </c>
      <c r="V48" s="322">
        <v>5</v>
      </c>
      <c r="W48" s="322">
        <v>1</v>
      </c>
      <c r="X48" s="320">
        <v>12</v>
      </c>
      <c r="Y48" s="320">
        <v>24</v>
      </c>
      <c r="Z48" s="320">
        <v>36</v>
      </c>
      <c r="AA48" s="320">
        <v>48</v>
      </c>
      <c r="AB48" s="320">
        <v>70</v>
      </c>
    </row>
    <row r="49" spans="14:28" x14ac:dyDescent="0.25">
      <c r="N49" s="330">
        <v>21</v>
      </c>
      <c r="O49" s="320" t="s">
        <v>3409</v>
      </c>
      <c r="P49" s="319" t="s">
        <v>197</v>
      </c>
      <c r="Q49" s="320">
        <v>11600</v>
      </c>
      <c r="R49" s="320"/>
      <c r="S49" s="320"/>
      <c r="T49" s="320">
        <v>5800</v>
      </c>
      <c r="U49" s="320">
        <v>450</v>
      </c>
      <c r="V49" s="322">
        <v>5</v>
      </c>
      <c r="W49" s="322">
        <v>1</v>
      </c>
      <c r="X49" s="320"/>
      <c r="Y49" s="320"/>
      <c r="Z49" s="320"/>
      <c r="AA49" s="320">
        <v>48</v>
      </c>
      <c r="AB49" s="320">
        <f>T49*1.4</f>
        <v>8119.9999999999991</v>
      </c>
    </row>
    <row r="50" spans="14:28" x14ac:dyDescent="0.25">
      <c r="N50" s="330">
        <v>22</v>
      </c>
      <c r="O50" s="320" t="s">
        <v>3408</v>
      </c>
      <c r="P50" s="320" t="s">
        <v>210</v>
      </c>
      <c r="Q50" s="320">
        <v>5000</v>
      </c>
      <c r="R50" s="320"/>
      <c r="S50" s="320"/>
      <c r="T50" s="320">
        <v>5000</v>
      </c>
      <c r="U50" s="320">
        <v>600</v>
      </c>
      <c r="V50" s="322"/>
      <c r="W50" s="322"/>
      <c r="X50" s="320"/>
      <c r="Y50" s="320"/>
      <c r="Z50" s="320"/>
      <c r="AA50" s="320"/>
      <c r="AB50" s="320">
        <v>10000</v>
      </c>
    </row>
  </sheetData>
  <sheetProtection selectLockedCells="1" selectUnlockedCells="1"/>
  <mergeCells count="1">
    <mergeCell ref="X28:AA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D1FA-5365-4F04-8890-3AE7EF4F2465}">
  <sheetPr>
    <tabColor theme="7" tint="0.79998168889431442"/>
    <pageSetUpPr fitToPage="1"/>
  </sheetPr>
  <dimension ref="A1:AR101"/>
  <sheetViews>
    <sheetView topLeftCell="G1" zoomScaleNormal="100" workbookViewId="0">
      <selection activeCell="AD23" sqref="AD23"/>
    </sheetView>
  </sheetViews>
  <sheetFormatPr defaultRowHeight="15" x14ac:dyDescent="0.25"/>
  <cols>
    <col min="1" max="1" width="9.140625" customWidth="1"/>
    <col min="2" max="2" width="23.140625" customWidth="1"/>
    <col min="3" max="3" width="8.85546875" customWidth="1"/>
    <col min="4" max="4" width="9.85546875" customWidth="1"/>
    <col min="5" max="5" width="10.28515625" bestFit="1" customWidth="1"/>
    <col min="6" max="6" width="34.5703125" style="158" customWidth="1"/>
    <col min="7" max="7" width="13" style="115" customWidth="1"/>
    <col min="8" max="11" width="9.140625" style="115"/>
    <col min="12" max="12" width="10.140625" style="115" bestFit="1" customWidth="1"/>
    <col min="13" max="13" width="9.140625" style="115"/>
    <col min="14" max="14" width="9.5703125" style="115" customWidth="1"/>
    <col min="15" max="16" width="9.140625" style="115"/>
    <col min="17" max="17" width="12.140625" style="115" customWidth="1"/>
    <col min="18" max="25" width="9.140625" style="115"/>
    <col min="26" max="26" width="9.42578125" style="115" bestFit="1" customWidth="1"/>
    <col min="27" max="29" width="9.140625" style="115"/>
    <col min="30" max="30" width="18.85546875" style="115" customWidth="1"/>
    <col min="31" max="256" width="9.140625" style="115"/>
    <col min="257" max="257" width="9.140625" style="115" customWidth="1"/>
    <col min="258" max="258" width="23.140625" style="115" customWidth="1"/>
    <col min="259" max="259" width="8.85546875" style="115" customWidth="1"/>
    <col min="260" max="260" width="9.85546875" style="115" customWidth="1"/>
    <col min="261" max="261" width="10.28515625" style="115" bestFit="1" customWidth="1"/>
    <col min="262" max="262" width="34.5703125" style="115" customWidth="1"/>
    <col min="263" max="263" width="13" style="115" customWidth="1"/>
    <col min="264" max="267" width="9.140625" style="115"/>
    <col min="268" max="268" width="10.140625" style="115" bestFit="1" customWidth="1"/>
    <col min="269" max="512" width="9.140625" style="115"/>
    <col min="513" max="513" width="9.140625" style="115" customWidth="1"/>
    <col min="514" max="514" width="23.140625" style="115" customWidth="1"/>
    <col min="515" max="515" width="8.85546875" style="115" customWidth="1"/>
    <col min="516" max="516" width="9.85546875" style="115" customWidth="1"/>
    <col min="517" max="517" width="10.28515625" style="115" bestFit="1" customWidth="1"/>
    <col min="518" max="518" width="34.5703125" style="115" customWidth="1"/>
    <col min="519" max="519" width="13" style="115" customWidth="1"/>
    <col min="520" max="523" width="9.140625" style="115"/>
    <col min="524" max="524" width="10.140625" style="115" bestFit="1" customWidth="1"/>
    <col min="525" max="768" width="9.140625" style="115"/>
    <col min="769" max="769" width="9.140625" style="115" customWidth="1"/>
    <col min="770" max="770" width="23.140625" style="115" customWidth="1"/>
    <col min="771" max="771" width="8.85546875" style="115" customWidth="1"/>
    <col min="772" max="772" width="9.85546875" style="115" customWidth="1"/>
    <col min="773" max="773" width="10.28515625" style="115" bestFit="1" customWidth="1"/>
    <col min="774" max="774" width="34.5703125" style="115" customWidth="1"/>
    <col min="775" max="775" width="13" style="115" customWidth="1"/>
    <col min="776" max="779" width="9.140625" style="115"/>
    <col min="780" max="780" width="10.140625" style="115" bestFit="1" customWidth="1"/>
    <col min="781" max="1024" width="9.140625" style="115"/>
    <col min="1025" max="1025" width="9.140625" style="115" customWidth="1"/>
    <col min="1026" max="1026" width="23.140625" style="115" customWidth="1"/>
    <col min="1027" max="1027" width="8.85546875" style="115" customWidth="1"/>
    <col min="1028" max="1028" width="9.85546875" style="115" customWidth="1"/>
    <col min="1029" max="1029" width="10.28515625" style="115" bestFit="1" customWidth="1"/>
    <col min="1030" max="1030" width="34.5703125" style="115" customWidth="1"/>
    <col min="1031" max="1031" width="13" style="115" customWidth="1"/>
    <col min="1032" max="1035" width="9.140625" style="115"/>
    <col min="1036" max="1036" width="10.140625" style="115" bestFit="1" customWidth="1"/>
    <col min="1037" max="1280" width="9.140625" style="115"/>
    <col min="1281" max="1281" width="9.140625" style="115" customWidth="1"/>
    <col min="1282" max="1282" width="23.140625" style="115" customWidth="1"/>
    <col min="1283" max="1283" width="8.85546875" style="115" customWidth="1"/>
    <col min="1284" max="1284" width="9.85546875" style="115" customWidth="1"/>
    <col min="1285" max="1285" width="10.28515625" style="115" bestFit="1" customWidth="1"/>
    <col min="1286" max="1286" width="34.5703125" style="115" customWidth="1"/>
    <col min="1287" max="1287" width="13" style="115" customWidth="1"/>
    <col min="1288" max="1291" width="9.140625" style="115"/>
    <col min="1292" max="1292" width="10.140625" style="115" bestFit="1" customWidth="1"/>
    <col min="1293" max="1536" width="9.140625" style="115"/>
    <col min="1537" max="1537" width="9.140625" style="115" customWidth="1"/>
    <col min="1538" max="1538" width="23.140625" style="115" customWidth="1"/>
    <col min="1539" max="1539" width="8.85546875" style="115" customWidth="1"/>
    <col min="1540" max="1540" width="9.85546875" style="115" customWidth="1"/>
    <col min="1541" max="1541" width="10.28515625" style="115" bestFit="1" customWidth="1"/>
    <col min="1542" max="1542" width="34.5703125" style="115" customWidth="1"/>
    <col min="1543" max="1543" width="13" style="115" customWidth="1"/>
    <col min="1544" max="1547" width="9.140625" style="115"/>
    <col min="1548" max="1548" width="10.140625" style="115" bestFit="1" customWidth="1"/>
    <col min="1549" max="1792" width="9.140625" style="115"/>
    <col min="1793" max="1793" width="9.140625" style="115" customWidth="1"/>
    <col min="1794" max="1794" width="23.140625" style="115" customWidth="1"/>
    <col min="1795" max="1795" width="8.85546875" style="115" customWidth="1"/>
    <col min="1796" max="1796" width="9.85546875" style="115" customWidth="1"/>
    <col min="1797" max="1797" width="10.28515625" style="115" bestFit="1" customWidth="1"/>
    <col min="1798" max="1798" width="34.5703125" style="115" customWidth="1"/>
    <col min="1799" max="1799" width="13" style="115" customWidth="1"/>
    <col min="1800" max="1803" width="9.140625" style="115"/>
    <col min="1804" max="1804" width="10.140625" style="115" bestFit="1" customWidth="1"/>
    <col min="1805" max="2048" width="9.140625" style="115"/>
    <col min="2049" max="2049" width="9.140625" style="115" customWidth="1"/>
    <col min="2050" max="2050" width="23.140625" style="115" customWidth="1"/>
    <col min="2051" max="2051" width="8.85546875" style="115" customWidth="1"/>
    <col min="2052" max="2052" width="9.85546875" style="115" customWidth="1"/>
    <col min="2053" max="2053" width="10.28515625" style="115" bestFit="1" customWidth="1"/>
    <col min="2054" max="2054" width="34.5703125" style="115" customWidth="1"/>
    <col min="2055" max="2055" width="13" style="115" customWidth="1"/>
    <col min="2056" max="2059" width="9.140625" style="115"/>
    <col min="2060" max="2060" width="10.140625" style="115" bestFit="1" customWidth="1"/>
    <col min="2061" max="2304" width="9.140625" style="115"/>
    <col min="2305" max="2305" width="9.140625" style="115" customWidth="1"/>
    <col min="2306" max="2306" width="23.140625" style="115" customWidth="1"/>
    <col min="2307" max="2307" width="8.85546875" style="115" customWidth="1"/>
    <col min="2308" max="2308" width="9.85546875" style="115" customWidth="1"/>
    <col min="2309" max="2309" width="10.28515625" style="115" bestFit="1" customWidth="1"/>
    <col min="2310" max="2310" width="34.5703125" style="115" customWidth="1"/>
    <col min="2311" max="2311" width="13" style="115" customWidth="1"/>
    <col min="2312" max="2315" width="9.140625" style="115"/>
    <col min="2316" max="2316" width="10.140625" style="115" bestFit="1" customWidth="1"/>
    <col min="2317" max="2560" width="9.140625" style="115"/>
    <col min="2561" max="2561" width="9.140625" style="115" customWidth="1"/>
    <col min="2562" max="2562" width="23.140625" style="115" customWidth="1"/>
    <col min="2563" max="2563" width="8.85546875" style="115" customWidth="1"/>
    <col min="2564" max="2564" width="9.85546875" style="115" customWidth="1"/>
    <col min="2565" max="2565" width="10.28515625" style="115" bestFit="1" customWidth="1"/>
    <col min="2566" max="2566" width="34.5703125" style="115" customWidth="1"/>
    <col min="2567" max="2567" width="13" style="115" customWidth="1"/>
    <col min="2568" max="2571" width="9.140625" style="115"/>
    <col min="2572" max="2572" width="10.140625" style="115" bestFit="1" customWidth="1"/>
    <col min="2573" max="2816" width="9.140625" style="115"/>
    <col min="2817" max="2817" width="9.140625" style="115" customWidth="1"/>
    <col min="2818" max="2818" width="23.140625" style="115" customWidth="1"/>
    <col min="2819" max="2819" width="8.85546875" style="115" customWidth="1"/>
    <col min="2820" max="2820" width="9.85546875" style="115" customWidth="1"/>
    <col min="2821" max="2821" width="10.28515625" style="115" bestFit="1" customWidth="1"/>
    <col min="2822" max="2822" width="34.5703125" style="115" customWidth="1"/>
    <col min="2823" max="2823" width="13" style="115" customWidth="1"/>
    <col min="2824" max="2827" width="9.140625" style="115"/>
    <col min="2828" max="2828" width="10.140625" style="115" bestFit="1" customWidth="1"/>
    <col min="2829" max="3072" width="9.140625" style="115"/>
    <col min="3073" max="3073" width="9.140625" style="115" customWidth="1"/>
    <col min="3074" max="3074" width="23.140625" style="115" customWidth="1"/>
    <col min="3075" max="3075" width="8.85546875" style="115" customWidth="1"/>
    <col min="3076" max="3076" width="9.85546875" style="115" customWidth="1"/>
    <col min="3077" max="3077" width="10.28515625" style="115" bestFit="1" customWidth="1"/>
    <col min="3078" max="3078" width="34.5703125" style="115" customWidth="1"/>
    <col min="3079" max="3079" width="13" style="115" customWidth="1"/>
    <col min="3080" max="3083" width="9.140625" style="115"/>
    <col min="3084" max="3084" width="10.140625" style="115" bestFit="1" customWidth="1"/>
    <col min="3085" max="3328" width="9.140625" style="115"/>
    <col min="3329" max="3329" width="9.140625" style="115" customWidth="1"/>
    <col min="3330" max="3330" width="23.140625" style="115" customWidth="1"/>
    <col min="3331" max="3331" width="8.85546875" style="115" customWidth="1"/>
    <col min="3332" max="3332" width="9.85546875" style="115" customWidth="1"/>
    <col min="3333" max="3333" width="10.28515625" style="115" bestFit="1" customWidth="1"/>
    <col min="3334" max="3334" width="34.5703125" style="115" customWidth="1"/>
    <col min="3335" max="3335" width="13" style="115" customWidth="1"/>
    <col min="3336" max="3339" width="9.140625" style="115"/>
    <col min="3340" max="3340" width="10.140625" style="115" bestFit="1" customWidth="1"/>
    <col min="3341" max="3584" width="9.140625" style="115"/>
    <col min="3585" max="3585" width="9.140625" style="115" customWidth="1"/>
    <col min="3586" max="3586" width="23.140625" style="115" customWidth="1"/>
    <col min="3587" max="3587" width="8.85546875" style="115" customWidth="1"/>
    <col min="3588" max="3588" width="9.85546875" style="115" customWidth="1"/>
    <col min="3589" max="3589" width="10.28515625" style="115" bestFit="1" customWidth="1"/>
    <col min="3590" max="3590" width="34.5703125" style="115" customWidth="1"/>
    <col min="3591" max="3591" width="13" style="115" customWidth="1"/>
    <col min="3592" max="3595" width="9.140625" style="115"/>
    <col min="3596" max="3596" width="10.140625" style="115" bestFit="1" customWidth="1"/>
    <col min="3597" max="3840" width="9.140625" style="115"/>
    <col min="3841" max="3841" width="9.140625" style="115" customWidth="1"/>
    <col min="3842" max="3842" width="23.140625" style="115" customWidth="1"/>
    <col min="3843" max="3843" width="8.85546875" style="115" customWidth="1"/>
    <col min="3844" max="3844" width="9.85546875" style="115" customWidth="1"/>
    <col min="3845" max="3845" width="10.28515625" style="115" bestFit="1" customWidth="1"/>
    <col min="3846" max="3846" width="34.5703125" style="115" customWidth="1"/>
    <col min="3847" max="3847" width="13" style="115" customWidth="1"/>
    <col min="3848" max="3851" width="9.140625" style="115"/>
    <col min="3852" max="3852" width="10.140625" style="115" bestFit="1" customWidth="1"/>
    <col min="3853" max="4096" width="9.140625" style="115"/>
    <col min="4097" max="4097" width="9.140625" style="115" customWidth="1"/>
    <col min="4098" max="4098" width="23.140625" style="115" customWidth="1"/>
    <col min="4099" max="4099" width="8.85546875" style="115" customWidth="1"/>
    <col min="4100" max="4100" width="9.85546875" style="115" customWidth="1"/>
    <col min="4101" max="4101" width="10.28515625" style="115" bestFit="1" customWidth="1"/>
    <col min="4102" max="4102" width="34.5703125" style="115" customWidth="1"/>
    <col min="4103" max="4103" width="13" style="115" customWidth="1"/>
    <col min="4104" max="4107" width="9.140625" style="115"/>
    <col min="4108" max="4108" width="10.140625" style="115" bestFit="1" customWidth="1"/>
    <col min="4109" max="4352" width="9.140625" style="115"/>
    <col min="4353" max="4353" width="9.140625" style="115" customWidth="1"/>
    <col min="4354" max="4354" width="23.140625" style="115" customWidth="1"/>
    <col min="4355" max="4355" width="8.85546875" style="115" customWidth="1"/>
    <col min="4356" max="4356" width="9.85546875" style="115" customWidth="1"/>
    <col min="4357" max="4357" width="10.28515625" style="115" bestFit="1" customWidth="1"/>
    <col min="4358" max="4358" width="34.5703125" style="115" customWidth="1"/>
    <col min="4359" max="4359" width="13" style="115" customWidth="1"/>
    <col min="4360" max="4363" width="9.140625" style="115"/>
    <col min="4364" max="4364" width="10.140625" style="115" bestFit="1" customWidth="1"/>
    <col min="4365" max="4608" width="9.140625" style="115"/>
    <col min="4609" max="4609" width="9.140625" style="115" customWidth="1"/>
    <col min="4610" max="4610" width="23.140625" style="115" customWidth="1"/>
    <col min="4611" max="4611" width="8.85546875" style="115" customWidth="1"/>
    <col min="4612" max="4612" width="9.85546875" style="115" customWidth="1"/>
    <col min="4613" max="4613" width="10.28515625" style="115" bestFit="1" customWidth="1"/>
    <col min="4614" max="4614" width="34.5703125" style="115" customWidth="1"/>
    <col min="4615" max="4615" width="13" style="115" customWidth="1"/>
    <col min="4616" max="4619" width="9.140625" style="115"/>
    <col min="4620" max="4620" width="10.140625" style="115" bestFit="1" customWidth="1"/>
    <col min="4621" max="4864" width="9.140625" style="115"/>
    <col min="4865" max="4865" width="9.140625" style="115" customWidth="1"/>
    <col min="4866" max="4866" width="23.140625" style="115" customWidth="1"/>
    <col min="4867" max="4867" width="8.85546875" style="115" customWidth="1"/>
    <col min="4868" max="4868" width="9.85546875" style="115" customWidth="1"/>
    <col min="4869" max="4869" width="10.28515625" style="115" bestFit="1" customWidth="1"/>
    <col min="4870" max="4870" width="34.5703125" style="115" customWidth="1"/>
    <col min="4871" max="4871" width="13" style="115" customWidth="1"/>
    <col min="4872" max="4875" width="9.140625" style="115"/>
    <col min="4876" max="4876" width="10.140625" style="115" bestFit="1" customWidth="1"/>
    <col min="4877" max="5120" width="9.140625" style="115"/>
    <col min="5121" max="5121" width="9.140625" style="115" customWidth="1"/>
    <col min="5122" max="5122" width="23.140625" style="115" customWidth="1"/>
    <col min="5123" max="5123" width="8.85546875" style="115" customWidth="1"/>
    <col min="5124" max="5124" width="9.85546875" style="115" customWidth="1"/>
    <col min="5125" max="5125" width="10.28515625" style="115" bestFit="1" customWidth="1"/>
    <col min="5126" max="5126" width="34.5703125" style="115" customWidth="1"/>
    <col min="5127" max="5127" width="13" style="115" customWidth="1"/>
    <col min="5128" max="5131" width="9.140625" style="115"/>
    <col min="5132" max="5132" width="10.140625" style="115" bestFit="1" customWidth="1"/>
    <col min="5133" max="5376" width="9.140625" style="115"/>
    <col min="5377" max="5377" width="9.140625" style="115" customWidth="1"/>
    <col min="5378" max="5378" width="23.140625" style="115" customWidth="1"/>
    <col min="5379" max="5379" width="8.85546875" style="115" customWidth="1"/>
    <col min="5380" max="5380" width="9.85546875" style="115" customWidth="1"/>
    <col min="5381" max="5381" width="10.28515625" style="115" bestFit="1" customWidth="1"/>
    <col min="5382" max="5382" width="34.5703125" style="115" customWidth="1"/>
    <col min="5383" max="5383" width="13" style="115" customWidth="1"/>
    <col min="5384" max="5387" width="9.140625" style="115"/>
    <col min="5388" max="5388" width="10.140625" style="115" bestFit="1" customWidth="1"/>
    <col min="5389" max="5632" width="9.140625" style="115"/>
    <col min="5633" max="5633" width="9.140625" style="115" customWidth="1"/>
    <col min="5634" max="5634" width="23.140625" style="115" customWidth="1"/>
    <col min="5635" max="5635" width="8.85546875" style="115" customWidth="1"/>
    <col min="5636" max="5636" width="9.85546875" style="115" customWidth="1"/>
    <col min="5637" max="5637" width="10.28515625" style="115" bestFit="1" customWidth="1"/>
    <col min="5638" max="5638" width="34.5703125" style="115" customWidth="1"/>
    <col min="5639" max="5639" width="13" style="115" customWidth="1"/>
    <col min="5640" max="5643" width="9.140625" style="115"/>
    <col min="5644" max="5644" width="10.140625" style="115" bestFit="1" customWidth="1"/>
    <col min="5645" max="5888" width="9.140625" style="115"/>
    <col min="5889" max="5889" width="9.140625" style="115" customWidth="1"/>
    <col min="5890" max="5890" width="23.140625" style="115" customWidth="1"/>
    <col min="5891" max="5891" width="8.85546875" style="115" customWidth="1"/>
    <col min="5892" max="5892" width="9.85546875" style="115" customWidth="1"/>
    <col min="5893" max="5893" width="10.28515625" style="115" bestFit="1" customWidth="1"/>
    <col min="5894" max="5894" width="34.5703125" style="115" customWidth="1"/>
    <col min="5895" max="5895" width="13" style="115" customWidth="1"/>
    <col min="5896" max="5899" width="9.140625" style="115"/>
    <col min="5900" max="5900" width="10.140625" style="115" bestFit="1" customWidth="1"/>
    <col min="5901" max="6144" width="9.140625" style="115"/>
    <col min="6145" max="6145" width="9.140625" style="115" customWidth="1"/>
    <col min="6146" max="6146" width="23.140625" style="115" customWidth="1"/>
    <col min="6147" max="6147" width="8.85546875" style="115" customWidth="1"/>
    <col min="6148" max="6148" width="9.85546875" style="115" customWidth="1"/>
    <col min="6149" max="6149" width="10.28515625" style="115" bestFit="1" customWidth="1"/>
    <col min="6150" max="6150" width="34.5703125" style="115" customWidth="1"/>
    <col min="6151" max="6151" width="13" style="115" customWidth="1"/>
    <col min="6152" max="6155" width="9.140625" style="115"/>
    <col min="6156" max="6156" width="10.140625" style="115" bestFit="1" customWidth="1"/>
    <col min="6157" max="6400" width="9.140625" style="115"/>
    <col min="6401" max="6401" width="9.140625" style="115" customWidth="1"/>
    <col min="6402" max="6402" width="23.140625" style="115" customWidth="1"/>
    <col min="6403" max="6403" width="8.85546875" style="115" customWidth="1"/>
    <col min="6404" max="6404" width="9.85546875" style="115" customWidth="1"/>
    <col min="6405" max="6405" width="10.28515625" style="115" bestFit="1" customWidth="1"/>
    <col min="6406" max="6406" width="34.5703125" style="115" customWidth="1"/>
    <col min="6407" max="6407" width="13" style="115" customWidth="1"/>
    <col min="6408" max="6411" width="9.140625" style="115"/>
    <col min="6412" max="6412" width="10.140625" style="115" bestFit="1" customWidth="1"/>
    <col min="6413" max="6656" width="9.140625" style="115"/>
    <col min="6657" max="6657" width="9.140625" style="115" customWidth="1"/>
    <col min="6658" max="6658" width="23.140625" style="115" customWidth="1"/>
    <col min="6659" max="6659" width="8.85546875" style="115" customWidth="1"/>
    <col min="6660" max="6660" width="9.85546875" style="115" customWidth="1"/>
    <col min="6661" max="6661" width="10.28515625" style="115" bestFit="1" customWidth="1"/>
    <col min="6662" max="6662" width="34.5703125" style="115" customWidth="1"/>
    <col min="6663" max="6663" width="13" style="115" customWidth="1"/>
    <col min="6664" max="6667" width="9.140625" style="115"/>
    <col min="6668" max="6668" width="10.140625" style="115" bestFit="1" customWidth="1"/>
    <col min="6669" max="6912" width="9.140625" style="115"/>
    <col min="6913" max="6913" width="9.140625" style="115" customWidth="1"/>
    <col min="6914" max="6914" width="23.140625" style="115" customWidth="1"/>
    <col min="6915" max="6915" width="8.85546875" style="115" customWidth="1"/>
    <col min="6916" max="6916" width="9.85546875" style="115" customWidth="1"/>
    <col min="6917" max="6917" width="10.28515625" style="115" bestFit="1" customWidth="1"/>
    <col min="6918" max="6918" width="34.5703125" style="115" customWidth="1"/>
    <col min="6919" max="6919" width="13" style="115" customWidth="1"/>
    <col min="6920" max="6923" width="9.140625" style="115"/>
    <col min="6924" max="6924" width="10.140625" style="115" bestFit="1" customWidth="1"/>
    <col min="6925" max="7168" width="9.140625" style="115"/>
    <col min="7169" max="7169" width="9.140625" style="115" customWidth="1"/>
    <col min="7170" max="7170" width="23.140625" style="115" customWidth="1"/>
    <col min="7171" max="7171" width="8.85546875" style="115" customWidth="1"/>
    <col min="7172" max="7172" width="9.85546875" style="115" customWidth="1"/>
    <col min="7173" max="7173" width="10.28515625" style="115" bestFit="1" customWidth="1"/>
    <col min="7174" max="7174" width="34.5703125" style="115" customWidth="1"/>
    <col min="7175" max="7175" width="13" style="115" customWidth="1"/>
    <col min="7176" max="7179" width="9.140625" style="115"/>
    <col min="7180" max="7180" width="10.140625" style="115" bestFit="1" customWidth="1"/>
    <col min="7181" max="7424" width="9.140625" style="115"/>
    <col min="7425" max="7425" width="9.140625" style="115" customWidth="1"/>
    <col min="7426" max="7426" width="23.140625" style="115" customWidth="1"/>
    <col min="7427" max="7427" width="8.85546875" style="115" customWidth="1"/>
    <col min="7428" max="7428" width="9.85546875" style="115" customWidth="1"/>
    <col min="7429" max="7429" width="10.28515625" style="115" bestFit="1" customWidth="1"/>
    <col min="7430" max="7430" width="34.5703125" style="115" customWidth="1"/>
    <col min="7431" max="7431" width="13" style="115" customWidth="1"/>
    <col min="7432" max="7435" width="9.140625" style="115"/>
    <col min="7436" max="7436" width="10.140625" style="115" bestFit="1" customWidth="1"/>
    <col min="7437" max="7680" width="9.140625" style="115"/>
    <col min="7681" max="7681" width="9.140625" style="115" customWidth="1"/>
    <col min="7682" max="7682" width="23.140625" style="115" customWidth="1"/>
    <col min="7683" max="7683" width="8.85546875" style="115" customWidth="1"/>
    <col min="7684" max="7684" width="9.85546875" style="115" customWidth="1"/>
    <col min="7685" max="7685" width="10.28515625" style="115" bestFit="1" customWidth="1"/>
    <col min="7686" max="7686" width="34.5703125" style="115" customWidth="1"/>
    <col min="7687" max="7687" width="13" style="115" customWidth="1"/>
    <col min="7688" max="7691" width="9.140625" style="115"/>
    <col min="7692" max="7692" width="10.140625" style="115" bestFit="1" customWidth="1"/>
    <col min="7693" max="7936" width="9.140625" style="115"/>
    <col min="7937" max="7937" width="9.140625" style="115" customWidth="1"/>
    <col min="7938" max="7938" width="23.140625" style="115" customWidth="1"/>
    <col min="7939" max="7939" width="8.85546875" style="115" customWidth="1"/>
    <col min="7940" max="7940" width="9.85546875" style="115" customWidth="1"/>
    <col min="7941" max="7941" width="10.28515625" style="115" bestFit="1" customWidth="1"/>
    <col min="7942" max="7942" width="34.5703125" style="115" customWidth="1"/>
    <col min="7943" max="7943" width="13" style="115" customWidth="1"/>
    <col min="7944" max="7947" width="9.140625" style="115"/>
    <col min="7948" max="7948" width="10.140625" style="115" bestFit="1" customWidth="1"/>
    <col min="7949" max="8192" width="9.140625" style="115"/>
    <col min="8193" max="8193" width="9.140625" style="115" customWidth="1"/>
    <col min="8194" max="8194" width="23.140625" style="115" customWidth="1"/>
    <col min="8195" max="8195" width="8.85546875" style="115" customWidth="1"/>
    <col min="8196" max="8196" width="9.85546875" style="115" customWidth="1"/>
    <col min="8197" max="8197" width="10.28515625" style="115" bestFit="1" customWidth="1"/>
    <col min="8198" max="8198" width="34.5703125" style="115" customWidth="1"/>
    <col min="8199" max="8199" width="13" style="115" customWidth="1"/>
    <col min="8200" max="8203" width="9.140625" style="115"/>
    <col min="8204" max="8204" width="10.140625" style="115" bestFit="1" customWidth="1"/>
    <col min="8205" max="8448" width="9.140625" style="115"/>
    <col min="8449" max="8449" width="9.140625" style="115" customWidth="1"/>
    <col min="8450" max="8450" width="23.140625" style="115" customWidth="1"/>
    <col min="8451" max="8451" width="8.85546875" style="115" customWidth="1"/>
    <col min="8452" max="8452" width="9.85546875" style="115" customWidth="1"/>
    <col min="8453" max="8453" width="10.28515625" style="115" bestFit="1" customWidth="1"/>
    <col min="8454" max="8454" width="34.5703125" style="115" customWidth="1"/>
    <col min="8455" max="8455" width="13" style="115" customWidth="1"/>
    <col min="8456" max="8459" width="9.140625" style="115"/>
    <col min="8460" max="8460" width="10.140625" style="115" bestFit="1" customWidth="1"/>
    <col min="8461" max="8704" width="9.140625" style="115"/>
    <col min="8705" max="8705" width="9.140625" style="115" customWidth="1"/>
    <col min="8706" max="8706" width="23.140625" style="115" customWidth="1"/>
    <col min="8707" max="8707" width="8.85546875" style="115" customWidth="1"/>
    <col min="8708" max="8708" width="9.85546875" style="115" customWidth="1"/>
    <col min="8709" max="8709" width="10.28515625" style="115" bestFit="1" customWidth="1"/>
    <col min="8710" max="8710" width="34.5703125" style="115" customWidth="1"/>
    <col min="8711" max="8711" width="13" style="115" customWidth="1"/>
    <col min="8712" max="8715" width="9.140625" style="115"/>
    <col min="8716" max="8716" width="10.140625" style="115" bestFit="1" customWidth="1"/>
    <col min="8717" max="8960" width="9.140625" style="115"/>
    <col min="8961" max="8961" width="9.140625" style="115" customWidth="1"/>
    <col min="8962" max="8962" width="23.140625" style="115" customWidth="1"/>
    <col min="8963" max="8963" width="8.85546875" style="115" customWidth="1"/>
    <col min="8964" max="8964" width="9.85546875" style="115" customWidth="1"/>
    <col min="8965" max="8965" width="10.28515625" style="115" bestFit="1" customWidth="1"/>
    <col min="8966" max="8966" width="34.5703125" style="115" customWidth="1"/>
    <col min="8967" max="8967" width="13" style="115" customWidth="1"/>
    <col min="8968" max="8971" width="9.140625" style="115"/>
    <col min="8972" max="8972" width="10.140625" style="115" bestFit="1" customWidth="1"/>
    <col min="8973" max="9216" width="9.140625" style="115"/>
    <col min="9217" max="9217" width="9.140625" style="115" customWidth="1"/>
    <col min="9218" max="9218" width="23.140625" style="115" customWidth="1"/>
    <col min="9219" max="9219" width="8.85546875" style="115" customWidth="1"/>
    <col min="9220" max="9220" width="9.85546875" style="115" customWidth="1"/>
    <col min="9221" max="9221" width="10.28515625" style="115" bestFit="1" customWidth="1"/>
    <col min="9222" max="9222" width="34.5703125" style="115" customWidth="1"/>
    <col min="9223" max="9223" width="13" style="115" customWidth="1"/>
    <col min="9224" max="9227" width="9.140625" style="115"/>
    <col min="9228" max="9228" width="10.140625" style="115" bestFit="1" customWidth="1"/>
    <col min="9229" max="9472" width="9.140625" style="115"/>
    <col min="9473" max="9473" width="9.140625" style="115" customWidth="1"/>
    <col min="9474" max="9474" width="23.140625" style="115" customWidth="1"/>
    <col min="9475" max="9475" width="8.85546875" style="115" customWidth="1"/>
    <col min="9476" max="9476" width="9.85546875" style="115" customWidth="1"/>
    <col min="9477" max="9477" width="10.28515625" style="115" bestFit="1" customWidth="1"/>
    <col min="9478" max="9478" width="34.5703125" style="115" customWidth="1"/>
    <col min="9479" max="9479" width="13" style="115" customWidth="1"/>
    <col min="9480" max="9483" width="9.140625" style="115"/>
    <col min="9484" max="9484" width="10.140625" style="115" bestFit="1" customWidth="1"/>
    <col min="9485" max="9728" width="9.140625" style="115"/>
    <col min="9729" max="9729" width="9.140625" style="115" customWidth="1"/>
    <col min="9730" max="9730" width="23.140625" style="115" customWidth="1"/>
    <col min="9731" max="9731" width="8.85546875" style="115" customWidth="1"/>
    <col min="9732" max="9732" width="9.85546875" style="115" customWidth="1"/>
    <col min="9733" max="9733" width="10.28515625" style="115" bestFit="1" customWidth="1"/>
    <col min="9734" max="9734" width="34.5703125" style="115" customWidth="1"/>
    <col min="9735" max="9735" width="13" style="115" customWidth="1"/>
    <col min="9736" max="9739" width="9.140625" style="115"/>
    <col min="9740" max="9740" width="10.140625" style="115" bestFit="1" customWidth="1"/>
    <col min="9741" max="9984" width="9.140625" style="115"/>
    <col min="9985" max="9985" width="9.140625" style="115" customWidth="1"/>
    <col min="9986" max="9986" width="23.140625" style="115" customWidth="1"/>
    <col min="9987" max="9987" width="8.85546875" style="115" customWidth="1"/>
    <col min="9988" max="9988" width="9.85546875" style="115" customWidth="1"/>
    <col min="9989" max="9989" width="10.28515625" style="115" bestFit="1" customWidth="1"/>
    <col min="9990" max="9990" width="34.5703125" style="115" customWidth="1"/>
    <col min="9991" max="9991" width="13" style="115" customWidth="1"/>
    <col min="9992" max="9995" width="9.140625" style="115"/>
    <col min="9996" max="9996" width="10.140625" style="115" bestFit="1" customWidth="1"/>
    <col min="9997" max="10240" width="9.140625" style="115"/>
    <col min="10241" max="10241" width="9.140625" style="115" customWidth="1"/>
    <col min="10242" max="10242" width="23.140625" style="115" customWidth="1"/>
    <col min="10243" max="10243" width="8.85546875" style="115" customWidth="1"/>
    <col min="10244" max="10244" width="9.85546875" style="115" customWidth="1"/>
    <col min="10245" max="10245" width="10.28515625" style="115" bestFit="1" customWidth="1"/>
    <col min="10246" max="10246" width="34.5703125" style="115" customWidth="1"/>
    <col min="10247" max="10247" width="13" style="115" customWidth="1"/>
    <col min="10248" max="10251" width="9.140625" style="115"/>
    <col min="10252" max="10252" width="10.140625" style="115" bestFit="1" customWidth="1"/>
    <col min="10253" max="10496" width="9.140625" style="115"/>
    <col min="10497" max="10497" width="9.140625" style="115" customWidth="1"/>
    <col min="10498" max="10498" width="23.140625" style="115" customWidth="1"/>
    <col min="10499" max="10499" width="8.85546875" style="115" customWidth="1"/>
    <col min="10500" max="10500" width="9.85546875" style="115" customWidth="1"/>
    <col min="10501" max="10501" width="10.28515625" style="115" bestFit="1" customWidth="1"/>
    <col min="10502" max="10502" width="34.5703125" style="115" customWidth="1"/>
    <col min="10503" max="10503" width="13" style="115" customWidth="1"/>
    <col min="10504" max="10507" width="9.140625" style="115"/>
    <col min="10508" max="10508" width="10.140625" style="115" bestFit="1" customWidth="1"/>
    <col min="10509" max="10752" width="9.140625" style="115"/>
    <col min="10753" max="10753" width="9.140625" style="115" customWidth="1"/>
    <col min="10754" max="10754" width="23.140625" style="115" customWidth="1"/>
    <col min="10755" max="10755" width="8.85546875" style="115" customWidth="1"/>
    <col min="10756" max="10756" width="9.85546875" style="115" customWidth="1"/>
    <col min="10757" max="10757" width="10.28515625" style="115" bestFit="1" customWidth="1"/>
    <col min="10758" max="10758" width="34.5703125" style="115" customWidth="1"/>
    <col min="10759" max="10759" width="13" style="115" customWidth="1"/>
    <col min="10760" max="10763" width="9.140625" style="115"/>
    <col min="10764" max="10764" width="10.140625" style="115" bestFit="1" customWidth="1"/>
    <col min="10765" max="11008" width="9.140625" style="115"/>
    <col min="11009" max="11009" width="9.140625" style="115" customWidth="1"/>
    <col min="11010" max="11010" width="23.140625" style="115" customWidth="1"/>
    <col min="11011" max="11011" width="8.85546875" style="115" customWidth="1"/>
    <col min="11012" max="11012" width="9.85546875" style="115" customWidth="1"/>
    <col min="11013" max="11013" width="10.28515625" style="115" bestFit="1" customWidth="1"/>
    <col min="11014" max="11014" width="34.5703125" style="115" customWidth="1"/>
    <col min="11015" max="11015" width="13" style="115" customWidth="1"/>
    <col min="11016" max="11019" width="9.140625" style="115"/>
    <col min="11020" max="11020" width="10.140625" style="115" bestFit="1" customWidth="1"/>
    <col min="11021" max="11264" width="9.140625" style="115"/>
    <col min="11265" max="11265" width="9.140625" style="115" customWidth="1"/>
    <col min="11266" max="11266" width="23.140625" style="115" customWidth="1"/>
    <col min="11267" max="11267" width="8.85546875" style="115" customWidth="1"/>
    <col min="11268" max="11268" width="9.85546875" style="115" customWidth="1"/>
    <col min="11269" max="11269" width="10.28515625" style="115" bestFit="1" customWidth="1"/>
    <col min="11270" max="11270" width="34.5703125" style="115" customWidth="1"/>
    <col min="11271" max="11271" width="13" style="115" customWidth="1"/>
    <col min="11272" max="11275" width="9.140625" style="115"/>
    <col min="11276" max="11276" width="10.140625" style="115" bestFit="1" customWidth="1"/>
    <col min="11277" max="11520" width="9.140625" style="115"/>
    <col min="11521" max="11521" width="9.140625" style="115" customWidth="1"/>
    <col min="11522" max="11522" width="23.140625" style="115" customWidth="1"/>
    <col min="11523" max="11523" width="8.85546875" style="115" customWidth="1"/>
    <col min="11524" max="11524" width="9.85546875" style="115" customWidth="1"/>
    <col min="11525" max="11525" width="10.28515625" style="115" bestFit="1" customWidth="1"/>
    <col min="11526" max="11526" width="34.5703125" style="115" customWidth="1"/>
    <col min="11527" max="11527" width="13" style="115" customWidth="1"/>
    <col min="11528" max="11531" width="9.140625" style="115"/>
    <col min="11532" max="11532" width="10.140625" style="115" bestFit="1" customWidth="1"/>
    <col min="11533" max="11776" width="9.140625" style="115"/>
    <col min="11777" max="11777" width="9.140625" style="115" customWidth="1"/>
    <col min="11778" max="11778" width="23.140625" style="115" customWidth="1"/>
    <col min="11779" max="11779" width="8.85546875" style="115" customWidth="1"/>
    <col min="11780" max="11780" width="9.85546875" style="115" customWidth="1"/>
    <col min="11781" max="11781" width="10.28515625" style="115" bestFit="1" customWidth="1"/>
    <col min="11782" max="11782" width="34.5703125" style="115" customWidth="1"/>
    <col min="11783" max="11783" width="13" style="115" customWidth="1"/>
    <col min="11784" max="11787" width="9.140625" style="115"/>
    <col min="11788" max="11788" width="10.140625" style="115" bestFit="1" customWidth="1"/>
    <col min="11789" max="12032" width="9.140625" style="115"/>
    <col min="12033" max="12033" width="9.140625" style="115" customWidth="1"/>
    <col min="12034" max="12034" width="23.140625" style="115" customWidth="1"/>
    <col min="12035" max="12035" width="8.85546875" style="115" customWidth="1"/>
    <col min="12036" max="12036" width="9.85546875" style="115" customWidth="1"/>
    <col min="12037" max="12037" width="10.28515625" style="115" bestFit="1" customWidth="1"/>
    <col min="12038" max="12038" width="34.5703125" style="115" customWidth="1"/>
    <col min="12039" max="12039" width="13" style="115" customWidth="1"/>
    <col min="12040" max="12043" width="9.140625" style="115"/>
    <col min="12044" max="12044" width="10.140625" style="115" bestFit="1" customWidth="1"/>
    <col min="12045" max="12288" width="9.140625" style="115"/>
    <col min="12289" max="12289" width="9.140625" style="115" customWidth="1"/>
    <col min="12290" max="12290" width="23.140625" style="115" customWidth="1"/>
    <col min="12291" max="12291" width="8.85546875" style="115" customWidth="1"/>
    <col min="12292" max="12292" width="9.85546875" style="115" customWidth="1"/>
    <col min="12293" max="12293" width="10.28515625" style="115" bestFit="1" customWidth="1"/>
    <col min="12294" max="12294" width="34.5703125" style="115" customWidth="1"/>
    <col min="12295" max="12295" width="13" style="115" customWidth="1"/>
    <col min="12296" max="12299" width="9.140625" style="115"/>
    <col min="12300" max="12300" width="10.140625" style="115" bestFit="1" customWidth="1"/>
    <col min="12301" max="12544" width="9.140625" style="115"/>
    <col min="12545" max="12545" width="9.140625" style="115" customWidth="1"/>
    <col min="12546" max="12546" width="23.140625" style="115" customWidth="1"/>
    <col min="12547" max="12547" width="8.85546875" style="115" customWidth="1"/>
    <col min="12548" max="12548" width="9.85546875" style="115" customWidth="1"/>
    <col min="12549" max="12549" width="10.28515625" style="115" bestFit="1" customWidth="1"/>
    <col min="12550" max="12550" width="34.5703125" style="115" customWidth="1"/>
    <col min="12551" max="12551" width="13" style="115" customWidth="1"/>
    <col min="12552" max="12555" width="9.140625" style="115"/>
    <col min="12556" max="12556" width="10.140625" style="115" bestFit="1" customWidth="1"/>
    <col min="12557" max="12800" width="9.140625" style="115"/>
    <col min="12801" max="12801" width="9.140625" style="115" customWidth="1"/>
    <col min="12802" max="12802" width="23.140625" style="115" customWidth="1"/>
    <col min="12803" max="12803" width="8.85546875" style="115" customWidth="1"/>
    <col min="12804" max="12804" width="9.85546875" style="115" customWidth="1"/>
    <col min="12805" max="12805" width="10.28515625" style="115" bestFit="1" customWidth="1"/>
    <col min="12806" max="12806" width="34.5703125" style="115" customWidth="1"/>
    <col min="12807" max="12807" width="13" style="115" customWidth="1"/>
    <col min="12808" max="12811" width="9.140625" style="115"/>
    <col min="12812" max="12812" width="10.140625" style="115" bestFit="1" customWidth="1"/>
    <col min="12813" max="13056" width="9.140625" style="115"/>
    <col min="13057" max="13057" width="9.140625" style="115" customWidth="1"/>
    <col min="13058" max="13058" width="23.140625" style="115" customWidth="1"/>
    <col min="13059" max="13059" width="8.85546875" style="115" customWidth="1"/>
    <col min="13060" max="13060" width="9.85546875" style="115" customWidth="1"/>
    <col min="13061" max="13061" width="10.28515625" style="115" bestFit="1" customWidth="1"/>
    <col min="13062" max="13062" width="34.5703125" style="115" customWidth="1"/>
    <col min="13063" max="13063" width="13" style="115" customWidth="1"/>
    <col min="13064" max="13067" width="9.140625" style="115"/>
    <col min="13068" max="13068" width="10.140625" style="115" bestFit="1" customWidth="1"/>
    <col min="13069" max="13312" width="9.140625" style="115"/>
    <col min="13313" max="13313" width="9.140625" style="115" customWidth="1"/>
    <col min="13314" max="13314" width="23.140625" style="115" customWidth="1"/>
    <col min="13315" max="13315" width="8.85546875" style="115" customWidth="1"/>
    <col min="13316" max="13316" width="9.85546875" style="115" customWidth="1"/>
    <col min="13317" max="13317" width="10.28515625" style="115" bestFit="1" customWidth="1"/>
    <col min="13318" max="13318" width="34.5703125" style="115" customWidth="1"/>
    <col min="13319" max="13319" width="13" style="115" customWidth="1"/>
    <col min="13320" max="13323" width="9.140625" style="115"/>
    <col min="13324" max="13324" width="10.140625" style="115" bestFit="1" customWidth="1"/>
    <col min="13325" max="13568" width="9.140625" style="115"/>
    <col min="13569" max="13569" width="9.140625" style="115" customWidth="1"/>
    <col min="13570" max="13570" width="23.140625" style="115" customWidth="1"/>
    <col min="13571" max="13571" width="8.85546875" style="115" customWidth="1"/>
    <col min="13572" max="13572" width="9.85546875" style="115" customWidth="1"/>
    <col min="13573" max="13573" width="10.28515625" style="115" bestFit="1" customWidth="1"/>
    <col min="13574" max="13574" width="34.5703125" style="115" customWidth="1"/>
    <col min="13575" max="13575" width="13" style="115" customWidth="1"/>
    <col min="13576" max="13579" width="9.140625" style="115"/>
    <col min="13580" max="13580" width="10.140625" style="115" bestFit="1" customWidth="1"/>
    <col min="13581" max="13824" width="9.140625" style="115"/>
    <col min="13825" max="13825" width="9.140625" style="115" customWidth="1"/>
    <col min="13826" max="13826" width="23.140625" style="115" customWidth="1"/>
    <col min="13827" max="13827" width="8.85546875" style="115" customWidth="1"/>
    <col min="13828" max="13828" width="9.85546875" style="115" customWidth="1"/>
    <col min="13829" max="13829" width="10.28515625" style="115" bestFit="1" customWidth="1"/>
    <col min="13830" max="13830" width="34.5703125" style="115" customWidth="1"/>
    <col min="13831" max="13831" width="13" style="115" customWidth="1"/>
    <col min="13832" max="13835" width="9.140625" style="115"/>
    <col min="13836" max="13836" width="10.140625" style="115" bestFit="1" customWidth="1"/>
    <col min="13837" max="14080" width="9.140625" style="115"/>
    <col min="14081" max="14081" width="9.140625" style="115" customWidth="1"/>
    <col min="14082" max="14082" width="23.140625" style="115" customWidth="1"/>
    <col min="14083" max="14083" width="8.85546875" style="115" customWidth="1"/>
    <col min="14084" max="14084" width="9.85546875" style="115" customWidth="1"/>
    <col min="14085" max="14085" width="10.28515625" style="115" bestFit="1" customWidth="1"/>
    <col min="14086" max="14086" width="34.5703125" style="115" customWidth="1"/>
    <col min="14087" max="14087" width="13" style="115" customWidth="1"/>
    <col min="14088" max="14091" width="9.140625" style="115"/>
    <col min="14092" max="14092" width="10.140625" style="115" bestFit="1" customWidth="1"/>
    <col min="14093" max="14336" width="9.140625" style="115"/>
    <col min="14337" max="14337" width="9.140625" style="115" customWidth="1"/>
    <col min="14338" max="14338" width="23.140625" style="115" customWidth="1"/>
    <col min="14339" max="14339" width="8.85546875" style="115" customWidth="1"/>
    <col min="14340" max="14340" width="9.85546875" style="115" customWidth="1"/>
    <col min="14341" max="14341" width="10.28515625" style="115" bestFit="1" customWidth="1"/>
    <col min="14342" max="14342" width="34.5703125" style="115" customWidth="1"/>
    <col min="14343" max="14343" width="13" style="115" customWidth="1"/>
    <col min="14344" max="14347" width="9.140625" style="115"/>
    <col min="14348" max="14348" width="10.140625" style="115" bestFit="1" customWidth="1"/>
    <col min="14349" max="14592" width="9.140625" style="115"/>
    <col min="14593" max="14593" width="9.140625" style="115" customWidth="1"/>
    <col min="14594" max="14594" width="23.140625" style="115" customWidth="1"/>
    <col min="14595" max="14595" width="8.85546875" style="115" customWidth="1"/>
    <col min="14596" max="14596" width="9.85546875" style="115" customWidth="1"/>
    <col min="14597" max="14597" width="10.28515625" style="115" bestFit="1" customWidth="1"/>
    <col min="14598" max="14598" width="34.5703125" style="115" customWidth="1"/>
    <col min="14599" max="14599" width="13" style="115" customWidth="1"/>
    <col min="14600" max="14603" width="9.140625" style="115"/>
    <col min="14604" max="14604" width="10.140625" style="115" bestFit="1" customWidth="1"/>
    <col min="14605" max="14848" width="9.140625" style="115"/>
    <col min="14849" max="14849" width="9.140625" style="115" customWidth="1"/>
    <col min="14850" max="14850" width="23.140625" style="115" customWidth="1"/>
    <col min="14851" max="14851" width="8.85546875" style="115" customWidth="1"/>
    <col min="14852" max="14852" width="9.85546875" style="115" customWidth="1"/>
    <col min="14853" max="14853" width="10.28515625" style="115" bestFit="1" customWidth="1"/>
    <col min="14854" max="14854" width="34.5703125" style="115" customWidth="1"/>
    <col min="14855" max="14855" width="13" style="115" customWidth="1"/>
    <col min="14856" max="14859" width="9.140625" style="115"/>
    <col min="14860" max="14860" width="10.140625" style="115" bestFit="1" customWidth="1"/>
    <col min="14861" max="15104" width="9.140625" style="115"/>
    <col min="15105" max="15105" width="9.140625" style="115" customWidth="1"/>
    <col min="15106" max="15106" width="23.140625" style="115" customWidth="1"/>
    <col min="15107" max="15107" width="8.85546875" style="115" customWidth="1"/>
    <col min="15108" max="15108" width="9.85546875" style="115" customWidth="1"/>
    <col min="15109" max="15109" width="10.28515625" style="115" bestFit="1" customWidth="1"/>
    <col min="15110" max="15110" width="34.5703125" style="115" customWidth="1"/>
    <col min="15111" max="15111" width="13" style="115" customWidth="1"/>
    <col min="15112" max="15115" width="9.140625" style="115"/>
    <col min="15116" max="15116" width="10.140625" style="115" bestFit="1" customWidth="1"/>
    <col min="15117" max="15360" width="9.140625" style="115"/>
    <col min="15361" max="15361" width="9.140625" style="115" customWidth="1"/>
    <col min="15362" max="15362" width="23.140625" style="115" customWidth="1"/>
    <col min="15363" max="15363" width="8.85546875" style="115" customWidth="1"/>
    <col min="15364" max="15364" width="9.85546875" style="115" customWidth="1"/>
    <col min="15365" max="15365" width="10.28515625" style="115" bestFit="1" customWidth="1"/>
    <col min="15366" max="15366" width="34.5703125" style="115" customWidth="1"/>
    <col min="15367" max="15367" width="13" style="115" customWidth="1"/>
    <col min="15368" max="15371" width="9.140625" style="115"/>
    <col min="15372" max="15372" width="10.140625" style="115" bestFit="1" customWidth="1"/>
    <col min="15373" max="15616" width="9.140625" style="115"/>
    <col min="15617" max="15617" width="9.140625" style="115" customWidth="1"/>
    <col min="15618" max="15618" width="23.140625" style="115" customWidth="1"/>
    <col min="15619" max="15619" width="8.85546875" style="115" customWidth="1"/>
    <col min="15620" max="15620" width="9.85546875" style="115" customWidth="1"/>
    <col min="15621" max="15621" width="10.28515625" style="115" bestFit="1" customWidth="1"/>
    <col min="15622" max="15622" width="34.5703125" style="115" customWidth="1"/>
    <col min="15623" max="15623" width="13" style="115" customWidth="1"/>
    <col min="15624" max="15627" width="9.140625" style="115"/>
    <col min="15628" max="15628" width="10.140625" style="115" bestFit="1" customWidth="1"/>
    <col min="15629" max="15872" width="9.140625" style="115"/>
    <col min="15873" max="15873" width="9.140625" style="115" customWidth="1"/>
    <col min="15874" max="15874" width="23.140625" style="115" customWidth="1"/>
    <col min="15875" max="15875" width="8.85546875" style="115" customWidth="1"/>
    <col min="15876" max="15876" width="9.85546875" style="115" customWidth="1"/>
    <col min="15877" max="15877" width="10.28515625" style="115" bestFit="1" customWidth="1"/>
    <col min="15878" max="15878" width="34.5703125" style="115" customWidth="1"/>
    <col min="15879" max="15879" width="13" style="115" customWidth="1"/>
    <col min="15880" max="15883" width="9.140625" style="115"/>
    <col min="15884" max="15884" width="10.140625" style="115" bestFit="1" customWidth="1"/>
    <col min="15885" max="16128" width="9.140625" style="115"/>
    <col min="16129" max="16129" width="9.140625" style="115" customWidth="1"/>
    <col min="16130" max="16130" width="23.140625" style="115" customWidth="1"/>
    <col min="16131" max="16131" width="8.85546875" style="115" customWidth="1"/>
    <col min="16132" max="16132" width="9.85546875" style="115" customWidth="1"/>
    <col min="16133" max="16133" width="10.28515625" style="115" bestFit="1" customWidth="1"/>
    <col min="16134" max="16134" width="34.5703125" style="115" customWidth="1"/>
    <col min="16135" max="16135" width="13" style="115" customWidth="1"/>
    <col min="16136" max="16139" width="9.140625" style="115"/>
    <col min="16140" max="16140" width="10.140625" style="115" bestFit="1" customWidth="1"/>
    <col min="16141" max="16384" width="9.140625" style="115"/>
  </cols>
  <sheetData>
    <row r="1" spans="1:27" x14ac:dyDescent="0.25">
      <c r="A1" s="112"/>
      <c r="B1" s="112" t="s">
        <v>2990</v>
      </c>
      <c r="C1" s="112"/>
      <c r="D1" s="112"/>
      <c r="E1" s="112"/>
      <c r="F1" s="113">
        <f ca="1">TODAY()</f>
        <v>45379</v>
      </c>
      <c r="G1" s="114"/>
    </row>
    <row r="2" spans="1:27" ht="27" customHeight="1" x14ac:dyDescent="0.3">
      <c r="A2" s="112"/>
      <c r="B2" s="116" t="s">
        <v>3542</v>
      </c>
      <c r="C2" s="112"/>
      <c r="D2" s="112"/>
      <c r="E2" s="117" t="str">
        <f>[1]Loads!L3</f>
        <v>EC114</v>
      </c>
      <c r="F2" s="457" t="str">
        <f>[1]Loads!M2</f>
        <v>Lindeman island</v>
      </c>
      <c r="G2" s="114"/>
    </row>
    <row r="3" spans="1:27" x14ac:dyDescent="0.25">
      <c r="A3" s="112"/>
      <c r="B3" s="112"/>
      <c r="C3" s="112"/>
      <c r="D3" s="112"/>
      <c r="E3" s="112"/>
      <c r="F3" s="122" t="s">
        <v>3008</v>
      </c>
      <c r="G3" s="114"/>
    </row>
    <row r="4" spans="1:27" x14ac:dyDescent="0.25">
      <c r="A4" s="126" t="s">
        <v>3009</v>
      </c>
      <c r="B4" s="127" t="s">
        <v>3010</v>
      </c>
      <c r="C4" s="127" t="s">
        <v>3011</v>
      </c>
      <c r="D4" s="127" t="s">
        <v>3012</v>
      </c>
      <c r="E4" s="128" t="s">
        <v>3013</v>
      </c>
      <c r="F4" s="127" t="s">
        <v>3014</v>
      </c>
      <c r="G4" s="114"/>
    </row>
    <row r="5" spans="1:27" x14ac:dyDescent="0.25">
      <c r="A5" s="458" t="s">
        <v>3069</v>
      </c>
      <c r="B5" s="133" t="s">
        <v>3017</v>
      </c>
      <c r="C5" s="134">
        <f>[1]Calculator!F7</f>
        <v>3</v>
      </c>
      <c r="D5" s="132"/>
      <c r="E5" s="132"/>
      <c r="F5" s="135"/>
      <c r="G5" s="114"/>
    </row>
    <row r="6" spans="1:27" x14ac:dyDescent="0.25">
      <c r="A6" s="139" t="s">
        <v>3019</v>
      </c>
      <c r="B6" s="140" t="s">
        <v>3020</v>
      </c>
      <c r="C6" s="141">
        <f>C24*C25</f>
        <v>6</v>
      </c>
      <c r="D6" s="142"/>
      <c r="E6" s="106"/>
      <c r="F6" s="143"/>
      <c r="G6" s="114"/>
      <c r="I6" s="144"/>
      <c r="J6" s="145"/>
      <c r="K6" s="144"/>
      <c r="L6" s="144"/>
      <c r="M6" s="144"/>
      <c r="N6" s="144"/>
      <c r="O6" s="144"/>
      <c r="P6" s="144"/>
      <c r="Q6" s="146"/>
      <c r="R6" s="146"/>
      <c r="S6" s="144"/>
      <c r="T6" s="144"/>
      <c r="U6" s="144"/>
      <c r="V6" s="144"/>
      <c r="W6" s="144"/>
      <c r="X6" s="144"/>
      <c r="Y6" s="144"/>
      <c r="Z6" s="144"/>
      <c r="AA6" s="144"/>
    </row>
    <row r="7" spans="1:27" ht="18.75" x14ac:dyDescent="0.3">
      <c r="A7" s="147"/>
      <c r="B7" s="140" t="s">
        <v>2</v>
      </c>
      <c r="C7" s="148" t="str">
        <f>VLOOKUP(VLOOKUP(C$5, '[1]Arrays-Banks'!$C$4:$X$15, 2, FALSE), Equipment!$A$69:$T$78, 3, FALSE)</f>
        <v>Trina</v>
      </c>
      <c r="D7" s="142"/>
      <c r="E7" s="106"/>
      <c r="F7" s="149" t="s">
        <v>3021</v>
      </c>
      <c r="G7" s="114"/>
      <c r="I7" s="144"/>
      <c r="J7" s="741" t="str">
        <f>I25</f>
        <v>Array 2</v>
      </c>
      <c r="K7" s="741"/>
      <c r="L7" s="144"/>
      <c r="M7" s="144"/>
      <c r="N7" s="144"/>
      <c r="O7" s="150" t="str">
        <f>"Solar Calculations "</f>
        <v xml:space="preserve">Solar Calculations </v>
      </c>
      <c r="P7" s="144"/>
      <c r="Q7" s="146"/>
      <c r="R7" s="146"/>
      <c r="S7" s="144"/>
      <c r="T7" s="144"/>
      <c r="U7" s="144"/>
      <c r="V7" s="144"/>
      <c r="W7" s="144" t="s">
        <v>3022</v>
      </c>
      <c r="X7" s="151" t="s">
        <v>133</v>
      </c>
      <c r="Y7" s="144" t="str">
        <f>E2</f>
        <v>EC114</v>
      </c>
      <c r="Z7" s="144"/>
      <c r="AA7" s="144"/>
    </row>
    <row r="8" spans="1:27" ht="15.75" x14ac:dyDescent="0.25">
      <c r="A8" s="147"/>
      <c r="B8" s="140" t="s">
        <v>3024</v>
      </c>
      <c r="C8" s="152" t="str">
        <f>VLOOKUP(VLOOKUP(C$5, '[1]Arrays-Banks'!$C$4:$X$15, 2, FALSE), Equipment!$A$69:$T$78, 4, FALSE)</f>
        <v xml:space="preserve">TSM-DE18M(II) </v>
      </c>
      <c r="E8" s="106"/>
      <c r="F8" s="153"/>
      <c r="G8" s="114"/>
      <c r="I8" s="144"/>
      <c r="J8" s="145" t="s">
        <v>3025</v>
      </c>
      <c r="K8" s="144"/>
      <c r="L8" s="154" t="s">
        <v>3026</v>
      </c>
      <c r="M8" s="144"/>
      <c r="N8" s="144"/>
      <c r="O8" s="144"/>
      <c r="P8" s="144"/>
      <c r="Q8" s="146"/>
      <c r="R8" s="146"/>
      <c r="S8" s="144"/>
      <c r="T8" s="144"/>
      <c r="U8" s="144"/>
      <c r="V8" s="144"/>
      <c r="W8" s="144"/>
      <c r="X8" s="144"/>
      <c r="Y8" s="742" t="str">
        <f>F2</f>
        <v>Lindeman island</v>
      </c>
      <c r="Z8" s="742"/>
      <c r="AA8" s="742"/>
    </row>
    <row r="9" spans="1:27" x14ac:dyDescent="0.25">
      <c r="A9" s="147"/>
      <c r="B9" s="140" t="s">
        <v>3027</v>
      </c>
      <c r="C9" s="141">
        <f>VLOOKUP(C$5, '[1]Arrays-Banks'!$C$4:$X$15, 3, FALSE)</f>
        <v>500</v>
      </c>
      <c r="D9" t="s">
        <v>3028</v>
      </c>
      <c r="E9" s="106"/>
      <c r="F9" s="155"/>
      <c r="G9" s="114"/>
      <c r="I9" s="144"/>
      <c r="J9" s="144" t="s">
        <v>3029</v>
      </c>
      <c r="K9" s="144"/>
      <c r="L9" s="156">
        <f>C41</f>
        <v>0</v>
      </c>
      <c r="M9" s="144"/>
      <c r="N9" s="144"/>
      <c r="O9" s="144"/>
      <c r="P9" s="144"/>
      <c r="Q9" s="146"/>
      <c r="R9" s="146"/>
      <c r="S9" s="144"/>
      <c r="T9" s="144"/>
      <c r="U9" s="144"/>
      <c r="V9" s="144"/>
      <c r="W9" s="144"/>
      <c r="X9" s="144"/>
      <c r="Y9" s="742"/>
      <c r="Z9" s="742"/>
      <c r="AA9" s="742"/>
    </row>
    <row r="10" spans="1:27" x14ac:dyDescent="0.25">
      <c r="A10" s="147"/>
      <c r="B10" s="140" t="s">
        <v>3030</v>
      </c>
      <c r="C10" s="141" t="str">
        <f>VLOOKUP(C$5, '[1]Arrays-Banks'!$C$4:$X$15, 9, FALSE)</f>
        <v>42.8 V</v>
      </c>
      <c r="D10" t="s">
        <v>3031</v>
      </c>
      <c r="E10" s="106"/>
      <c r="F10" s="155"/>
      <c r="G10" s="114"/>
      <c r="I10" s="144"/>
      <c r="J10" s="144" t="s">
        <v>3032</v>
      </c>
      <c r="K10" s="144"/>
      <c r="L10" s="156">
        <f>C40</f>
        <v>20</v>
      </c>
      <c r="M10" s="144"/>
      <c r="N10" s="144"/>
      <c r="O10" s="144"/>
      <c r="P10" s="144"/>
      <c r="Q10" s="146"/>
      <c r="R10" s="146"/>
      <c r="S10" s="144"/>
      <c r="T10" s="144"/>
      <c r="U10" s="144"/>
      <c r="V10" s="144"/>
      <c r="W10" s="144"/>
      <c r="X10" s="144"/>
      <c r="Y10" s="144" t="str">
        <f>F4</f>
        <v>Comments</v>
      </c>
      <c r="Z10" s="144"/>
      <c r="AA10" s="144"/>
    </row>
    <row r="11" spans="1:27" x14ac:dyDescent="0.25">
      <c r="A11" s="147"/>
      <c r="B11" s="140" t="s">
        <v>3033</v>
      </c>
      <c r="C11" s="141">
        <f>VLOOKUP(C$5, '[1]Arrays-Banks'!$C$4:$X$15, 10, FALSE)</f>
        <v>11.69</v>
      </c>
      <c r="D11" t="s">
        <v>133</v>
      </c>
      <c r="E11" s="106"/>
      <c r="F11" s="153"/>
      <c r="G11" s="114"/>
      <c r="I11" s="144"/>
      <c r="J11" s="144" t="s">
        <v>3034</v>
      </c>
      <c r="K11" s="144"/>
      <c r="L11" s="157">
        <f>C30</f>
        <v>3000</v>
      </c>
      <c r="M11" s="144" t="s">
        <v>3028</v>
      </c>
      <c r="N11" s="144"/>
      <c r="O11" s="144"/>
      <c r="P11" s="144"/>
      <c r="Q11" s="146"/>
      <c r="R11" s="146"/>
      <c r="S11" s="144"/>
      <c r="T11" s="144"/>
      <c r="U11" s="144"/>
      <c r="V11" s="144"/>
      <c r="W11" s="144"/>
      <c r="X11" s="144"/>
      <c r="Y11" s="742"/>
      <c r="Z11" s="742"/>
      <c r="AA11" s="742"/>
    </row>
    <row r="12" spans="1:27" x14ac:dyDescent="0.25">
      <c r="A12" s="147"/>
      <c r="B12" s="140" t="s">
        <v>3035</v>
      </c>
      <c r="C12" s="141">
        <f>VLOOKUP(C$5, '[1]Arrays-Banks'!$C$4:$X$15, 11, FALSE)</f>
        <v>51.7</v>
      </c>
      <c r="D12" t="s">
        <v>3031</v>
      </c>
      <c r="E12" s="106"/>
      <c r="G12" s="114"/>
      <c r="I12" s="144"/>
      <c r="J12" s="144" t="s">
        <v>3036</v>
      </c>
      <c r="K12" s="144">
        <f>C6</f>
        <v>6</v>
      </c>
      <c r="L12" s="144">
        <f>C9</f>
        <v>500</v>
      </c>
      <c r="M12" s="144" t="s">
        <v>3028</v>
      </c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742"/>
      <c r="Z12" s="742"/>
      <c r="AA12" s="742"/>
    </row>
    <row r="13" spans="1:27" ht="15" customHeight="1" x14ac:dyDescent="0.25">
      <c r="A13" s="147"/>
      <c r="B13" s="140" t="s">
        <v>3037</v>
      </c>
      <c r="C13" s="141">
        <f>VLOOKUP(C$5, '[1]Arrays-Banks'!$C$4:$X$15, 12, FALSE)</f>
        <v>12.28</v>
      </c>
      <c r="D13" t="s">
        <v>133</v>
      </c>
      <c r="E13" s="106"/>
      <c r="G13" s="114"/>
      <c r="I13" s="144"/>
      <c r="J13" s="144" t="str">
        <f>C37</f>
        <v>Cairns</v>
      </c>
      <c r="K13" s="144">
        <f ca="1">VLOOKUP(C41, INDIRECT("'Solar-tables'!"&amp;VLOOKUP(J13, '[1]Solar-tables'!O2:P11, 2, FALSE)), (ROUND(C40, 10)/10+2), FALSE)</f>
        <v>1</v>
      </c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59">
        <f ca="1">TODAY()</f>
        <v>45379</v>
      </c>
      <c r="AA13" s="144"/>
    </row>
    <row r="14" spans="1:27" x14ac:dyDescent="0.25">
      <c r="A14" s="147"/>
      <c r="B14" s="140" t="s">
        <v>3038</v>
      </c>
      <c r="C14" s="141">
        <f>VLOOKUP(C$5, '[1]Arrays-Banks'!$C$4:$X$15, 13, FALSE)</f>
        <v>15.67</v>
      </c>
      <c r="D14" t="s">
        <v>3039</v>
      </c>
      <c r="E14" s="106"/>
      <c r="G14" s="114"/>
      <c r="I14" s="144">
        <v>0.05</v>
      </c>
      <c r="J14" s="160">
        <f>1-I14</f>
        <v>0.95</v>
      </c>
      <c r="K14" s="144" t="s">
        <v>3040</v>
      </c>
      <c r="L14" s="144"/>
      <c r="M14" s="161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62" t="s">
        <v>3041</v>
      </c>
      <c r="AA14" s="144"/>
    </row>
    <row r="15" spans="1:27" x14ac:dyDescent="0.25">
      <c r="A15" s="147"/>
      <c r="B15" s="140" t="s">
        <v>3042</v>
      </c>
      <c r="C15" s="141">
        <f>VLOOKUP(C$5, '[1]Arrays-Banks'!$C$4:$X$15, 14, FALSE)</f>
        <v>15</v>
      </c>
      <c r="D15" t="s">
        <v>133</v>
      </c>
      <c r="E15" s="106"/>
      <c r="F15" s="163" t="s">
        <v>3043</v>
      </c>
      <c r="G15" s="114" t="s">
        <v>3044</v>
      </c>
      <c r="I15" s="144">
        <v>0.03</v>
      </c>
      <c r="J15" s="160">
        <f>1-I15</f>
        <v>0.97</v>
      </c>
      <c r="K15" s="144" t="s">
        <v>3045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62" t="s">
        <v>2990</v>
      </c>
      <c r="AA15" s="144"/>
    </row>
    <row r="16" spans="1:27" x14ac:dyDescent="0.25">
      <c r="A16" s="147"/>
      <c r="B16" s="140" t="s">
        <v>3046</v>
      </c>
      <c r="C16" s="141">
        <f>VLOOKUP(C$5, '[1]Arrays-Banks'!$C$4:$X$15, 15, FALSE)</f>
        <v>5</v>
      </c>
      <c r="D16" t="s">
        <v>3047</v>
      </c>
      <c r="E16" s="106"/>
      <c r="G16" s="114"/>
      <c r="I16" s="144">
        <f>C18/100</f>
        <v>-3.5999999999999999E-3</v>
      </c>
      <c r="J16" s="160">
        <f>1+I16*(C26-25)</f>
        <v>0.94491999999999998</v>
      </c>
      <c r="K16" s="144" t="s">
        <v>3048</v>
      </c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64" t="s">
        <v>3049</v>
      </c>
      <c r="AA16" s="144"/>
    </row>
    <row r="17" spans="1:44" x14ac:dyDescent="0.25">
      <c r="A17" s="147"/>
      <c r="B17" s="140" t="s">
        <v>3050</v>
      </c>
      <c r="C17" s="141">
        <f>VLOOKUP(C$5, '[1]Arrays-Banks'!$C$4:$X$15, 16, FALSE)</f>
        <v>-0.26</v>
      </c>
      <c r="D17" t="s">
        <v>3051</v>
      </c>
      <c r="E17" t="s">
        <v>3052</v>
      </c>
      <c r="G17" s="114"/>
      <c r="I17" s="144"/>
      <c r="J17" s="144" t="s">
        <v>3053</v>
      </c>
      <c r="K17" s="144"/>
      <c r="L17" s="165">
        <f>C57</f>
        <v>14.399999999999999</v>
      </c>
      <c r="M17" s="144" t="s">
        <v>3054</v>
      </c>
      <c r="N17" s="144"/>
      <c r="O17" s="144"/>
      <c r="P17" s="144"/>
      <c r="Q17" s="144"/>
      <c r="R17" s="144"/>
      <c r="S17" s="144"/>
      <c r="T17" s="144"/>
      <c r="U17" s="166"/>
      <c r="V17" s="166"/>
      <c r="W17" s="166"/>
      <c r="X17" s="166"/>
      <c r="Y17" s="166"/>
      <c r="Z17" s="164" t="s">
        <v>3055</v>
      </c>
      <c r="AA17" s="144"/>
      <c r="AE17" s="167" t="str">
        <f>C37</f>
        <v>Cairns</v>
      </c>
      <c r="AF17" s="168">
        <f ca="1">IF($C40=0, $K13, VLOOKUP($C41, INDIRECT("'Solar-tables'!"&amp; VLOOKUP(AF21,INDIRECT($AD30), 2, FALSE)), (ROUND($C40, 10)/10+2), FALSE))</f>
        <v>0.93</v>
      </c>
      <c r="AG17" s="168">
        <f ca="1">IF($C40=0, $K13, VLOOKUP($C41, INDIRECT("'Solar-tables'!"&amp; VLOOKUP(AG21,INDIRECT($AD30), 2, FALSE)), (ROUND($C40, 10)/10+2), FALSE))</f>
        <v>0.98</v>
      </c>
      <c r="AH17" s="168">
        <f t="shared" ref="AH17:AQ17" ca="1" si="0">IF($C40=0, $K13, VLOOKUP($C41, INDIRECT("'Solar-tables'!"&amp; VLOOKUP(AH21,INDIRECT($AD30), 2, FALSE)), (ROUND($C40, 10)/10+2), FALSE))</f>
        <v>1.05</v>
      </c>
      <c r="AI17" s="168">
        <f t="shared" ca="1" si="0"/>
        <v>1.1299999999999999</v>
      </c>
      <c r="AJ17" s="168">
        <f t="shared" ca="1" si="0"/>
        <v>1.22</v>
      </c>
      <c r="AK17" s="168">
        <f t="shared" ca="1" si="0"/>
        <v>1.25</v>
      </c>
      <c r="AL17" s="168">
        <f t="shared" ca="1" si="0"/>
        <v>1.24</v>
      </c>
      <c r="AM17" s="168">
        <f t="shared" ca="1" si="0"/>
        <v>1.18</v>
      </c>
      <c r="AN17" s="168">
        <f t="shared" ca="1" si="0"/>
        <v>1.0900000000000001</v>
      </c>
      <c r="AO17" s="168">
        <f t="shared" ca="1" si="0"/>
        <v>1</v>
      </c>
      <c r="AP17" s="168">
        <f t="shared" ca="1" si="0"/>
        <v>0.94</v>
      </c>
      <c r="AQ17" s="168">
        <f t="shared" ca="1" si="0"/>
        <v>0.91</v>
      </c>
    </row>
    <row r="18" spans="1:44" x14ac:dyDescent="0.25">
      <c r="A18" s="147"/>
      <c r="B18" s="140" t="s">
        <v>3056</v>
      </c>
      <c r="C18" s="141">
        <f>VLOOKUP(C$5, '[1]Arrays-Banks'!$C$4:$X$15, 17, FALSE)</f>
        <v>-0.36</v>
      </c>
      <c r="D18" t="s">
        <v>3051</v>
      </c>
      <c r="E18" s="106"/>
      <c r="G18" s="11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E18" s="169" t="str">
        <f>E37</f>
        <v/>
      </c>
      <c r="AF18" s="168" t="str">
        <f>$AE18</f>
        <v/>
      </c>
      <c r="AG18" s="168" t="str">
        <f t="shared" ref="AG18:AQ18" si="1">$AE18</f>
        <v/>
      </c>
      <c r="AH18" s="168" t="str">
        <f t="shared" si="1"/>
        <v/>
      </c>
      <c r="AI18" s="168" t="str">
        <f t="shared" si="1"/>
        <v/>
      </c>
      <c r="AJ18" s="168" t="str">
        <f t="shared" si="1"/>
        <v/>
      </c>
      <c r="AK18" s="168" t="str">
        <f t="shared" si="1"/>
        <v/>
      </c>
      <c r="AL18" s="168" t="str">
        <f t="shared" si="1"/>
        <v/>
      </c>
      <c r="AM18" s="168" t="str">
        <f t="shared" si="1"/>
        <v/>
      </c>
      <c r="AN18" s="168" t="str">
        <f t="shared" si="1"/>
        <v/>
      </c>
      <c r="AO18" s="168" t="str">
        <f t="shared" si="1"/>
        <v/>
      </c>
      <c r="AP18" s="168" t="str">
        <f t="shared" si="1"/>
        <v/>
      </c>
      <c r="AQ18" s="168" t="str">
        <f t="shared" si="1"/>
        <v/>
      </c>
    </row>
    <row r="19" spans="1:44" x14ac:dyDescent="0.25">
      <c r="A19" s="147"/>
      <c r="B19" s="140" t="s">
        <v>3057</v>
      </c>
      <c r="C19" s="141">
        <f>VLOOKUP(C$5, '[1]Arrays-Banks'!$C$4:$X$15, 18, FALSE)</f>
        <v>25</v>
      </c>
      <c r="D19" t="s">
        <v>3058</v>
      </c>
      <c r="E19" s="106"/>
      <c r="G19" s="114"/>
      <c r="I19" s="144"/>
      <c r="J19" s="144"/>
      <c r="K19" s="144"/>
      <c r="L19" s="144"/>
      <c r="M19" s="144"/>
      <c r="N19" s="170">
        <v>5</v>
      </c>
      <c r="O19" s="170">
        <v>6</v>
      </c>
      <c r="P19" s="170">
        <v>7</v>
      </c>
      <c r="Q19" s="170">
        <v>8</v>
      </c>
      <c r="R19" s="170">
        <v>9</v>
      </c>
      <c r="S19" s="170">
        <v>10</v>
      </c>
      <c r="T19" s="170">
        <v>11</v>
      </c>
      <c r="U19" s="170">
        <v>12</v>
      </c>
      <c r="V19" s="170">
        <v>13</v>
      </c>
      <c r="W19" s="170">
        <v>14</v>
      </c>
      <c r="X19" s="170">
        <v>15</v>
      </c>
      <c r="Y19" s="170">
        <v>16</v>
      </c>
      <c r="Z19" s="170">
        <v>17</v>
      </c>
      <c r="AA19" s="144"/>
      <c r="AE19" s="167" t="str">
        <f>D37</f>
        <v/>
      </c>
      <c r="AF19" s="168" t="e">
        <f ca="1">IF($C40=0, $K13, VLOOKUP($C41, INDIRECT("'Solar-tables'!"&amp; VLOOKUP(AF21,INDIRECT($AD31), 2, FALSE)), (ROUND($C40, 10)/10+2), FALSE))</f>
        <v>#N/A</v>
      </c>
      <c r="AG19" s="168" t="e">
        <f t="shared" ref="AG19:AQ19" ca="1" si="2">IF($C40=0, $K13, VLOOKUP($C41, INDIRECT("'Solar-tables'!"&amp; VLOOKUP(AG21,INDIRECT($AD31), 2, FALSE)), (ROUND($C40, 10)/10+2), FALSE))</f>
        <v>#N/A</v>
      </c>
      <c r="AH19" s="168" t="e">
        <f t="shared" ca="1" si="2"/>
        <v>#N/A</v>
      </c>
      <c r="AI19" s="168" t="e">
        <f t="shared" ca="1" si="2"/>
        <v>#N/A</v>
      </c>
      <c r="AJ19" s="168" t="e">
        <f t="shared" ca="1" si="2"/>
        <v>#N/A</v>
      </c>
      <c r="AK19" s="168" t="e">
        <f t="shared" ca="1" si="2"/>
        <v>#N/A</v>
      </c>
      <c r="AL19" s="168" t="e">
        <f t="shared" ca="1" si="2"/>
        <v>#N/A</v>
      </c>
      <c r="AM19" s="168" t="e">
        <f t="shared" ca="1" si="2"/>
        <v>#N/A</v>
      </c>
      <c r="AN19" s="168" t="e">
        <f t="shared" ca="1" si="2"/>
        <v>#N/A</v>
      </c>
      <c r="AO19" s="168" t="e">
        <f t="shared" ca="1" si="2"/>
        <v>#N/A</v>
      </c>
      <c r="AP19" s="168" t="e">
        <f t="shared" ca="1" si="2"/>
        <v>#N/A</v>
      </c>
      <c r="AQ19" s="168" t="e">
        <f t="shared" ca="1" si="2"/>
        <v>#N/A</v>
      </c>
    </row>
    <row r="20" spans="1:44" x14ac:dyDescent="0.25">
      <c r="A20" s="147"/>
      <c r="B20" s="140" t="s">
        <v>14</v>
      </c>
      <c r="C20" s="141">
        <f>VLOOKUP(C$5, '[1]Arrays-Banks'!$C$4:$X$15, 19, FALSE)</f>
        <v>2176</v>
      </c>
      <c r="D20" t="s">
        <v>3059</v>
      </c>
      <c r="E20" s="106"/>
      <c r="G20" s="114"/>
      <c r="I20" s="144"/>
      <c r="J20" s="144" t="s">
        <v>3060</v>
      </c>
      <c r="K20" s="144"/>
      <c r="L20" s="144"/>
      <c r="M20" s="144"/>
      <c r="N20" s="171">
        <f ca="1">IF($C40=0, $K13, IF($D37="", VLOOKUP($C41, INDIRECT("'Solar-tables'!"&amp; VLOOKUP(N21,INDIRECT($AD29), 2, FALSE)), (ROUND($C40, 10)/10+2), FALSE), AF20))</f>
        <v>0.93</v>
      </c>
      <c r="O20" s="171">
        <f t="shared" ref="O20:Y20" ca="1" si="3">IF($C40=0, $K13, IF($D37="", VLOOKUP($C41, INDIRECT("'Solar-tables'!"&amp; VLOOKUP(O21,INDIRECT($AD29), 2, FALSE)), (ROUND($C40, 10)/10+2), FALSE), AG20))</f>
        <v>0.98</v>
      </c>
      <c r="P20" s="171">
        <f t="shared" ca="1" si="3"/>
        <v>1.05</v>
      </c>
      <c r="Q20" s="171">
        <f t="shared" ca="1" si="3"/>
        <v>1.1299999999999999</v>
      </c>
      <c r="R20" s="171">
        <f t="shared" ca="1" si="3"/>
        <v>1.22</v>
      </c>
      <c r="S20" s="171">
        <f t="shared" ca="1" si="3"/>
        <v>1.25</v>
      </c>
      <c r="T20" s="171">
        <f t="shared" ca="1" si="3"/>
        <v>1.24</v>
      </c>
      <c r="U20" s="171">
        <f t="shared" ca="1" si="3"/>
        <v>1.18</v>
      </c>
      <c r="V20" s="171">
        <f t="shared" ca="1" si="3"/>
        <v>1.0900000000000001</v>
      </c>
      <c r="W20" s="171">
        <f t="shared" ca="1" si="3"/>
        <v>1</v>
      </c>
      <c r="X20" s="171">
        <f t="shared" ca="1" si="3"/>
        <v>0.94</v>
      </c>
      <c r="Y20" s="171">
        <f t="shared" ca="1" si="3"/>
        <v>0.91</v>
      </c>
      <c r="Z20" s="172"/>
      <c r="AA20" s="144"/>
      <c r="AE20" s="115" t="s">
        <v>3061</v>
      </c>
      <c r="AF20" s="173" t="e">
        <f ca="1">IF(AF17&gt;AF19, AF17-(ABS(AF17-AF19)*AF18), AF17+ABS(AF17-AF19)*AF18)</f>
        <v>#N/A</v>
      </c>
      <c r="AG20" s="173" t="e">
        <f t="shared" ref="AG20:AQ20" ca="1" si="4">IF(AG17&gt;AG19, AG17-(ABS(AG17-AG19)*AG18), AG17+ABS(AG17-AG19)*AG18)</f>
        <v>#N/A</v>
      </c>
      <c r="AH20" s="173" t="e">
        <f t="shared" ca="1" si="4"/>
        <v>#N/A</v>
      </c>
      <c r="AI20" s="173" t="e">
        <f t="shared" ca="1" si="4"/>
        <v>#N/A</v>
      </c>
      <c r="AJ20" s="173" t="e">
        <f t="shared" ca="1" si="4"/>
        <v>#N/A</v>
      </c>
      <c r="AK20" s="173" t="e">
        <f t="shared" ca="1" si="4"/>
        <v>#N/A</v>
      </c>
      <c r="AL20" s="173" t="e">
        <f t="shared" ca="1" si="4"/>
        <v>#N/A</v>
      </c>
      <c r="AM20" s="173" t="e">
        <f t="shared" ca="1" si="4"/>
        <v>#N/A</v>
      </c>
      <c r="AN20" s="173" t="e">
        <f t="shared" ca="1" si="4"/>
        <v>#N/A</v>
      </c>
      <c r="AO20" s="173" t="e">
        <f t="shared" ca="1" si="4"/>
        <v>#N/A</v>
      </c>
      <c r="AP20" s="173" t="e">
        <f t="shared" ca="1" si="4"/>
        <v>#N/A</v>
      </c>
      <c r="AQ20" s="173" t="e">
        <f t="shared" ca="1" si="4"/>
        <v>#N/A</v>
      </c>
    </row>
    <row r="21" spans="1:44" x14ac:dyDescent="0.25">
      <c r="A21" s="147"/>
      <c r="B21" s="140" t="s">
        <v>15</v>
      </c>
      <c r="C21" s="141">
        <f>VLOOKUP(C$5, '[1]Arrays-Banks'!$C$4:$X$15, 20, FALSE)</f>
        <v>1098</v>
      </c>
      <c r="D21" t="s">
        <v>3059</v>
      </c>
      <c r="E21" s="106"/>
      <c r="G21" s="114"/>
      <c r="I21" s="144"/>
      <c r="J21" s="145" t="s">
        <v>3062</v>
      </c>
      <c r="K21" s="144"/>
      <c r="L21" s="144"/>
      <c r="M21" s="144"/>
      <c r="N21" s="174" t="s">
        <v>2995</v>
      </c>
      <c r="O21" s="174" t="s">
        <v>2996</v>
      </c>
      <c r="P21" s="174" t="s">
        <v>2997</v>
      </c>
      <c r="Q21" s="174" t="s">
        <v>2998</v>
      </c>
      <c r="R21" s="174" t="s">
        <v>2999</v>
      </c>
      <c r="S21" s="174" t="s">
        <v>3000</v>
      </c>
      <c r="T21" s="174" t="s">
        <v>3001</v>
      </c>
      <c r="U21" s="174" t="s">
        <v>3002</v>
      </c>
      <c r="V21" s="174" t="s">
        <v>3003</v>
      </c>
      <c r="W21" s="174" t="s">
        <v>3004</v>
      </c>
      <c r="X21" s="174" t="s">
        <v>3005</v>
      </c>
      <c r="Y21" s="174" t="s">
        <v>3006</v>
      </c>
      <c r="Z21" s="174" t="s">
        <v>3007</v>
      </c>
      <c r="AA21" s="144"/>
      <c r="AE21" s="169"/>
      <c r="AF21" s="121" t="s">
        <v>2995</v>
      </c>
      <c r="AG21" s="121" t="s">
        <v>2996</v>
      </c>
      <c r="AH21" s="121" t="s">
        <v>2997</v>
      </c>
      <c r="AI21" s="121" t="s">
        <v>2998</v>
      </c>
      <c r="AJ21" s="121" t="s">
        <v>2999</v>
      </c>
      <c r="AK21" s="121" t="s">
        <v>3000</v>
      </c>
      <c r="AL21" s="121" t="s">
        <v>3001</v>
      </c>
      <c r="AM21" s="121" t="s">
        <v>3002</v>
      </c>
      <c r="AN21" s="121" t="s">
        <v>3003</v>
      </c>
      <c r="AO21" s="121" t="s">
        <v>3004</v>
      </c>
      <c r="AP21" s="121" t="s">
        <v>3005</v>
      </c>
      <c r="AQ21" s="121" t="s">
        <v>3006</v>
      </c>
      <c r="AR21" s="121" t="s">
        <v>3007</v>
      </c>
    </row>
    <row r="22" spans="1:44" x14ac:dyDescent="0.25">
      <c r="A22" s="147"/>
      <c r="B22" s="140" t="s">
        <v>3063</v>
      </c>
      <c r="C22" s="141">
        <f>VLOOKUP(C$5, '[1]Arrays-Banks'!$C$4:$X$15, 21, FALSE)</f>
        <v>35</v>
      </c>
      <c r="D22" t="s">
        <v>3059</v>
      </c>
      <c r="E22" s="106"/>
      <c r="G22" s="114"/>
      <c r="I22" s="144"/>
      <c r="J22" s="738" t="str">
        <f>"PSH for "&amp;J13&amp;" at tilt "&amp;C40&amp;" and azimuth "&amp;C41</f>
        <v>PSH for Cairns at tilt 20 and azimuth 0</v>
      </c>
      <c r="K22" s="738"/>
      <c r="L22" s="738"/>
      <c r="M22" s="738"/>
      <c r="N22" s="175">
        <f>IF($E38="",HLOOKUP($C37,'[1]Solar-tables'!$D2:$M18,N19,FALSE),AF23)</f>
        <v>7.3</v>
      </c>
      <c r="O22" s="175">
        <f>IF($E38="",HLOOKUP($C37,'[1]Solar-tables'!$D2:$M18,O19,FALSE),AG23)</f>
        <v>6.4</v>
      </c>
      <c r="P22" s="175">
        <f>IF($E38="",HLOOKUP($C37,'[1]Solar-tables'!$D2:$M18,P19,FALSE),AH23)</f>
        <v>5.4</v>
      </c>
      <c r="Q22" s="175">
        <f>IF($E38="",HLOOKUP($C37,'[1]Solar-tables'!$D2:$M18,Q19,FALSE),AI23)</f>
        <v>4.0999999999999996</v>
      </c>
      <c r="R22" s="175">
        <f>IF($E38="",HLOOKUP($C37,'[1]Solar-tables'!$D2:$M18,R19,FALSE),AJ23)</f>
        <v>3</v>
      </c>
      <c r="S22" s="175">
        <f>IF($E38="",HLOOKUP($C37,'[1]Solar-tables'!$D2:$M18,S19,FALSE),AK23)</f>
        <v>2.2999999999999998</v>
      </c>
      <c r="T22" s="175">
        <f>IF($E38="",HLOOKUP($C37,'[1]Solar-tables'!$D2:$M18,T19,FALSE),AL23)</f>
        <v>2.6</v>
      </c>
      <c r="U22" s="175">
        <f>IF($E38="",HLOOKUP($C37,'[1]Solar-tables'!$D2:$M18,U19,FALSE),AM23)</f>
        <v>3.4</v>
      </c>
      <c r="V22" s="175">
        <f>IF($E38="",HLOOKUP($C37,'[1]Solar-tables'!$D2:$M18,V19,FALSE),AN23)</f>
        <v>4.7</v>
      </c>
      <c r="W22" s="175">
        <f>IF($E38="",HLOOKUP($C37,'[1]Solar-tables'!$D2:$M18,W19,FALSE),AO23)</f>
        <v>5.9</v>
      </c>
      <c r="X22" s="175">
        <f>IF($E38="",HLOOKUP($C37,'[1]Solar-tables'!$D2:$M18,X19,FALSE),AP23)</f>
        <v>6.6</v>
      </c>
      <c r="Y22" s="175">
        <f>IF($E38="",HLOOKUP($C37,'[1]Solar-tables'!$D2:$M18,Y19,FALSE),AQ23)</f>
        <v>7.4</v>
      </c>
      <c r="Z22" s="175">
        <f>IF($E38="",HLOOKUP($C37,'[1]Solar-tables'!$D2:$M18,Z19,FALSE),AR23)</f>
        <v>4.9250000000000007</v>
      </c>
      <c r="AA22"/>
    </row>
    <row r="23" spans="1:44" x14ac:dyDescent="0.25">
      <c r="A23" s="147"/>
      <c r="B23" s="140" t="s">
        <v>13</v>
      </c>
      <c r="C23" s="141">
        <f>VLOOKUP(C$5, '[1]Arrays-Banks'!$C$4:$X$15, 22, FALSE)</f>
        <v>26.3</v>
      </c>
      <c r="D23" t="s">
        <v>3064</v>
      </c>
      <c r="E23" s="106"/>
      <c r="G23" s="114"/>
      <c r="I23" s="144"/>
      <c r="J23" s="738" t="s">
        <v>3065</v>
      </c>
      <c r="K23" s="738"/>
      <c r="L23" s="738"/>
      <c r="M23" s="738"/>
      <c r="N23" s="176">
        <f ca="1">$J15*$J14*N22*$L11/1000*N$20</f>
        <v>18.768190499999999</v>
      </c>
      <c r="O23" s="176">
        <f t="shared" ref="O23:Y23" ca="1" si="5">$J15*$J14*O22*$L11/1000*O$20</f>
        <v>17.338944000000001</v>
      </c>
      <c r="P23" s="176">
        <f t="shared" ca="1" si="5"/>
        <v>15.674715000000003</v>
      </c>
      <c r="Q23" s="176">
        <f t="shared" ca="1" si="5"/>
        <v>12.807928499999997</v>
      </c>
      <c r="R23" s="176">
        <f t="shared" ca="1" si="5"/>
        <v>10.118069999999999</v>
      </c>
      <c r="S23" s="176">
        <f t="shared" ca="1" si="5"/>
        <v>7.9479374999999983</v>
      </c>
      <c r="T23" s="176">
        <f t="shared" ca="1" si="5"/>
        <v>8.9127480000000006</v>
      </c>
      <c r="U23" s="176">
        <f t="shared" ca="1" si="5"/>
        <v>11.091173999999997</v>
      </c>
      <c r="V23" s="176">
        <f t="shared" ca="1" si="5"/>
        <v>14.162533500000002</v>
      </c>
      <c r="W23" s="176">
        <f t="shared" ca="1" si="5"/>
        <v>16.310550000000003</v>
      </c>
      <c r="X23" s="176">
        <f t="shared" ca="1" si="5"/>
        <v>17.150957999999996</v>
      </c>
      <c r="Y23" s="176">
        <f t="shared" ca="1" si="5"/>
        <v>18.616143000000005</v>
      </c>
      <c r="Z23" s="176">
        <f ca="1">AVERAGE(N23:Y23)</f>
        <v>14.074990999999999</v>
      </c>
      <c r="AA23" s="177"/>
      <c r="AE23" s="459" t="str">
        <f>[1]Calcs!I5</f>
        <v>PSH-Cannonvale, QLD</v>
      </c>
      <c r="AF23" s="460">
        <f>[1]Calcs!J5</f>
        <v>7.3</v>
      </c>
      <c r="AG23" s="460">
        <f>[1]Calcs!K5</f>
        <v>6.4</v>
      </c>
      <c r="AH23" s="460">
        <f>[1]Calcs!L5</f>
        <v>5.4</v>
      </c>
      <c r="AI23" s="460">
        <f>[1]Calcs!M5</f>
        <v>4.0999999999999996</v>
      </c>
      <c r="AJ23" s="460">
        <f>[1]Calcs!N5</f>
        <v>3</v>
      </c>
      <c r="AK23" s="460">
        <f>[1]Calcs!O5</f>
        <v>2.2999999999999998</v>
      </c>
      <c r="AL23" s="460">
        <f>[1]Calcs!P5</f>
        <v>2.6</v>
      </c>
      <c r="AM23" s="460">
        <f>[1]Calcs!Q5</f>
        <v>3.4</v>
      </c>
      <c r="AN23" s="460">
        <f>[1]Calcs!R5</f>
        <v>4.7</v>
      </c>
      <c r="AO23" s="460">
        <f>[1]Calcs!S5</f>
        <v>5.9</v>
      </c>
      <c r="AP23" s="460">
        <f>[1]Calcs!T5</f>
        <v>6.6</v>
      </c>
      <c r="AQ23" s="460">
        <f>[1]Calcs!U5</f>
        <v>7.4</v>
      </c>
      <c r="AR23" s="461">
        <f>AVERAGE(AF23:AQ23)</f>
        <v>4.9250000000000007</v>
      </c>
    </row>
    <row r="24" spans="1:44" x14ac:dyDescent="0.25">
      <c r="A24" s="147"/>
      <c r="B24" s="140" t="s">
        <v>3066</v>
      </c>
      <c r="C24" s="141">
        <f>VLOOKUP(C$5, '[1]Arrays-Banks'!$C$4:$X$15, 4, FALSE)</f>
        <v>2</v>
      </c>
      <c r="E24" s="106"/>
      <c r="G24" s="114"/>
      <c r="I24" s="144"/>
      <c r="J24" s="738" t="s">
        <v>3067</v>
      </c>
      <c r="K24" s="738"/>
      <c r="L24" s="738"/>
      <c r="M24" s="738"/>
      <c r="N24" s="180">
        <f>$J14*$J15*$J16</f>
        <v>0.87074377999999997</v>
      </c>
      <c r="O24" s="180">
        <f t="shared" ref="O24:Z24" si="6">$J14*$J15*$J16</f>
        <v>0.87074377999999997</v>
      </c>
      <c r="P24" s="180">
        <f t="shared" si="6"/>
        <v>0.87074377999999997</v>
      </c>
      <c r="Q24" s="180">
        <f t="shared" si="6"/>
        <v>0.87074377999999997</v>
      </c>
      <c r="R24" s="180">
        <f t="shared" si="6"/>
        <v>0.87074377999999997</v>
      </c>
      <c r="S24" s="180">
        <f t="shared" si="6"/>
        <v>0.87074377999999997</v>
      </c>
      <c r="T24" s="180">
        <f t="shared" si="6"/>
        <v>0.87074377999999997</v>
      </c>
      <c r="U24" s="180">
        <f t="shared" si="6"/>
        <v>0.87074377999999997</v>
      </c>
      <c r="V24" s="180">
        <f t="shared" si="6"/>
        <v>0.87074377999999997</v>
      </c>
      <c r="W24" s="180">
        <f t="shared" si="6"/>
        <v>0.87074377999999997</v>
      </c>
      <c r="X24" s="180">
        <f t="shared" si="6"/>
        <v>0.87074377999999997</v>
      </c>
      <c r="Y24" s="180">
        <f t="shared" si="6"/>
        <v>0.87074377999999997</v>
      </c>
      <c r="Z24" s="180">
        <f t="shared" si="6"/>
        <v>0.87074377999999997</v>
      </c>
      <c r="AA24" s="144"/>
    </row>
    <row r="25" spans="1:44" x14ac:dyDescent="0.25">
      <c r="A25" s="147"/>
      <c r="B25" s="140" t="s">
        <v>3068</v>
      </c>
      <c r="C25" s="141">
        <f>VLOOKUP(C$5, '[1]Arrays-Banks'!$C$4:$X$15, 5, FALSE)</f>
        <v>3</v>
      </c>
      <c r="E25" s="106"/>
      <c r="G25" s="114"/>
      <c r="I25" s="181" t="s">
        <v>3543</v>
      </c>
      <c r="J25" s="738" t="s">
        <v>3070</v>
      </c>
      <c r="K25" s="738"/>
      <c r="L25" s="738"/>
      <c r="M25" s="738"/>
      <c r="N25" s="462">
        <f t="shared" ref="N25:Z25" ca="1" si="7">IFERROR(N23*N24,0)</f>
        <v>16.342285139730087</v>
      </c>
      <c r="O25" s="462">
        <f t="shared" ca="1" si="7"/>
        <v>15.097777639768321</v>
      </c>
      <c r="P25" s="462">
        <f t="shared" ca="1" si="7"/>
        <v>13.648660589522702</v>
      </c>
      <c r="Q25" s="462">
        <f t="shared" ca="1" si="7"/>
        <v>11.152424076059727</v>
      </c>
      <c r="R25" s="462">
        <f t="shared" ca="1" si="7"/>
        <v>8.8102465181045986</v>
      </c>
      <c r="S25" s="462">
        <f t="shared" ca="1" si="7"/>
        <v>6.9206171419537483</v>
      </c>
      <c r="T25" s="462">
        <f t="shared" ca="1" si="7"/>
        <v>7.7607198837074405</v>
      </c>
      <c r="U25" s="462">
        <f t="shared" ca="1" si="7"/>
        <v>9.6575707733977172</v>
      </c>
      <c r="V25" s="462">
        <f t="shared" ca="1" si="7"/>
        <v>12.331937954166632</v>
      </c>
      <c r="W25" s="462">
        <f t="shared" ca="1" si="7"/>
        <v>14.202309960879003</v>
      </c>
      <c r="X25" s="462">
        <f t="shared" ca="1" si="7"/>
        <v>14.934089999541236</v>
      </c>
      <c r="Y25" s="462">
        <f t="shared" ca="1" si="7"/>
        <v>16.209890724840545</v>
      </c>
      <c r="Z25" s="462">
        <f t="shared" ca="1" si="7"/>
        <v>12.255710866805979</v>
      </c>
      <c r="AA25" s="144"/>
      <c r="AG25" s="119" t="s">
        <v>2992</v>
      </c>
      <c r="AH25" s="119"/>
      <c r="AI25" s="119"/>
      <c r="AJ25" s="119"/>
      <c r="AK25" s="119"/>
      <c r="AL25" s="119"/>
      <c r="AM25" s="119"/>
      <c r="AN25" s="119"/>
      <c r="AO25" s="183"/>
    </row>
    <row r="26" spans="1:44" x14ac:dyDescent="0.25">
      <c r="A26" s="147"/>
      <c r="B26" s="140" t="s">
        <v>3071</v>
      </c>
      <c r="C26" s="184">
        <f>[1]Loads!J91+15</f>
        <v>40.299999999999997</v>
      </c>
      <c r="D26" t="s">
        <v>3058</v>
      </c>
      <c r="E26" s="106"/>
      <c r="G26" s="114"/>
      <c r="I26" s="145" t="s">
        <v>3072</v>
      </c>
      <c r="J26" s="739" t="s">
        <v>3544</v>
      </c>
      <c r="K26" s="739"/>
      <c r="L26" s="739"/>
      <c r="M26" s="739"/>
      <c r="N26" s="463">
        <f ca="1">[1]Calcs!N27+N25</f>
        <v>38.821026979192887</v>
      </c>
      <c r="O26" s="463">
        <f ca="1">[1]Calcs!O27+O25</f>
        <v>35.864704848062729</v>
      </c>
      <c r="P26" s="463">
        <f ca="1">[1]Calcs!P27+P25</f>
        <v>32.422333623806708</v>
      </c>
      <c r="Q26" s="463">
        <f ca="1">[1]Calcs!Q27+Q25</f>
        <v>26.492534687671323</v>
      </c>
      <c r="R26" s="463">
        <f ca="1">[1]Calcs!R27+R25</f>
        <v>20.928702127536599</v>
      </c>
      <c r="S26" s="463">
        <f ca="1">[1]Calcs!S27+S25</f>
        <v>16.439895796903748</v>
      </c>
      <c r="T26" s="463">
        <f ca="1">[1]Calcs!T27+T25</f>
        <v>18.435556191032241</v>
      </c>
      <c r="U26" s="463">
        <f ca="1">[1]Calcs!U27+U25</f>
        <v>22.941517195540115</v>
      </c>
      <c r="V26" s="463">
        <f ca="1">[1]Calcs!V27+V25</f>
        <v>29.294464753926235</v>
      </c>
      <c r="W26" s="463">
        <f ca="1">[1]Calcs!W27+W25</f>
        <v>33.737525287559009</v>
      </c>
      <c r="X26" s="463">
        <f ca="1">[1]Calcs!X27+X25</f>
        <v>35.475865573562032</v>
      </c>
      <c r="Y26" s="463">
        <f ca="1">[1]Calcs!Y27+Y25</f>
        <v>38.506524624817345</v>
      </c>
      <c r="Z26" s="463">
        <f ca="1">[1]Calcs!Z27+Z25</f>
        <v>29.549183142139306</v>
      </c>
      <c r="AA26" s="144"/>
      <c r="AG26" s="119"/>
      <c r="AH26" s="119"/>
      <c r="AI26" s="119"/>
      <c r="AJ26" s="119"/>
      <c r="AK26" s="119"/>
      <c r="AL26" s="119"/>
      <c r="AM26" s="119"/>
      <c r="AN26" s="119"/>
      <c r="AO26" s="183"/>
    </row>
    <row r="27" spans="1:44" x14ac:dyDescent="0.25">
      <c r="A27" s="147"/>
      <c r="B27" s="140" t="s">
        <v>3073</v>
      </c>
      <c r="C27" s="184">
        <f>MIN([1]Loads!B92:M92)-5</f>
        <v>13</v>
      </c>
      <c r="D27" t="s">
        <v>3058</v>
      </c>
      <c r="E27" s="106"/>
      <c r="G27" s="114"/>
      <c r="I27" s="144"/>
      <c r="J27" s="738"/>
      <c r="K27" s="738"/>
      <c r="L27" s="738"/>
      <c r="M27" s="738"/>
      <c r="N27" s="186">
        <f t="shared" ref="N27:Z27" ca="1" si="8">$Z25</f>
        <v>12.255710866805979</v>
      </c>
      <c r="O27" s="186">
        <f t="shared" ca="1" si="8"/>
        <v>12.255710866805979</v>
      </c>
      <c r="P27" s="186">
        <f t="shared" ca="1" si="8"/>
        <v>12.255710866805979</v>
      </c>
      <c r="Q27" s="186">
        <f t="shared" ca="1" si="8"/>
        <v>12.255710866805979</v>
      </c>
      <c r="R27" s="186">
        <f t="shared" ca="1" si="8"/>
        <v>12.255710866805979</v>
      </c>
      <c r="S27" s="186">
        <f t="shared" ca="1" si="8"/>
        <v>12.255710866805979</v>
      </c>
      <c r="T27" s="186">
        <f t="shared" ca="1" si="8"/>
        <v>12.255710866805979</v>
      </c>
      <c r="U27" s="186">
        <f t="shared" ca="1" si="8"/>
        <v>12.255710866805979</v>
      </c>
      <c r="V27" s="186">
        <f t="shared" ca="1" si="8"/>
        <v>12.255710866805979</v>
      </c>
      <c r="W27" s="186">
        <f t="shared" ca="1" si="8"/>
        <v>12.255710866805979</v>
      </c>
      <c r="X27" s="186">
        <f t="shared" ca="1" si="8"/>
        <v>12.255710866805979</v>
      </c>
      <c r="Y27" s="186">
        <f t="shared" ca="1" si="8"/>
        <v>12.255710866805979</v>
      </c>
      <c r="Z27" s="186">
        <f t="shared" ca="1" si="8"/>
        <v>12.255710866805979</v>
      </c>
      <c r="AA27" s="144"/>
      <c r="AD27" s="187" t="s">
        <v>3074</v>
      </c>
      <c r="AE27" s="187"/>
      <c r="AG27" s="119" t="s">
        <v>2993</v>
      </c>
      <c r="AH27" s="119"/>
      <c r="AI27" s="119"/>
      <c r="AJ27" s="119"/>
      <c r="AK27" s="119"/>
      <c r="AL27" s="119"/>
      <c r="AM27" s="119"/>
      <c r="AN27" s="119"/>
      <c r="AO27" s="183"/>
    </row>
    <row r="28" spans="1:44" x14ac:dyDescent="0.25">
      <c r="A28" s="147"/>
      <c r="B28" s="140" t="s">
        <v>3075</v>
      </c>
      <c r="C28" s="188">
        <f>C24*C12</f>
        <v>103.4</v>
      </c>
      <c r="D28" t="s">
        <v>3031</v>
      </c>
      <c r="E28" s="142"/>
      <c r="G28" s="189"/>
      <c r="I28" s="190" t="s">
        <v>3076</v>
      </c>
      <c r="J28" s="144" t="s">
        <v>3077</v>
      </c>
      <c r="K28" s="144"/>
      <c r="L28" s="191"/>
      <c r="M28" s="192"/>
      <c r="N28" s="193">
        <f>N36*31</f>
        <v>441.33152743829783</v>
      </c>
      <c r="O28" s="193">
        <f>O36*28.25</f>
        <v>402.1811500042553</v>
      </c>
      <c r="P28" s="193">
        <f t="shared" ref="P28:Y28" si="9">P36*31</f>
        <v>441.33152743829783</v>
      </c>
      <c r="Q28" s="193">
        <f>Q36*30</f>
        <v>377.21610900000002</v>
      </c>
      <c r="R28" s="193">
        <f t="shared" si="9"/>
        <v>389.78997930000003</v>
      </c>
      <c r="S28" s="193">
        <f>S36*30</f>
        <v>402.15556777659577</v>
      </c>
      <c r="T28" s="193">
        <f t="shared" si="9"/>
        <v>415.56075336914893</v>
      </c>
      <c r="U28" s="193">
        <f t="shared" si="9"/>
        <v>415.56075336914893</v>
      </c>
      <c r="V28" s="193">
        <f t="shared" si="9"/>
        <v>389.78997930000003</v>
      </c>
      <c r="W28" s="193">
        <f>W36*30</f>
        <v>377.21610900000002</v>
      </c>
      <c r="X28" s="193">
        <f>X36*30</f>
        <v>427.09502655319147</v>
      </c>
      <c r="Y28" s="193">
        <f t="shared" si="9"/>
        <v>441.33152743829783</v>
      </c>
      <c r="Z28" s="194"/>
      <c r="AA28" s="144"/>
    </row>
    <row r="29" spans="1:44" x14ac:dyDescent="0.25">
      <c r="A29" s="147"/>
      <c r="B29" s="140" t="s">
        <v>3078</v>
      </c>
      <c r="C29" s="195">
        <f>C28+C17*(C27-C19)*C24</f>
        <v>109.64</v>
      </c>
      <c r="E29" s="142"/>
      <c r="F29" s="149" t="s">
        <v>3079</v>
      </c>
      <c r="G29" s="114" t="s">
        <v>3080</v>
      </c>
      <c r="I29" s="196">
        <f>N29*N46</f>
        <v>964.20833333333337</v>
      </c>
      <c r="J29" s="144" t="s">
        <v>3081</v>
      </c>
      <c r="K29" s="144"/>
      <c r="L29" s="197"/>
      <c r="M29" s="192"/>
      <c r="N29" s="198">
        <f>[1]Calcs!N31</f>
        <v>31.7</v>
      </c>
      <c r="O29" s="198">
        <f>[1]Calcs!O31</f>
        <v>31.7</v>
      </c>
      <c r="P29" s="198">
        <f>[1]Calcs!P31</f>
        <v>29.271124999999998</v>
      </c>
      <c r="Q29" s="198">
        <f>[1]Calcs!Q31</f>
        <v>23.603749999999998</v>
      </c>
      <c r="R29" s="198">
        <f>[1]Calcs!R31</f>
        <v>18.260224999999998</v>
      </c>
      <c r="S29" s="198">
        <f>[1]Calcs!S31</f>
        <v>15.507499999999999</v>
      </c>
      <c r="T29" s="198">
        <f>[1]Calcs!T31</f>
        <v>15.507499999999999</v>
      </c>
      <c r="U29" s="198">
        <f>[1]Calcs!U31</f>
        <v>18.260224999999998</v>
      </c>
      <c r="V29" s="198">
        <f>[1]Calcs!V31</f>
        <v>23.603749999999998</v>
      </c>
      <c r="W29" s="198">
        <f>[1]Calcs!W31</f>
        <v>29.271124999999998</v>
      </c>
      <c r="X29" s="198">
        <f>[1]Calcs!X31</f>
        <v>31.700000000000003</v>
      </c>
      <c r="Y29" s="198">
        <f>[1]Calcs!Y31</f>
        <v>31.7</v>
      </c>
      <c r="Z29" s="199"/>
      <c r="AA29" s="200"/>
      <c r="AC29" s="201" t="s">
        <v>133</v>
      </c>
      <c r="AD29" s="202" t="str">
        <f>"'Solar-tables'!"&amp;VLOOKUP(J13, '[1]Solar-tables'!O13:P22, 2, FALSE)</f>
        <v>'Solar-tables'!AS6:AT17</v>
      </c>
      <c r="AE29" s="115" t="s">
        <v>3082</v>
      </c>
    </row>
    <row r="30" spans="1:44" x14ac:dyDescent="0.25">
      <c r="A30" s="147"/>
      <c r="B30" s="140" t="s">
        <v>3083</v>
      </c>
      <c r="C30" s="195">
        <f>C25*C24*C9</f>
        <v>3000</v>
      </c>
      <c r="D30" s="142" t="s">
        <v>3028</v>
      </c>
      <c r="G30" s="114"/>
      <c r="I30" s="203">
        <f>I29/N46</f>
        <v>31.7</v>
      </c>
      <c r="J30" s="144" t="s">
        <v>3084</v>
      </c>
      <c r="K30" s="144"/>
      <c r="L30" s="144"/>
      <c r="M30" s="144"/>
      <c r="N30" s="204">
        <f t="shared" ref="N30:Y31" si="10">$X62</f>
        <v>10</v>
      </c>
      <c r="O30" s="204">
        <f t="shared" si="10"/>
        <v>10</v>
      </c>
      <c r="P30" s="204">
        <f t="shared" si="10"/>
        <v>10</v>
      </c>
      <c r="Q30" s="204">
        <f t="shared" si="10"/>
        <v>10</v>
      </c>
      <c r="R30" s="204">
        <f t="shared" si="10"/>
        <v>10</v>
      </c>
      <c r="S30" s="204">
        <f t="shared" si="10"/>
        <v>10</v>
      </c>
      <c r="T30" s="204">
        <f t="shared" si="10"/>
        <v>10</v>
      </c>
      <c r="U30" s="204">
        <f t="shared" si="10"/>
        <v>10</v>
      </c>
      <c r="V30" s="204">
        <f t="shared" si="10"/>
        <v>10</v>
      </c>
      <c r="W30" s="204">
        <f t="shared" si="10"/>
        <v>10</v>
      </c>
      <c r="X30" s="204">
        <f t="shared" si="10"/>
        <v>10</v>
      </c>
      <c r="Y30" s="204">
        <f t="shared" si="10"/>
        <v>10</v>
      </c>
      <c r="Z30" s="205"/>
      <c r="AA30" s="200"/>
      <c r="AC30" s="206" t="s">
        <v>131</v>
      </c>
      <c r="AD30" s="202" t="str">
        <f>"'Solar-tables'!"&amp;VLOOKUP(AE17, '[1]Solar-tables'!O13:P22, 2, FALSE)</f>
        <v>'Solar-tables'!AS6:AT17</v>
      </c>
      <c r="AE30" s="115" t="s">
        <v>3085</v>
      </c>
    </row>
    <row r="31" spans="1:44" x14ac:dyDescent="0.25">
      <c r="A31" s="147"/>
      <c r="B31" s="140" t="s">
        <v>3086</v>
      </c>
      <c r="C31" s="148" t="str">
        <f>IF(((C25-1)*C13)&gt;C15, "Yes", "No")</f>
        <v>Yes</v>
      </c>
      <c r="D31" s="142" t="s">
        <v>3087</v>
      </c>
      <c r="E31" s="207">
        <f>(C25-1)*C13</f>
        <v>24.56</v>
      </c>
      <c r="F31" s="163" t="s">
        <v>3088</v>
      </c>
      <c r="G31" s="114" t="s">
        <v>3089</v>
      </c>
      <c r="I31" s="208" t="s">
        <v>3090</v>
      </c>
      <c r="J31" s="144" t="s">
        <v>3091</v>
      </c>
      <c r="K31" s="144"/>
      <c r="L31" s="144"/>
      <c r="M31" s="144"/>
      <c r="N31" s="204">
        <f t="shared" si="10"/>
        <v>27.4</v>
      </c>
      <c r="O31" s="204">
        <f t="shared" si="10"/>
        <v>27.4</v>
      </c>
      <c r="P31" s="204">
        <f t="shared" si="10"/>
        <v>27.4</v>
      </c>
      <c r="Q31" s="204">
        <f t="shared" si="10"/>
        <v>27.4</v>
      </c>
      <c r="R31" s="204">
        <f t="shared" si="10"/>
        <v>27.4</v>
      </c>
      <c r="S31" s="204">
        <f t="shared" si="10"/>
        <v>27.4</v>
      </c>
      <c r="T31" s="204">
        <f t="shared" si="10"/>
        <v>27.4</v>
      </c>
      <c r="U31" s="204">
        <f t="shared" si="10"/>
        <v>27.4</v>
      </c>
      <c r="V31" s="204">
        <f t="shared" si="10"/>
        <v>27.4</v>
      </c>
      <c r="W31" s="204">
        <f t="shared" si="10"/>
        <v>27.4</v>
      </c>
      <c r="X31" s="204">
        <f t="shared" si="10"/>
        <v>27.4</v>
      </c>
      <c r="Y31" s="204">
        <f t="shared" si="10"/>
        <v>27.4</v>
      </c>
      <c r="Z31" s="205"/>
      <c r="AA31" s="200"/>
      <c r="AC31" s="209" t="s">
        <v>129</v>
      </c>
      <c r="AD31" s="202" t="e">
        <f>"'Solar-tables'!"&amp;VLOOKUP(AE19, '[1]Solar-tables'!O13:P22, 2, FALSE)</f>
        <v>#N/A</v>
      </c>
      <c r="AE31" s="115" t="s">
        <v>3092</v>
      </c>
    </row>
    <row r="32" spans="1:44" x14ac:dyDescent="0.25">
      <c r="A32" s="210"/>
      <c r="B32" s="140" t="s">
        <v>3093</v>
      </c>
      <c r="C32" s="188">
        <f>1.5*C13</f>
        <v>18.419999999999998</v>
      </c>
      <c r="D32" s="142" t="s">
        <v>133</v>
      </c>
      <c r="F32" s="149" t="s">
        <v>3094</v>
      </c>
      <c r="G32" s="114" t="s">
        <v>3095</v>
      </c>
      <c r="I32" s="200"/>
      <c r="J32" s="144" t="s">
        <v>3096</v>
      </c>
      <c r="K32" s="144"/>
      <c r="L32" s="144"/>
      <c r="M32" s="144"/>
      <c r="N32" s="211">
        <f t="shared" ref="N32:Y32" si="11">$Q60</f>
        <v>1.9998</v>
      </c>
      <c r="O32" s="211">
        <f t="shared" si="11"/>
        <v>1.9998</v>
      </c>
      <c r="P32" s="211">
        <f t="shared" si="11"/>
        <v>1.9998</v>
      </c>
      <c r="Q32" s="211">
        <f t="shared" si="11"/>
        <v>1.9998</v>
      </c>
      <c r="R32" s="211">
        <f t="shared" si="11"/>
        <v>1.9998</v>
      </c>
      <c r="S32" s="211">
        <f t="shared" si="11"/>
        <v>1.9998</v>
      </c>
      <c r="T32" s="211">
        <f t="shared" si="11"/>
        <v>1.9998</v>
      </c>
      <c r="U32" s="211">
        <f t="shared" si="11"/>
        <v>1.9998</v>
      </c>
      <c r="V32" s="211">
        <f t="shared" si="11"/>
        <v>1.9998</v>
      </c>
      <c r="W32" s="211">
        <f t="shared" si="11"/>
        <v>1.9998</v>
      </c>
      <c r="X32" s="211">
        <f t="shared" si="11"/>
        <v>1.9998</v>
      </c>
      <c r="Y32" s="211">
        <f t="shared" si="11"/>
        <v>1.9998</v>
      </c>
      <c r="Z32" s="212"/>
      <c r="AA32" s="200"/>
    </row>
    <row r="33" spans="1:27" x14ac:dyDescent="0.25">
      <c r="A33" s="213"/>
      <c r="B33" s="140" t="s">
        <v>3097</v>
      </c>
      <c r="C33" s="188">
        <f>IF(2.4*C13&lt;C15, 2.4*C13, C15)</f>
        <v>15</v>
      </c>
      <c r="D33" s="142" t="s">
        <v>133</v>
      </c>
      <c r="F33" s="149" t="s">
        <v>3098</v>
      </c>
      <c r="G33" s="114" t="s">
        <v>3095</v>
      </c>
      <c r="I33" s="214">
        <f>X62/X64</f>
        <v>0.26737967914438504</v>
      </c>
      <c r="J33" s="144" t="s">
        <v>3099</v>
      </c>
      <c r="K33" s="144"/>
      <c r="L33" s="144"/>
      <c r="M33" s="144"/>
      <c r="N33" s="211">
        <f t="shared" ref="N33:Y33" si="12">$L44</f>
        <v>0.115</v>
      </c>
      <c r="O33" s="211">
        <f t="shared" si="12"/>
        <v>0.115</v>
      </c>
      <c r="P33" s="211">
        <f t="shared" si="12"/>
        <v>0.115</v>
      </c>
      <c r="Q33" s="211">
        <f t="shared" si="12"/>
        <v>0.115</v>
      </c>
      <c r="R33" s="211">
        <f t="shared" si="12"/>
        <v>0.115</v>
      </c>
      <c r="S33" s="211">
        <f t="shared" si="12"/>
        <v>0.115</v>
      </c>
      <c r="T33" s="211">
        <f t="shared" si="12"/>
        <v>0.115</v>
      </c>
      <c r="U33" s="211">
        <f t="shared" si="12"/>
        <v>0.115</v>
      </c>
      <c r="V33" s="211">
        <f t="shared" si="12"/>
        <v>0.115</v>
      </c>
      <c r="W33" s="211">
        <f t="shared" si="12"/>
        <v>0.115</v>
      </c>
      <c r="X33" s="211">
        <f t="shared" si="12"/>
        <v>0.115</v>
      </c>
      <c r="Y33" s="211">
        <f t="shared" si="12"/>
        <v>0.115</v>
      </c>
      <c r="Z33" s="215">
        <f ca="1">Z25*Y33*100</f>
        <v>140.94067496826875</v>
      </c>
      <c r="AA33" s="200" t="s">
        <v>3100</v>
      </c>
    </row>
    <row r="34" spans="1:27" ht="15" customHeight="1" x14ac:dyDescent="0.25">
      <c r="A34" s="213"/>
      <c r="B34" s="140" t="s">
        <v>3101</v>
      </c>
      <c r="C34" s="184">
        <f>IF(C32=15, 15, 20)</f>
        <v>20</v>
      </c>
      <c r="D34" s="142" t="s">
        <v>133</v>
      </c>
      <c r="E34" t="s">
        <v>3102</v>
      </c>
      <c r="G34" s="114"/>
      <c r="I34" s="216" t="s">
        <v>3103</v>
      </c>
      <c r="J34" s="144" t="s">
        <v>3104</v>
      </c>
      <c r="K34" s="144"/>
      <c r="L34" s="144"/>
      <c r="M34" s="144"/>
      <c r="N34" s="211">
        <f>N67</f>
        <v>0.49249547280141825</v>
      </c>
      <c r="O34" s="211">
        <f t="shared" ref="O34:Y35" si="13">O67</f>
        <v>0.49249547280141825</v>
      </c>
      <c r="P34" s="211">
        <f t="shared" si="13"/>
        <v>0.49249547280141825</v>
      </c>
      <c r="Q34" s="211">
        <f t="shared" si="13"/>
        <v>0.42343858999999995</v>
      </c>
      <c r="R34" s="211">
        <f t="shared" si="13"/>
        <v>0.42343858999999995</v>
      </c>
      <c r="S34" s="211">
        <f t="shared" si="13"/>
        <v>0.42343858999999995</v>
      </c>
      <c r="T34" s="211">
        <f t="shared" si="13"/>
        <v>0.42343858999999995</v>
      </c>
      <c r="U34" s="211">
        <f t="shared" si="13"/>
        <v>0.42343858999999995</v>
      </c>
      <c r="V34" s="211">
        <f t="shared" si="13"/>
        <v>0.42343858999999995</v>
      </c>
      <c r="W34" s="211">
        <f t="shared" si="13"/>
        <v>0.42343858999999995</v>
      </c>
      <c r="X34" s="211">
        <f t="shared" si="13"/>
        <v>0.49249547280141825</v>
      </c>
      <c r="Y34" s="211">
        <f t="shared" si="13"/>
        <v>0.49249547280141825</v>
      </c>
      <c r="Z34" s="217"/>
      <c r="AA34" s="218"/>
    </row>
    <row r="35" spans="1:27" x14ac:dyDescent="0.25">
      <c r="A35" s="213"/>
      <c r="B35" s="140" t="s">
        <v>3105</v>
      </c>
      <c r="C35" s="141">
        <f>VLOOKUP(C$5, '[1]Arrays-Banks'!$C$4:$AB$15, 24, FALSE)</f>
        <v>18</v>
      </c>
      <c r="D35" s="142" t="s">
        <v>3106</v>
      </c>
      <c r="E35" t="str">
        <f>VLOOKUP(C35, Equipment!$A$5:$U$26, 2, FALSE)</f>
        <v>Fronius Primo 5KW Inverter</v>
      </c>
      <c r="G35" s="114"/>
      <c r="I35" s="214">
        <f>X63/X64</f>
        <v>0.73262032085561501</v>
      </c>
      <c r="J35" s="144" t="s">
        <v>3107</v>
      </c>
      <c r="K35" s="144"/>
      <c r="L35" s="144"/>
      <c r="M35" s="144"/>
      <c r="N35" s="211">
        <f>N68</f>
        <v>0.26685204952891234</v>
      </c>
      <c r="O35" s="211">
        <f t="shared" si="13"/>
        <v>0.26685204952891234</v>
      </c>
      <c r="P35" s="211">
        <f t="shared" si="13"/>
        <v>0.26685204952891234</v>
      </c>
      <c r="Q35" s="211">
        <f t="shared" si="13"/>
        <v>0.23137534306569346</v>
      </c>
      <c r="R35" s="211">
        <f t="shared" si="13"/>
        <v>0.23137534306569346</v>
      </c>
      <c r="S35" s="211">
        <f t="shared" si="13"/>
        <v>0.26210209507169846</v>
      </c>
      <c r="T35" s="211">
        <f t="shared" si="13"/>
        <v>0.26210209507169846</v>
      </c>
      <c r="U35" s="211">
        <f t="shared" si="13"/>
        <v>0.26210209507169846</v>
      </c>
      <c r="V35" s="211">
        <f t="shared" si="13"/>
        <v>0.23137534306569346</v>
      </c>
      <c r="W35" s="211">
        <f t="shared" si="13"/>
        <v>0.23137534306569346</v>
      </c>
      <c r="X35" s="211">
        <f t="shared" si="13"/>
        <v>0.26685204952891234</v>
      </c>
      <c r="Y35" s="211">
        <f t="shared" si="13"/>
        <v>0.26685204952891234</v>
      </c>
      <c r="Z35" s="217"/>
      <c r="AA35" s="218" t="s">
        <v>3108</v>
      </c>
    </row>
    <row r="36" spans="1:27" x14ac:dyDescent="0.25">
      <c r="A36" s="213"/>
      <c r="B36" s="140" t="s">
        <v>3545</v>
      </c>
      <c r="C36" s="219">
        <v>7500</v>
      </c>
      <c r="D36" s="142" t="s">
        <v>3028</v>
      </c>
      <c r="E36" t="s">
        <v>3110</v>
      </c>
      <c r="G36" s="114"/>
      <c r="I36" s="216" t="s">
        <v>3103</v>
      </c>
      <c r="J36" s="144" t="s">
        <v>3111</v>
      </c>
      <c r="K36" s="144"/>
      <c r="L36" s="144"/>
      <c r="M36" s="144"/>
      <c r="N36" s="211">
        <f>N70</f>
        <v>14.236500885106382</v>
      </c>
      <c r="O36" s="211">
        <f t="shared" ref="O36:Y36" si="14">O70</f>
        <v>14.236500885106382</v>
      </c>
      <c r="P36" s="211">
        <f t="shared" si="14"/>
        <v>14.236500885106382</v>
      </c>
      <c r="Q36" s="211">
        <f t="shared" si="14"/>
        <v>12.573870300000001</v>
      </c>
      <c r="R36" s="211">
        <f t="shared" si="14"/>
        <v>12.573870300000001</v>
      </c>
      <c r="S36" s="211">
        <f t="shared" si="14"/>
        <v>13.405185592553192</v>
      </c>
      <c r="T36" s="211">
        <f t="shared" si="14"/>
        <v>13.405185592553192</v>
      </c>
      <c r="U36" s="211">
        <f t="shared" si="14"/>
        <v>13.405185592553192</v>
      </c>
      <c r="V36" s="211">
        <f t="shared" si="14"/>
        <v>12.573870300000001</v>
      </c>
      <c r="W36" s="211">
        <f t="shared" si="14"/>
        <v>12.573870300000001</v>
      </c>
      <c r="X36" s="211">
        <f t="shared" si="14"/>
        <v>14.236500885106382</v>
      </c>
      <c r="Y36" s="211">
        <f t="shared" si="14"/>
        <v>14.236500885106382</v>
      </c>
      <c r="Z36" s="205"/>
      <c r="AA36" s="218" t="s">
        <v>3112</v>
      </c>
    </row>
    <row r="37" spans="1:27" x14ac:dyDescent="0.25">
      <c r="A37" s="213"/>
      <c r="B37" s="140" t="s">
        <v>3113</v>
      </c>
      <c r="C37" s="464" t="str">
        <f>[1]Calcs!C39</f>
        <v>Cairns</v>
      </c>
      <c r="D37" s="465" t="str">
        <f>IF([1]Calcs!D39=0, "", [1]Calcs!D39)</f>
        <v/>
      </c>
      <c r="E37" s="466" t="str">
        <f>IF([1]Calcs!E39=0, "", [1]Calcs!E39)</f>
        <v/>
      </c>
      <c r="F37" s="223" t="s">
        <v>3114</v>
      </c>
      <c r="G37" s="114"/>
      <c r="I37" s="200"/>
      <c r="J37" s="144" t="s">
        <v>3115</v>
      </c>
      <c r="K37" s="144"/>
      <c r="L37" s="144"/>
      <c r="M37" s="144"/>
      <c r="N37" s="224">
        <f t="shared" ref="N37:Y37" si="15">IF($AA36="No", IF($AA38="Yes", (N47*N68+N50*N67)+N32, N30*$AA58*N67+N31*N68+N32), 0)</f>
        <v>0</v>
      </c>
      <c r="O37" s="211">
        <f t="shared" si="15"/>
        <v>0</v>
      </c>
      <c r="P37" s="211">
        <f t="shared" si="15"/>
        <v>0</v>
      </c>
      <c r="Q37" s="211">
        <f t="shared" si="15"/>
        <v>0</v>
      </c>
      <c r="R37" s="211">
        <f t="shared" si="15"/>
        <v>0</v>
      </c>
      <c r="S37" s="211">
        <f t="shared" si="15"/>
        <v>0</v>
      </c>
      <c r="T37" s="211">
        <f t="shared" si="15"/>
        <v>0</v>
      </c>
      <c r="U37" s="211">
        <f t="shared" si="15"/>
        <v>0</v>
      </c>
      <c r="V37" s="211">
        <f t="shared" si="15"/>
        <v>0</v>
      </c>
      <c r="W37" s="211">
        <f t="shared" si="15"/>
        <v>0</v>
      </c>
      <c r="X37" s="211">
        <f t="shared" si="15"/>
        <v>0</v>
      </c>
      <c r="Y37" s="211">
        <f t="shared" si="15"/>
        <v>0</v>
      </c>
      <c r="Z37" s="211">
        <f>AVERAGE(N37:Y37)</f>
        <v>0</v>
      </c>
      <c r="AA37" s="218" t="s">
        <v>3116</v>
      </c>
    </row>
    <row r="38" spans="1:27" x14ac:dyDescent="0.25">
      <c r="A38" s="213"/>
      <c r="B38" s="140" t="s">
        <v>3117</v>
      </c>
      <c r="C38" s="188">
        <f>MIN(N22:Z22)</f>
        <v>2.2999999999999998</v>
      </c>
      <c r="E38" s="465" t="str">
        <f>IF([1]Calcs!E40=0, "", [1]Calcs!E40)</f>
        <v>Cannonvale, QLD</v>
      </c>
      <c r="F38" s="142" t="s">
        <v>3119</v>
      </c>
      <c r="G38" s="114"/>
      <c r="I38" s="200"/>
      <c r="J38" s="144" t="s">
        <v>3120</v>
      </c>
      <c r="K38" s="144"/>
      <c r="L38" s="225">
        <f ca="1">Z38*N46</f>
        <v>8.5738910605696859</v>
      </c>
      <c r="M38" s="144" t="s">
        <v>3121</v>
      </c>
      <c r="N38" s="226">
        <f t="shared" ref="N38:Y38" ca="1" si="16">IF($AA38="Yes", N51*N33, (N25-N30*(1-$AA58))*N33)</f>
        <v>0.37587255821379206</v>
      </c>
      <c r="O38" s="227">
        <f t="shared" ca="1" si="16"/>
        <v>0.34724888571467144</v>
      </c>
      <c r="P38" s="227">
        <f t="shared" ca="1" si="16"/>
        <v>0.3139191935590222</v>
      </c>
      <c r="Q38" s="227">
        <f t="shared" ca="1" si="16"/>
        <v>0.25650575374937373</v>
      </c>
      <c r="R38" s="227">
        <f t="shared" ca="1" si="16"/>
        <v>0.20263566991640578</v>
      </c>
      <c r="S38" s="227">
        <f t="shared" ca="1" si="16"/>
        <v>0.15917419426493623</v>
      </c>
      <c r="T38" s="227">
        <f t="shared" ca="1" si="16"/>
        <v>0.17849655732527114</v>
      </c>
      <c r="U38" s="227">
        <f t="shared" ca="1" si="16"/>
        <v>0.22212412778814752</v>
      </c>
      <c r="V38" s="227">
        <f t="shared" ca="1" si="16"/>
        <v>0.28363457294583255</v>
      </c>
      <c r="W38" s="227">
        <f t="shared" ca="1" si="16"/>
        <v>0.3266531291002171</v>
      </c>
      <c r="X38" s="227">
        <f t="shared" ca="1" si="16"/>
        <v>0.34348406998944842</v>
      </c>
      <c r="Y38" s="227">
        <f t="shared" ca="1" si="16"/>
        <v>0.37282748667133259</v>
      </c>
      <c r="Z38" s="212">
        <f ca="1">AVERAGE(N38:Y38)</f>
        <v>0.28188134993653763</v>
      </c>
      <c r="AA38" s="218" t="s">
        <v>3112</v>
      </c>
    </row>
    <row r="39" spans="1:27" x14ac:dyDescent="0.25">
      <c r="A39" s="213"/>
      <c r="B39" s="140" t="s">
        <v>3122</v>
      </c>
      <c r="C39" s="228">
        <v>0.95</v>
      </c>
      <c r="E39" s="229"/>
      <c r="F39" s="149"/>
      <c r="G39" s="114"/>
      <c r="I39" s="200"/>
      <c r="J39" s="144" t="s">
        <v>3123</v>
      </c>
      <c r="K39" s="144"/>
      <c r="L39" s="144"/>
      <c r="M39" s="144"/>
      <c r="N39" s="211">
        <f ca="1">N37-N38</f>
        <v>-0.37587255821379206</v>
      </c>
      <c r="O39" s="224">
        <f t="shared" ref="O39:Y39" ca="1" si="17">O37-O38</f>
        <v>-0.34724888571467144</v>
      </c>
      <c r="P39" s="211">
        <f t="shared" ca="1" si="17"/>
        <v>-0.3139191935590222</v>
      </c>
      <c r="Q39" s="211">
        <f t="shared" ca="1" si="17"/>
        <v>-0.25650575374937373</v>
      </c>
      <c r="R39" s="211">
        <f t="shared" ca="1" si="17"/>
        <v>-0.20263566991640578</v>
      </c>
      <c r="S39" s="211">
        <f t="shared" ca="1" si="17"/>
        <v>-0.15917419426493623</v>
      </c>
      <c r="T39" s="211">
        <f t="shared" ca="1" si="17"/>
        <v>-0.17849655732527114</v>
      </c>
      <c r="U39" s="211">
        <f t="shared" ca="1" si="17"/>
        <v>-0.22212412778814752</v>
      </c>
      <c r="V39" s="211">
        <f t="shared" ca="1" si="17"/>
        <v>-0.28363457294583255</v>
      </c>
      <c r="W39" s="211">
        <f t="shared" ca="1" si="17"/>
        <v>-0.3266531291002171</v>
      </c>
      <c r="X39" s="211">
        <f t="shared" ca="1" si="17"/>
        <v>-0.34348406998944842</v>
      </c>
      <c r="Y39" s="211">
        <f t="shared" ca="1" si="17"/>
        <v>-0.37282748667133259</v>
      </c>
      <c r="Z39" s="211">
        <f ca="1">AVERAGE(N39:Y39)</f>
        <v>-0.28188134993653763</v>
      </c>
      <c r="AA39" s="200"/>
    </row>
    <row r="40" spans="1:27" x14ac:dyDescent="0.25">
      <c r="A40" s="213"/>
      <c r="B40" s="140" t="s">
        <v>3124</v>
      </c>
      <c r="C40" s="230">
        <f>[1]Calculator!F8</f>
        <v>20</v>
      </c>
      <c r="E40" s="229"/>
      <c r="F40" s="149"/>
      <c r="G40" s="114"/>
      <c r="I40" s="200"/>
      <c r="J40" s="144" t="s">
        <v>3125</v>
      </c>
      <c r="K40" s="144"/>
      <c r="L40" s="231">
        <f ca="1">Z40*-1</f>
        <v>8.5646097440248656</v>
      </c>
      <c r="M40" s="144"/>
      <c r="N40" s="211">
        <f ca="1">N39*31</f>
        <v>-11.652049304627553</v>
      </c>
      <c r="O40" s="211">
        <f ca="1">O39*28</f>
        <v>-9.7229688000108005</v>
      </c>
      <c r="P40" s="211">
        <f ca="1">P39*31</f>
        <v>-9.7314950003296889</v>
      </c>
      <c r="Q40" s="211">
        <f t="shared" ref="Q40:X40" ca="1" si="18">Q39*30</f>
        <v>-7.6951726124812119</v>
      </c>
      <c r="R40" s="211">
        <f ca="1">R39*31</f>
        <v>-6.281705767408579</v>
      </c>
      <c r="S40" s="211">
        <f t="shared" ca="1" si="18"/>
        <v>-4.7752258279480868</v>
      </c>
      <c r="T40" s="211">
        <f ca="1">T39*31</f>
        <v>-5.5333932770834053</v>
      </c>
      <c r="U40" s="211">
        <f ca="1">U39*31</f>
        <v>-6.8858479614325736</v>
      </c>
      <c r="V40" s="211">
        <f t="shared" ca="1" si="18"/>
        <v>-8.5090371883749771</v>
      </c>
      <c r="W40" s="211">
        <f ca="1">W39*31</f>
        <v>-10.12624700210673</v>
      </c>
      <c r="X40" s="211">
        <f t="shared" ca="1" si="18"/>
        <v>-10.304522099683453</v>
      </c>
      <c r="Y40" s="211">
        <f ca="1">Y39*31</f>
        <v>-11.557652086811309</v>
      </c>
      <c r="Z40" s="211">
        <f ca="1">AVERAGE(N40:Y40)</f>
        <v>-8.5646097440248656</v>
      </c>
      <c r="AA40" s="200" t="s">
        <v>3126</v>
      </c>
    </row>
    <row r="41" spans="1:27" x14ac:dyDescent="0.25">
      <c r="A41" s="213"/>
      <c r="B41" s="140" t="s">
        <v>3127</v>
      </c>
      <c r="C41" s="230">
        <f>[1]Calculator!E8</f>
        <v>0</v>
      </c>
      <c r="E41" s="229"/>
      <c r="F41" s="149"/>
      <c r="G41" s="114"/>
      <c r="I41" s="200"/>
      <c r="J41" s="144" t="s">
        <v>3128</v>
      </c>
      <c r="K41" s="144"/>
      <c r="L41" s="232">
        <f ca="1">Z41/12</f>
        <v>418.61127724296102</v>
      </c>
      <c r="M41" s="144" t="s">
        <v>3121</v>
      </c>
      <c r="N41" s="211">
        <f ca="1">IF(SIGN(N40)=1, N28-N40, N28+ABS(N40))</f>
        <v>452.98357674292538</v>
      </c>
      <c r="O41" s="211">
        <f t="shared" ref="O41:Y41" ca="1" si="19">IF(SIGN(O40)=1, O28-O40, O28+ABS(O40))</f>
        <v>411.90411880426609</v>
      </c>
      <c r="P41" s="211">
        <f t="shared" ca="1" si="19"/>
        <v>451.06302243862751</v>
      </c>
      <c r="Q41" s="211">
        <f t="shared" ca="1" si="19"/>
        <v>384.91128161248122</v>
      </c>
      <c r="R41" s="211">
        <f t="shared" ca="1" si="19"/>
        <v>396.07168506740862</v>
      </c>
      <c r="S41" s="211">
        <f t="shared" ca="1" si="19"/>
        <v>406.93079360454385</v>
      </c>
      <c r="T41" s="211">
        <f t="shared" ca="1" si="19"/>
        <v>421.09414664623233</v>
      </c>
      <c r="U41" s="211">
        <f t="shared" ca="1" si="19"/>
        <v>422.44660133058147</v>
      </c>
      <c r="V41" s="211">
        <f t="shared" ca="1" si="19"/>
        <v>398.299016488375</v>
      </c>
      <c r="W41" s="211">
        <f t="shared" ca="1" si="19"/>
        <v>387.34235600210673</v>
      </c>
      <c r="X41" s="211">
        <f t="shared" ca="1" si="19"/>
        <v>437.39954865287496</v>
      </c>
      <c r="Y41" s="211">
        <f t="shared" ca="1" si="19"/>
        <v>452.88917952510911</v>
      </c>
      <c r="Z41" s="212">
        <f ca="1">SUM(N41:Y41)</f>
        <v>5023.3353269155323</v>
      </c>
      <c r="AA41" s="200" t="s">
        <v>3129</v>
      </c>
    </row>
    <row r="42" spans="1:27" x14ac:dyDescent="0.25">
      <c r="E42" s="229"/>
      <c r="F42" s="149"/>
      <c r="G42" s="114"/>
      <c r="I42" s="200"/>
      <c r="J42" s="200" t="s">
        <v>3130</v>
      </c>
      <c r="K42" s="200"/>
      <c r="L42" s="233">
        <f ca="1">ABS(N42)/Z41</f>
        <v>0</v>
      </c>
      <c r="M42" s="200" t="s">
        <v>3131</v>
      </c>
      <c r="N42" s="234">
        <f>L45*-1</f>
        <v>0</v>
      </c>
      <c r="O42" s="235">
        <f t="shared" ref="O42:Z42" ca="1" si="20">$Z41</f>
        <v>5023.3353269155323</v>
      </c>
      <c r="P42" s="235">
        <f t="shared" ca="1" si="20"/>
        <v>5023.3353269155323</v>
      </c>
      <c r="Q42" s="235">
        <f t="shared" ca="1" si="20"/>
        <v>5023.3353269155323</v>
      </c>
      <c r="R42" s="235">
        <f t="shared" ca="1" si="20"/>
        <v>5023.3353269155323</v>
      </c>
      <c r="S42" s="235">
        <f t="shared" ca="1" si="20"/>
        <v>5023.3353269155323</v>
      </c>
      <c r="T42" s="235">
        <f t="shared" ca="1" si="20"/>
        <v>5023.3353269155323</v>
      </c>
      <c r="U42" s="235">
        <f t="shared" ca="1" si="20"/>
        <v>5023.3353269155323</v>
      </c>
      <c r="V42" s="235">
        <f t="shared" ca="1" si="20"/>
        <v>5023.3353269155323</v>
      </c>
      <c r="W42" s="235">
        <f t="shared" ca="1" si="20"/>
        <v>5023.3353269155323</v>
      </c>
      <c r="X42" s="235">
        <f t="shared" ca="1" si="20"/>
        <v>5023.3353269155323</v>
      </c>
      <c r="Y42" s="235">
        <f t="shared" ca="1" si="20"/>
        <v>5023.3353269155323</v>
      </c>
      <c r="Z42" s="235">
        <f t="shared" ca="1" si="20"/>
        <v>5023.3353269155323</v>
      </c>
      <c r="AA42" s="200"/>
    </row>
    <row r="43" spans="1:27" x14ac:dyDescent="0.25">
      <c r="A43" s="132"/>
      <c r="B43" s="236" t="s">
        <v>3132</v>
      </c>
      <c r="C43" s="132">
        <f>[1]Calculator!E16</f>
        <v>14.4</v>
      </c>
      <c r="D43" s="132" t="s">
        <v>3054</v>
      </c>
      <c r="E43" s="132"/>
      <c r="F43" s="135"/>
      <c r="G43" s="114"/>
      <c r="I43" s="200"/>
      <c r="J43" s="200" t="s">
        <v>3133</v>
      </c>
      <c r="K43" s="200"/>
      <c r="L43" s="237">
        <f ca="1">SUM(N43:Z43)</f>
        <v>60280.023922986402</v>
      </c>
      <c r="M43" s="200" t="s">
        <v>3134</v>
      </c>
      <c r="N43" s="234">
        <f t="shared" ref="N43:Z43" si="21">N42/(1+$M45)^N44</f>
        <v>0</v>
      </c>
      <c r="O43" s="234">
        <f t="shared" ca="1" si="21"/>
        <v>5023.3353269155323</v>
      </c>
      <c r="P43" s="234">
        <f t="shared" ca="1" si="21"/>
        <v>5023.3353269155323</v>
      </c>
      <c r="Q43" s="234">
        <f t="shared" ca="1" si="21"/>
        <v>5023.3353269155323</v>
      </c>
      <c r="R43" s="234">
        <f t="shared" ca="1" si="21"/>
        <v>5023.3353269155323</v>
      </c>
      <c r="S43" s="234">
        <f t="shared" ca="1" si="21"/>
        <v>5023.3353269155323</v>
      </c>
      <c r="T43" s="234">
        <f t="shared" ca="1" si="21"/>
        <v>5023.3353269155323</v>
      </c>
      <c r="U43" s="234">
        <f t="shared" ca="1" si="21"/>
        <v>5023.3353269155323</v>
      </c>
      <c r="V43" s="234">
        <f t="shared" ca="1" si="21"/>
        <v>5023.3353269155323</v>
      </c>
      <c r="W43" s="234">
        <f t="shared" ca="1" si="21"/>
        <v>5023.3353269155323</v>
      </c>
      <c r="X43" s="234">
        <f t="shared" ca="1" si="21"/>
        <v>5023.3353269155323</v>
      </c>
      <c r="Y43" s="234">
        <f t="shared" ca="1" si="21"/>
        <v>5023.3353269155323</v>
      </c>
      <c r="Z43" s="234">
        <f t="shared" ca="1" si="21"/>
        <v>5023.3353269155323</v>
      </c>
      <c r="AA43" s="200"/>
    </row>
    <row r="44" spans="1:27" x14ac:dyDescent="0.25">
      <c r="A44" s="238" t="s">
        <v>3135</v>
      </c>
      <c r="B44" s="140" t="s">
        <v>3136</v>
      </c>
      <c r="C44" s="239">
        <f>C49*C50</f>
        <v>12</v>
      </c>
      <c r="F44" s="149" t="s">
        <v>3137</v>
      </c>
      <c r="G44" s="114"/>
      <c r="I44" s="200"/>
      <c r="J44" s="200" t="s">
        <v>3099</v>
      </c>
      <c r="K44" s="240"/>
      <c r="L44" s="241">
        <v>0.115</v>
      </c>
      <c r="M44" s="242" t="s">
        <v>3138</v>
      </c>
      <c r="N44" s="218">
        <v>0</v>
      </c>
      <c r="O44" s="218">
        <v>1</v>
      </c>
      <c r="P44" s="218">
        <v>2</v>
      </c>
      <c r="Q44" s="218">
        <v>3</v>
      </c>
      <c r="R44" s="218">
        <v>4</v>
      </c>
      <c r="S44" s="218">
        <v>5</v>
      </c>
      <c r="T44" s="218">
        <v>6</v>
      </c>
      <c r="U44" s="218">
        <v>7</v>
      </c>
      <c r="V44" s="218">
        <v>8</v>
      </c>
      <c r="W44" s="218">
        <v>9</v>
      </c>
      <c r="X44" s="218">
        <v>10</v>
      </c>
      <c r="Y44" s="218">
        <v>11</v>
      </c>
      <c r="Z44" s="218">
        <v>12</v>
      </c>
      <c r="AA44" s="200"/>
    </row>
    <row r="45" spans="1:27" x14ac:dyDescent="0.25">
      <c r="A45" s="238"/>
      <c r="B45" s="140" t="s">
        <v>3139</v>
      </c>
      <c r="C45" s="220" t="str">
        <f>VLOOKUP(C$43, '[1]Arrays-Banks'!$C$20:$M$36, 9, FALSE)</f>
        <v>AGM</v>
      </c>
      <c r="F45" s="149"/>
      <c r="G45" s="114"/>
      <c r="I45" s="200"/>
      <c r="J45" s="200" t="s">
        <v>3140</v>
      </c>
      <c r="K45" s="200"/>
      <c r="L45" s="243">
        <f>E42</f>
        <v>0</v>
      </c>
      <c r="M45" s="244">
        <v>0</v>
      </c>
      <c r="N45" s="740" t="s">
        <v>3141</v>
      </c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200"/>
      <c r="Z45" s="200"/>
      <c r="AA45" s="200"/>
    </row>
    <row r="46" spans="1:27" x14ac:dyDescent="0.25">
      <c r="A46" s="238"/>
      <c r="B46" s="140" t="s">
        <v>3024</v>
      </c>
      <c r="C46" s="245" t="str">
        <f>VLOOKUP(VLOOKUP(C$43, '[1]Arrays-Banks'!$C$20:$M$36, 2, FALSE), Equipment!$A$50:$Q$65, 2, FALSE)</f>
        <v>Victron AGM Supercycle 100Ah</v>
      </c>
      <c r="F46" s="149"/>
      <c r="G46" s="114"/>
      <c r="I46" s="246"/>
      <c r="J46" s="246"/>
      <c r="K46" s="246"/>
      <c r="L46" s="246"/>
      <c r="M46" s="246"/>
      <c r="N46" s="247">
        <f>365/12</f>
        <v>30.416666666666668</v>
      </c>
      <c r="O46" s="246" t="s">
        <v>3142</v>
      </c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</row>
    <row r="47" spans="1:27" x14ac:dyDescent="0.25">
      <c r="A47" s="238"/>
      <c r="B47" s="140" t="s">
        <v>3143</v>
      </c>
      <c r="C47" s="248">
        <f>VLOOKUP(VLOOKUP(C$43, '[1]Arrays-Banks'!$C$20:$M$36, 2, FALSE), Equipment!$A$50:$Q$65, 4, FALSE)</f>
        <v>100</v>
      </c>
      <c r="D47" t="s">
        <v>3144</v>
      </c>
      <c r="G47" s="114"/>
      <c r="I47" s="249" t="s">
        <v>3145</v>
      </c>
      <c r="J47" s="249" t="s">
        <v>3146</v>
      </c>
      <c r="K47" s="249"/>
      <c r="L47" s="249"/>
      <c r="M47" s="246"/>
      <c r="N47" s="250">
        <f t="shared" ref="N47:Y47" si="22">IF($L17*(1+$AA59)&gt;N31, N31*($AA59/(1+$AA59)), N31-$L17)</f>
        <v>13</v>
      </c>
      <c r="O47" s="250">
        <f t="shared" si="22"/>
        <v>13</v>
      </c>
      <c r="P47" s="250">
        <f t="shared" si="22"/>
        <v>13</v>
      </c>
      <c r="Q47" s="250">
        <f t="shared" si="22"/>
        <v>13</v>
      </c>
      <c r="R47" s="250">
        <f t="shared" si="22"/>
        <v>13</v>
      </c>
      <c r="S47" s="250">
        <f t="shared" si="22"/>
        <v>13</v>
      </c>
      <c r="T47" s="250">
        <f t="shared" si="22"/>
        <v>13</v>
      </c>
      <c r="U47" s="250">
        <f t="shared" si="22"/>
        <v>13</v>
      </c>
      <c r="V47" s="250">
        <f t="shared" si="22"/>
        <v>13</v>
      </c>
      <c r="W47" s="250">
        <f t="shared" si="22"/>
        <v>13</v>
      </c>
      <c r="X47" s="250">
        <f t="shared" si="22"/>
        <v>13</v>
      </c>
      <c r="Y47" s="250">
        <f t="shared" si="22"/>
        <v>13</v>
      </c>
      <c r="Z47" s="246"/>
      <c r="AA47" s="246"/>
    </row>
    <row r="48" spans="1:27" x14ac:dyDescent="0.25">
      <c r="A48" s="238"/>
      <c r="B48" s="140" t="s">
        <v>3147</v>
      </c>
      <c r="C48" s="248">
        <f>VLOOKUP(VLOOKUP(C$43, '[1]Arrays-Banks'!$C$20:$M$36, 2, FALSE), Equipment!$A$50:$Q$65, 3, FALSE)</f>
        <v>12</v>
      </c>
      <c r="D48" t="s">
        <v>3148</v>
      </c>
      <c r="F48" s="149"/>
      <c r="G48" s="114"/>
      <c r="I48" s="249"/>
      <c r="J48" s="249" t="s">
        <v>3149</v>
      </c>
      <c r="K48" s="249"/>
      <c r="L48" s="249"/>
      <c r="M48" s="246"/>
      <c r="N48" s="250">
        <f t="shared" ref="N48:Y48" si="23">IF($L17*(1+$AA59)&lt;N31, $L17, N31-N47)</f>
        <v>14.399999999999999</v>
      </c>
      <c r="O48" s="250">
        <f t="shared" si="23"/>
        <v>14.399999999999999</v>
      </c>
      <c r="P48" s="250">
        <f t="shared" si="23"/>
        <v>14.399999999999999</v>
      </c>
      <c r="Q48" s="250">
        <f t="shared" si="23"/>
        <v>14.399999999999999</v>
      </c>
      <c r="R48" s="250">
        <f t="shared" si="23"/>
        <v>14.399999999999999</v>
      </c>
      <c r="S48" s="250">
        <f t="shared" si="23"/>
        <v>14.399999999999999</v>
      </c>
      <c r="T48" s="250">
        <f t="shared" si="23"/>
        <v>14.399999999999999</v>
      </c>
      <c r="U48" s="250">
        <f t="shared" si="23"/>
        <v>14.399999999999999</v>
      </c>
      <c r="V48" s="250">
        <f t="shared" si="23"/>
        <v>14.399999999999999</v>
      </c>
      <c r="W48" s="250">
        <f t="shared" si="23"/>
        <v>14.399999999999999</v>
      </c>
      <c r="X48" s="250">
        <f t="shared" si="23"/>
        <v>14.399999999999999</v>
      </c>
      <c r="Y48" s="250">
        <f t="shared" si="23"/>
        <v>14.399999999999999</v>
      </c>
      <c r="Z48" s="246"/>
      <c r="AA48" s="246"/>
    </row>
    <row r="49" spans="1:27" x14ac:dyDescent="0.25">
      <c r="A49" s="238"/>
      <c r="B49" s="140" t="s">
        <v>3150</v>
      </c>
      <c r="C49" s="248">
        <f>VLOOKUP(C$43, '[1]Arrays-Banks'!$C$20:$M$36, 5, FALSE)</f>
        <v>3</v>
      </c>
      <c r="F49" s="149"/>
      <c r="G49" s="114"/>
      <c r="I49" s="249"/>
      <c r="J49" s="249" t="s">
        <v>3151</v>
      </c>
      <c r="K49" s="249"/>
      <c r="L49" s="249"/>
      <c r="M49" s="246"/>
      <c r="N49" s="250">
        <f t="shared" ref="N49:Y49" si="24">N48/$AA57</f>
        <v>15.319148936170212</v>
      </c>
      <c r="O49" s="250">
        <f t="shared" si="24"/>
        <v>15.319148936170212</v>
      </c>
      <c r="P49" s="250">
        <f t="shared" si="24"/>
        <v>15.319148936170212</v>
      </c>
      <c r="Q49" s="250">
        <f t="shared" si="24"/>
        <v>15.319148936170212</v>
      </c>
      <c r="R49" s="250">
        <f t="shared" si="24"/>
        <v>15.319148936170212</v>
      </c>
      <c r="S49" s="250">
        <f t="shared" si="24"/>
        <v>15.319148936170212</v>
      </c>
      <c r="T49" s="250">
        <f t="shared" si="24"/>
        <v>15.319148936170212</v>
      </c>
      <c r="U49" s="250">
        <f t="shared" si="24"/>
        <v>15.319148936170212</v>
      </c>
      <c r="V49" s="250">
        <f t="shared" si="24"/>
        <v>15.319148936170212</v>
      </c>
      <c r="W49" s="250">
        <f t="shared" si="24"/>
        <v>15.319148936170212</v>
      </c>
      <c r="X49" s="250">
        <f t="shared" si="24"/>
        <v>15.319148936170212</v>
      </c>
      <c r="Y49" s="250">
        <f t="shared" si="24"/>
        <v>15.319148936170212</v>
      </c>
      <c r="Z49" s="246"/>
      <c r="AA49" s="246"/>
    </row>
    <row r="50" spans="1:27" x14ac:dyDescent="0.25">
      <c r="A50" s="238"/>
      <c r="B50" s="140" t="s">
        <v>3152</v>
      </c>
      <c r="C50" s="248">
        <f>VLOOKUP(C$43, '[1]Arrays-Banks'!$C$20:$M$36, 4, FALSE)</f>
        <v>4</v>
      </c>
      <c r="F50" s="149"/>
      <c r="G50" s="114"/>
      <c r="I50" s="249" t="s">
        <v>3145</v>
      </c>
      <c r="J50" s="249" t="s">
        <v>3153</v>
      </c>
      <c r="K50" s="249"/>
      <c r="L50" s="249"/>
      <c r="M50" s="246"/>
      <c r="N50" s="250">
        <f t="shared" ref="N50:Y50" ca="1" si="25">IF((N49+N30)&gt;N25*(1+$AA58), N49+N30-N25, N25*$AA58)</f>
        <v>8.9768637964401243</v>
      </c>
      <c r="O50" s="250">
        <f t="shared" ca="1" si="25"/>
        <v>10.221371296401891</v>
      </c>
      <c r="P50" s="250">
        <f t="shared" ca="1" si="25"/>
        <v>11.67048834664751</v>
      </c>
      <c r="Q50" s="250">
        <f t="shared" ca="1" si="25"/>
        <v>14.166724860110484</v>
      </c>
      <c r="R50" s="250">
        <f t="shared" ca="1" si="25"/>
        <v>16.508902418065613</v>
      </c>
      <c r="S50" s="250">
        <f t="shared" ca="1" si="25"/>
        <v>18.398531794216463</v>
      </c>
      <c r="T50" s="250">
        <f t="shared" ca="1" si="25"/>
        <v>17.55842905246277</v>
      </c>
      <c r="U50" s="250">
        <f t="shared" ca="1" si="25"/>
        <v>15.661578162772495</v>
      </c>
      <c r="V50" s="250">
        <f t="shared" ca="1" si="25"/>
        <v>12.98721098200358</v>
      </c>
      <c r="W50" s="250">
        <f t="shared" ca="1" si="25"/>
        <v>11.116838975291209</v>
      </c>
      <c r="X50" s="250">
        <f t="shared" ca="1" si="25"/>
        <v>10.385058936628976</v>
      </c>
      <c r="Y50" s="250">
        <f t="shared" ca="1" si="25"/>
        <v>9.1092582113296672</v>
      </c>
      <c r="Z50" s="246"/>
      <c r="AA50" s="246"/>
    </row>
    <row r="51" spans="1:27" x14ac:dyDescent="0.25">
      <c r="A51" s="238"/>
      <c r="B51" s="140" t="s">
        <v>3154</v>
      </c>
      <c r="C51" s="188">
        <f>C50*C48</f>
        <v>48</v>
      </c>
      <c r="D51" t="s">
        <v>3148</v>
      </c>
      <c r="F51" s="149"/>
      <c r="G51" s="114"/>
      <c r="I51" s="246"/>
      <c r="J51" s="249" t="s">
        <v>3155</v>
      </c>
      <c r="K51" s="246"/>
      <c r="L51" s="246"/>
      <c r="M51" s="246"/>
      <c r="N51" s="250">
        <f t="shared" ref="N51:Y51" ca="1" si="26">IF((N49+N30)&gt;N25*(1+$AA58), N25*$AA58, N25*(1+$AA58)-N49-N30)</f>
        <v>3.2684570279460177</v>
      </c>
      <c r="O51" s="250">
        <f t="shared" ca="1" si="26"/>
        <v>3.0195555279536643</v>
      </c>
      <c r="P51" s="250">
        <f t="shared" ca="1" si="26"/>
        <v>2.7297321179045406</v>
      </c>
      <c r="Q51" s="250">
        <f t="shared" ca="1" si="26"/>
        <v>2.2304848152119456</v>
      </c>
      <c r="R51" s="250">
        <f t="shared" ca="1" si="26"/>
        <v>1.7620493036209197</v>
      </c>
      <c r="S51" s="250">
        <f t="shared" ca="1" si="26"/>
        <v>1.3841234283907498</v>
      </c>
      <c r="T51" s="250">
        <f t="shared" ca="1" si="26"/>
        <v>1.5521439767414882</v>
      </c>
      <c r="U51" s="250">
        <f t="shared" ca="1" si="26"/>
        <v>1.9315141546795436</v>
      </c>
      <c r="V51" s="250">
        <f t="shared" ca="1" si="26"/>
        <v>2.4663875908333264</v>
      </c>
      <c r="W51" s="250">
        <f t="shared" ca="1" si="26"/>
        <v>2.8404619921758005</v>
      </c>
      <c r="X51" s="250">
        <f t="shared" ca="1" si="26"/>
        <v>2.9868179999082471</v>
      </c>
      <c r="Y51" s="250">
        <f t="shared" ca="1" si="26"/>
        <v>3.2419781449681091</v>
      </c>
      <c r="Z51" s="246"/>
      <c r="AA51" s="246"/>
    </row>
    <row r="52" spans="1:27" x14ac:dyDescent="0.25">
      <c r="A52" s="238"/>
      <c r="B52" s="140" t="s">
        <v>3156</v>
      </c>
      <c r="C52" s="248">
        <f>VLOOKUP(VLOOKUP(C$43, '[1]Arrays-Banks'!$C$20:$M$36, 2, FALSE), Equipment!$A$50:$Q$65, 16, FALSE)*C50</f>
        <v>58.4</v>
      </c>
      <c r="D52" t="s">
        <v>3148</v>
      </c>
      <c r="F52" s="149"/>
      <c r="G52" s="114"/>
      <c r="I52" s="246"/>
      <c r="J52" s="13" t="s">
        <v>3157</v>
      </c>
      <c r="K52" s="13"/>
      <c r="L52" s="13"/>
      <c r="M52" s="246" t="s">
        <v>3158</v>
      </c>
      <c r="N52" s="246"/>
      <c r="O52" s="251">
        <v>980</v>
      </c>
      <c r="P52" s="246">
        <f>O52/N46</f>
        <v>32.219178082191782</v>
      </c>
      <c r="Q52" s="246">
        <f>P52*0.2</f>
        <v>6.4438356164383563</v>
      </c>
      <c r="R52" s="246">
        <f>P52*0.8</f>
        <v>25.775342465753425</v>
      </c>
      <c r="S52" s="246"/>
      <c r="T52" s="246"/>
      <c r="U52" s="246"/>
      <c r="V52" s="246" t="e">
        <f>#REF!</f>
        <v>#REF!</v>
      </c>
      <c r="W52" s="246" t="s">
        <v>3159</v>
      </c>
      <c r="X52" s="246"/>
      <c r="Y52" s="246"/>
      <c r="Z52" s="246"/>
      <c r="AA52" s="246"/>
    </row>
    <row r="53" spans="1:27" x14ac:dyDescent="0.25">
      <c r="A53" s="238"/>
      <c r="B53" s="140" t="s">
        <v>3160</v>
      </c>
      <c r="C53" s="252">
        <f>VLOOKUP(VLOOKUP(C$43, '[1]Arrays-Banks'!$C$20:$M$36, 2, FALSE), Equipment!$A$50:$Q$65, 15, FALSE)</f>
        <v>1</v>
      </c>
      <c r="D53" t="s">
        <v>3161</v>
      </c>
      <c r="F53" s="149"/>
      <c r="G53" s="114"/>
      <c r="I53" s="246"/>
      <c r="J53" s="13" t="s">
        <v>3162</v>
      </c>
      <c r="K53" s="13"/>
      <c r="L53" s="13"/>
      <c r="M53" s="246" t="s">
        <v>3096</v>
      </c>
      <c r="N53" s="246"/>
      <c r="O53" s="253">
        <v>1.24003</v>
      </c>
      <c r="P53" s="246" t="s">
        <v>3163</v>
      </c>
      <c r="Q53" s="246">
        <v>1.24003</v>
      </c>
      <c r="R53" s="246"/>
      <c r="S53" s="246"/>
      <c r="T53" s="246"/>
      <c r="U53" s="246"/>
      <c r="V53" s="246" t="e">
        <f>$O69*V47+V49</f>
        <v>#VALUE!</v>
      </c>
      <c r="W53" s="246" t="s">
        <v>3111</v>
      </c>
      <c r="X53" s="246"/>
      <c r="Y53" s="246"/>
      <c r="Z53" s="246"/>
      <c r="AA53" s="246"/>
    </row>
    <row r="54" spans="1:27" x14ac:dyDescent="0.25">
      <c r="A54" s="238"/>
      <c r="B54" s="140" t="s">
        <v>3164</v>
      </c>
      <c r="C54" s="252">
        <v>0.8</v>
      </c>
      <c r="D54" s="142" t="s">
        <v>3161</v>
      </c>
      <c r="F54" s="149"/>
      <c r="G54" s="114"/>
      <c r="I54" s="246"/>
      <c r="J54" s="246"/>
      <c r="K54" s="246"/>
      <c r="L54" s="246"/>
      <c r="M54" s="246" t="s">
        <v>3165</v>
      </c>
      <c r="N54" s="246"/>
      <c r="O54" s="253">
        <v>0.26619999999999999</v>
      </c>
      <c r="P54" s="246" t="s">
        <v>3166</v>
      </c>
      <c r="Q54" s="246">
        <v>0.26619999999999999</v>
      </c>
      <c r="R54" s="246"/>
      <c r="S54" s="246"/>
      <c r="T54" s="246"/>
      <c r="U54" s="246"/>
      <c r="V54" s="246" t="e">
        <f>$O69*V48+$O68</f>
        <v>#VALUE!</v>
      </c>
      <c r="W54" s="246" t="s">
        <v>3115</v>
      </c>
      <c r="X54" s="246"/>
      <c r="Y54" s="246"/>
      <c r="Z54" s="246"/>
      <c r="AA54" s="246"/>
    </row>
    <row r="55" spans="1:27" x14ac:dyDescent="0.25">
      <c r="A55" s="238"/>
      <c r="B55" s="140" t="s">
        <v>3167</v>
      </c>
      <c r="C55" s="188">
        <f>C49*C47</f>
        <v>300</v>
      </c>
      <c r="D55" t="s">
        <v>3168</v>
      </c>
      <c r="F55" s="149"/>
      <c r="G55" s="114"/>
      <c r="I55" s="246"/>
      <c r="J55" s="254"/>
      <c r="K55" s="246"/>
      <c r="L55" s="246"/>
      <c r="M55" s="246" t="s">
        <v>3169</v>
      </c>
      <c r="N55" s="246"/>
      <c r="O55" s="255">
        <f>MROUND(Q55/365, 0.001)</f>
        <v>0.93200000000000005</v>
      </c>
      <c r="P55" s="246" t="s">
        <v>3163</v>
      </c>
      <c r="Q55" s="253">
        <v>340</v>
      </c>
      <c r="R55" s="246" t="s">
        <v>3170</v>
      </c>
      <c r="S55" s="246"/>
      <c r="T55" s="246"/>
      <c r="U55" s="246"/>
      <c r="V55" s="246">
        <f ca="1">(V42-(V47-V48))*V51</f>
        <v>12392.944857526305</v>
      </c>
      <c r="W55" s="246" t="s">
        <v>3171</v>
      </c>
      <c r="X55" s="246"/>
      <c r="Y55" s="246"/>
      <c r="Z55" s="246"/>
      <c r="AA55" s="246"/>
    </row>
    <row r="56" spans="1:27" x14ac:dyDescent="0.25">
      <c r="A56" s="238"/>
      <c r="B56" s="140" t="s">
        <v>3172</v>
      </c>
      <c r="C56" s="188">
        <f>C47*C48/1000</f>
        <v>1.2</v>
      </c>
      <c r="D56" t="s">
        <v>3054</v>
      </c>
      <c r="F56" s="149"/>
      <c r="G56" s="114"/>
      <c r="I56" s="246"/>
      <c r="J56" s="246"/>
      <c r="K56" s="246"/>
      <c r="L56" s="246"/>
      <c r="M56" s="246" t="s">
        <v>3173</v>
      </c>
      <c r="N56" s="246"/>
      <c r="O56" s="253">
        <v>96</v>
      </c>
      <c r="P56" s="246" t="s">
        <v>3174</v>
      </c>
      <c r="Q56" s="246"/>
      <c r="R56" s="246"/>
      <c r="S56" s="246"/>
      <c r="T56" s="246"/>
      <c r="U56" s="246"/>
      <c r="V56" s="246"/>
      <c r="W56" s="246"/>
      <c r="X56" s="246"/>
      <c r="Y56" s="246"/>
      <c r="Z56" s="241"/>
      <c r="AA56" s="256"/>
    </row>
    <row r="57" spans="1:27" x14ac:dyDescent="0.25">
      <c r="A57" s="238"/>
      <c r="B57" s="140" t="s">
        <v>3175</v>
      </c>
      <c r="C57" s="257">
        <f>C56*C44</f>
        <v>14.399999999999999</v>
      </c>
      <c r="D57" t="s">
        <v>3054</v>
      </c>
      <c r="F57" s="149"/>
      <c r="G57" s="114"/>
      <c r="I57" s="246"/>
      <c r="J57" s="246"/>
      <c r="K57" s="246"/>
      <c r="L57" s="246"/>
      <c r="M57" s="246" t="s">
        <v>3176</v>
      </c>
      <c r="N57" s="246"/>
      <c r="O57" s="255">
        <f>O52*O54</f>
        <v>260.87599999999998</v>
      </c>
      <c r="P57" s="246"/>
      <c r="Q57" s="246"/>
      <c r="R57" s="246"/>
      <c r="S57" s="246"/>
      <c r="T57" s="246"/>
      <c r="U57" s="246"/>
      <c r="V57" s="246" t="s">
        <v>3177</v>
      </c>
      <c r="W57" s="246"/>
      <c r="X57" s="246"/>
      <c r="Y57" s="246"/>
      <c r="Z57" s="256" t="s">
        <v>3178</v>
      </c>
      <c r="AA57" s="256">
        <v>0.94</v>
      </c>
    </row>
    <row r="58" spans="1:27" x14ac:dyDescent="0.25">
      <c r="A58" s="238"/>
      <c r="B58" s="140" t="s">
        <v>3179</v>
      </c>
      <c r="C58" s="257">
        <f>C57*C53</f>
        <v>14.399999999999999</v>
      </c>
      <c r="D58" t="s">
        <v>3054</v>
      </c>
      <c r="E58" s="258" t="s">
        <v>129</v>
      </c>
      <c r="F58" s="149"/>
      <c r="G58" s="114"/>
      <c r="I58" s="246"/>
      <c r="J58" s="246"/>
      <c r="K58" s="246"/>
      <c r="L58" s="246"/>
      <c r="M58" s="246" t="s">
        <v>3180</v>
      </c>
      <c r="N58" s="246"/>
      <c r="O58" s="255">
        <f>O53*O56</f>
        <v>119.04288</v>
      </c>
      <c r="P58" s="246"/>
      <c r="Q58" s="259">
        <v>0</v>
      </c>
      <c r="R58" s="246" t="s">
        <v>3181</v>
      </c>
      <c r="S58" s="246"/>
      <c r="T58" s="246"/>
      <c r="U58" s="246"/>
      <c r="V58" s="246"/>
      <c r="W58" s="246" t="s">
        <v>3182</v>
      </c>
      <c r="X58" s="260">
        <v>0.57089999999999996</v>
      </c>
      <c r="Y58" s="246"/>
      <c r="Z58" s="256" t="s">
        <v>129</v>
      </c>
      <c r="AA58" s="256">
        <v>0.2</v>
      </c>
    </row>
    <row r="59" spans="1:27" x14ac:dyDescent="0.25">
      <c r="A59" s="238"/>
      <c r="B59" s="140" t="s">
        <v>3183</v>
      </c>
      <c r="C59" s="239">
        <f>C81*1000/C51</f>
        <v>250</v>
      </c>
      <c r="D59" t="s">
        <v>133</v>
      </c>
      <c r="E59" s="261">
        <f>C59/C55</f>
        <v>0.83333333333333337</v>
      </c>
      <c r="F59" s="149" t="str">
        <f>IF(E59&lt;(VLOOKUP(VLOOKUP(C$43,'[1]Arrays-Banks'!$C$20:$M$31,2,FALSE),Equipment!$A$50:$Q$60,17,FALSE)),"OK",("IncreaseBanksize"))</f>
        <v>IncreaseBanksize</v>
      </c>
      <c r="G59" s="114"/>
      <c r="I59" s="246"/>
      <c r="J59" s="246"/>
      <c r="K59" s="246"/>
      <c r="L59" s="246"/>
      <c r="M59" s="246"/>
      <c r="N59" s="246"/>
      <c r="O59" s="246"/>
      <c r="P59" s="246"/>
      <c r="Q59" s="255">
        <f>O53*(1-Q58)</f>
        <v>1.24003</v>
      </c>
      <c r="R59" s="246" t="s">
        <v>3184</v>
      </c>
      <c r="S59" s="246"/>
      <c r="T59" s="246"/>
      <c r="U59" s="246"/>
      <c r="V59" s="246"/>
      <c r="W59" s="246" t="s">
        <v>3185</v>
      </c>
      <c r="X59" s="260">
        <v>0.35310000000000002</v>
      </c>
      <c r="Y59" s="246"/>
      <c r="Z59" s="256" t="s">
        <v>3186</v>
      </c>
      <c r="AA59" s="256">
        <v>0.03</v>
      </c>
    </row>
    <row r="60" spans="1:27" x14ac:dyDescent="0.25">
      <c r="A60" s="238"/>
      <c r="B60" s="140" t="s">
        <v>3187</v>
      </c>
      <c r="C60" s="239">
        <f>C80*1000/C51</f>
        <v>562.5</v>
      </c>
      <c r="D60" t="s">
        <v>133</v>
      </c>
      <c r="E60" s="261">
        <f>C60/C55</f>
        <v>1.875</v>
      </c>
      <c r="F60" s="149" t="str">
        <f>IF(E60&lt;(VLOOKUP(VLOOKUP(C$43,'[1]Arrays-Banks'!$C$20:$M$31,2,FALSE),Equipment!$A$50:$R$60,18,FALSE)),"OK",("INCREASE BANK SIZE"))</f>
        <v>INCREASE BANK SIZE</v>
      </c>
      <c r="G60" s="114"/>
      <c r="I60" s="246"/>
      <c r="J60" s="246"/>
      <c r="K60" s="246"/>
      <c r="L60" s="246"/>
      <c r="M60" s="262" t="s">
        <v>3188</v>
      </c>
      <c r="N60" s="246"/>
      <c r="O60" s="255"/>
      <c r="P60" s="246"/>
      <c r="Q60" s="263">
        <v>1.9998</v>
      </c>
      <c r="R60" s="246" t="s">
        <v>3189</v>
      </c>
      <c r="S60" s="246"/>
      <c r="T60" s="246"/>
      <c r="U60" s="246"/>
      <c r="V60" s="246"/>
      <c r="W60" s="246" t="s">
        <v>3190</v>
      </c>
      <c r="X60" s="260">
        <v>0.21890000000000001</v>
      </c>
      <c r="Y60" s="246"/>
      <c r="Z60" s="246"/>
      <c r="AA60" s="246"/>
    </row>
    <row r="61" spans="1:27" ht="15.75" thickBot="1" x14ac:dyDescent="0.3">
      <c r="A61" s="238"/>
      <c r="B61" s="140" t="s">
        <v>3187</v>
      </c>
      <c r="C61" s="239">
        <f>C60*C51</f>
        <v>27000</v>
      </c>
      <c r="D61" t="s">
        <v>3028</v>
      </c>
      <c r="F61" s="149" t="s">
        <v>3191</v>
      </c>
      <c r="G61" s="114"/>
      <c r="I61" s="246"/>
      <c r="J61" s="246"/>
      <c r="K61" s="246"/>
      <c r="L61" s="246"/>
      <c r="M61" s="262" t="s">
        <v>3188</v>
      </c>
      <c r="N61" s="246"/>
      <c r="O61" s="255"/>
      <c r="P61" s="246"/>
      <c r="Q61" s="253">
        <v>0.35</v>
      </c>
      <c r="R61" s="246" t="s">
        <v>3192</v>
      </c>
      <c r="S61" s="246"/>
      <c r="T61" s="246"/>
      <c r="U61" s="246"/>
      <c r="V61" s="246"/>
      <c r="W61" s="246"/>
      <c r="X61" s="246"/>
      <c r="Y61" s="246"/>
      <c r="Z61" s="246"/>
      <c r="AA61" s="246"/>
    </row>
    <row r="62" spans="1:27" ht="15.75" thickBot="1" x14ac:dyDescent="0.3">
      <c r="A62" s="264"/>
      <c r="B62" s="140" t="s">
        <v>3193</v>
      </c>
      <c r="C62" s="239">
        <f>VLOOKUP(VLOOKUP(C$43, '[1]Arrays-Banks'!$C$20:$M$36, 2, FALSE), Equipment!$A$50:$Q$65, 8, FALSE)</f>
        <v>1200</v>
      </c>
      <c r="D62" s="142" t="s">
        <v>3194</v>
      </c>
      <c r="F62" s="163" t="s">
        <v>3195</v>
      </c>
      <c r="G62" s="114"/>
      <c r="I62" s="246"/>
      <c r="J62" s="246"/>
      <c r="K62" s="246"/>
      <c r="L62" s="246"/>
      <c r="M62" s="262" t="s">
        <v>3188</v>
      </c>
      <c r="N62" s="246"/>
      <c r="O62" s="255"/>
      <c r="P62" s="246"/>
      <c r="Q62" s="255">
        <v>0.28999999999999998</v>
      </c>
      <c r="R62" s="246" t="s">
        <v>3196</v>
      </c>
      <c r="S62" s="246"/>
      <c r="T62" s="246"/>
      <c r="U62" s="246"/>
      <c r="V62" s="265" t="s">
        <v>3197</v>
      </c>
      <c r="W62" s="266" t="s">
        <v>3198</v>
      </c>
      <c r="X62" s="267">
        <v>10</v>
      </c>
      <c r="Y62" s="246" t="s">
        <v>3054</v>
      </c>
      <c r="Z62" s="246" t="s">
        <v>3199</v>
      </c>
      <c r="AA62" s="246"/>
    </row>
    <row r="63" spans="1:27" ht="15" customHeight="1" thickBot="1" x14ac:dyDescent="0.3">
      <c r="A63" s="268"/>
      <c r="B63" s="140" t="s">
        <v>3200</v>
      </c>
      <c r="C63" s="188">
        <f>C62/365</f>
        <v>3.2876712328767121</v>
      </c>
      <c r="D63" s="142" t="s">
        <v>3131</v>
      </c>
      <c r="F63" s="149"/>
      <c r="G63" s="114"/>
      <c r="I63" s="246"/>
      <c r="J63" s="246"/>
      <c r="K63" s="246"/>
      <c r="L63" s="246"/>
      <c r="M63" s="246"/>
      <c r="N63" s="246"/>
      <c r="O63" s="246"/>
      <c r="P63" s="246"/>
      <c r="Q63" s="269">
        <v>0.57089999999999996</v>
      </c>
      <c r="R63" s="246" t="s">
        <v>3201</v>
      </c>
      <c r="S63" s="246"/>
      <c r="T63" s="246"/>
      <c r="U63" s="246"/>
      <c r="V63" s="265" t="s">
        <v>3202</v>
      </c>
      <c r="W63" s="266" t="s">
        <v>3203</v>
      </c>
      <c r="X63" s="267">
        <v>27.4</v>
      </c>
      <c r="Y63" s="246" t="s">
        <v>3054</v>
      </c>
      <c r="Z63" s="246" t="s">
        <v>3204</v>
      </c>
      <c r="AA63" s="246"/>
    </row>
    <row r="64" spans="1:27" ht="15" customHeight="1" thickBot="1" x14ac:dyDescent="0.3">
      <c r="A64" s="268"/>
      <c r="B64" s="140" t="s">
        <v>3205</v>
      </c>
      <c r="C64" s="239">
        <f>VLOOKUP(VLOOKUP(C$43, '[1]Arrays-Banks'!$C$20:$M$36, 2, FALSE), Equipment!$A$50:$S$65, 19, FALSE)</f>
        <v>2815</v>
      </c>
      <c r="D64" s="142" t="s">
        <v>133</v>
      </c>
      <c r="E64" s="270">
        <v>35</v>
      </c>
      <c r="F64" s="149" t="s">
        <v>3206</v>
      </c>
      <c r="G64" s="114"/>
      <c r="I64" s="246"/>
      <c r="J64" s="246"/>
      <c r="K64" s="246"/>
      <c r="L64" s="246"/>
      <c r="M64" s="246" t="s">
        <v>3207</v>
      </c>
      <c r="N64" s="246"/>
      <c r="O64" s="271">
        <f>O57+O58-O60-O61-O62</f>
        <v>379.91887999999994</v>
      </c>
      <c r="P64" s="246"/>
      <c r="Q64" s="269">
        <v>0.35310000000000002</v>
      </c>
      <c r="R64" s="246" t="s">
        <v>3208</v>
      </c>
      <c r="S64" s="246"/>
      <c r="T64" s="246"/>
      <c r="U64" s="246"/>
      <c r="V64" s="246"/>
      <c r="W64" s="246"/>
      <c r="X64" s="272">
        <f>SUM(X62:X63)</f>
        <v>37.4</v>
      </c>
      <c r="Y64" s="246"/>
      <c r="Z64" s="246"/>
      <c r="AA64" s="246"/>
    </row>
    <row r="65" spans="1:27" ht="15" customHeight="1" x14ac:dyDescent="0.25">
      <c r="A65" s="264"/>
      <c r="B65" s="140" t="s">
        <v>3209</v>
      </c>
      <c r="C65" s="239">
        <f>C49*C64</f>
        <v>8445</v>
      </c>
      <c r="D65" s="142" t="s">
        <v>133</v>
      </c>
      <c r="E65" s="270">
        <v>35</v>
      </c>
      <c r="F65" s="149" t="s">
        <v>3206</v>
      </c>
      <c r="G65" s="114"/>
      <c r="I65" s="246"/>
      <c r="J65" s="246"/>
      <c r="K65" s="246"/>
      <c r="L65" s="246"/>
      <c r="M65" s="246"/>
      <c r="N65" s="246"/>
      <c r="O65" s="246"/>
      <c r="P65" s="246"/>
      <c r="Q65" s="269">
        <v>0.21890000000000001</v>
      </c>
      <c r="R65" s="246" t="s">
        <v>3210</v>
      </c>
      <c r="S65" s="246"/>
      <c r="T65" s="246"/>
      <c r="U65" s="246"/>
      <c r="V65" s="246"/>
      <c r="W65" s="246"/>
      <c r="X65" s="246"/>
      <c r="Y65" s="246"/>
      <c r="Z65" s="246"/>
      <c r="AA65" s="246"/>
    </row>
    <row r="66" spans="1:27" ht="15" customHeight="1" x14ac:dyDescent="0.25">
      <c r="A66" s="268"/>
      <c r="B66" s="140" t="s">
        <v>3211</v>
      </c>
      <c r="C66" s="239" cm="1">
        <f t="array" ref="C66">INDEX(M81:N92, _xlfn.XMATCH(C65, M81:M92, 1), 2)</f>
        <v>50</v>
      </c>
      <c r="D66" s="142" t="s">
        <v>3059</v>
      </c>
      <c r="F66" s="149"/>
      <c r="G66" s="114"/>
      <c r="I66" s="246"/>
      <c r="J66" s="246"/>
      <c r="K66" s="246"/>
      <c r="L66" s="246"/>
      <c r="M66" s="246"/>
      <c r="N66" s="273" t="s">
        <v>2995</v>
      </c>
      <c r="O66" s="273" t="s">
        <v>2996</v>
      </c>
      <c r="P66" s="273" t="s">
        <v>2997</v>
      </c>
      <c r="Q66" s="273" t="s">
        <v>2998</v>
      </c>
      <c r="R66" s="273" t="s">
        <v>2999</v>
      </c>
      <c r="S66" s="273" t="s">
        <v>3000</v>
      </c>
      <c r="T66" s="273" t="s">
        <v>3001</v>
      </c>
      <c r="U66" s="273" t="s">
        <v>3002</v>
      </c>
      <c r="V66" s="273" t="s">
        <v>3003</v>
      </c>
      <c r="W66" s="273" t="s">
        <v>3004</v>
      </c>
      <c r="X66" s="273" t="s">
        <v>3005</v>
      </c>
      <c r="Y66" s="273" t="s">
        <v>3006</v>
      </c>
      <c r="Z66" s="246"/>
      <c r="AA66" s="246"/>
    </row>
    <row r="67" spans="1:27" ht="15" customHeight="1" x14ac:dyDescent="0.25">
      <c r="A67" s="268"/>
      <c r="B67" s="274" t="s">
        <v>3212</v>
      </c>
      <c r="C67" s="141">
        <v>3</v>
      </c>
      <c r="D67" s="275" t="s">
        <v>3039</v>
      </c>
      <c r="F67" s="149"/>
      <c r="G67" s="114"/>
      <c r="I67" s="246"/>
      <c r="J67" s="246"/>
      <c r="K67" s="246"/>
      <c r="L67" s="246"/>
      <c r="M67" s="266" t="s">
        <v>3213</v>
      </c>
      <c r="N67" s="255">
        <v>0.49249547280141825</v>
      </c>
      <c r="O67" s="255">
        <v>0.49249547280141825</v>
      </c>
      <c r="P67" s="255">
        <v>0.49249547280141825</v>
      </c>
      <c r="Q67" s="255">
        <v>0.42343858999999995</v>
      </c>
      <c r="R67" s="255">
        <v>0.42343858999999995</v>
      </c>
      <c r="S67" s="255">
        <v>0.42343858999999995</v>
      </c>
      <c r="T67" s="255">
        <v>0.42343858999999995</v>
      </c>
      <c r="U67" s="255">
        <v>0.42343858999999995</v>
      </c>
      <c r="V67" s="255">
        <v>0.42343858999999995</v>
      </c>
      <c r="W67" s="255">
        <v>0.42343858999999995</v>
      </c>
      <c r="X67" s="255">
        <v>0.49249547280141825</v>
      </c>
      <c r="Y67" s="255">
        <v>0.49249547280141825</v>
      </c>
      <c r="Z67" s="246"/>
      <c r="AA67" s="246"/>
    </row>
    <row r="68" spans="1:27" ht="15" customHeight="1" x14ac:dyDescent="0.25">
      <c r="A68" s="268"/>
      <c r="B68" s="140" t="s">
        <v>3214</v>
      </c>
      <c r="C68" s="141">
        <v>2</v>
      </c>
      <c r="D68" s="82" t="s">
        <v>3215</v>
      </c>
      <c r="F68" s="149"/>
      <c r="G68" s="114"/>
      <c r="I68" s="246"/>
      <c r="J68" s="246"/>
      <c r="K68" s="246"/>
      <c r="L68" s="246"/>
      <c r="M68" s="266" t="s">
        <v>3216</v>
      </c>
      <c r="N68" s="255">
        <v>0.26685204952891234</v>
      </c>
      <c r="O68" s="255">
        <v>0.26685204952891234</v>
      </c>
      <c r="P68" s="255">
        <v>0.26685204952891234</v>
      </c>
      <c r="Q68" s="255">
        <v>0.23137534306569346</v>
      </c>
      <c r="R68" s="255">
        <v>0.23137534306569346</v>
      </c>
      <c r="S68" s="255">
        <v>0.26210209507169846</v>
      </c>
      <c r="T68" s="255">
        <v>0.26210209507169846</v>
      </c>
      <c r="U68" s="255">
        <v>0.26210209507169846</v>
      </c>
      <c r="V68" s="255">
        <v>0.23137534306569346</v>
      </c>
      <c r="W68" s="255">
        <v>0.23137534306569346</v>
      </c>
      <c r="X68" s="255">
        <v>0.26685204952891234</v>
      </c>
      <c r="Y68" s="255">
        <v>0.26685204952891234</v>
      </c>
      <c r="Z68" s="246"/>
      <c r="AA68" s="246"/>
    </row>
    <row r="69" spans="1:27" ht="15" customHeight="1" x14ac:dyDescent="0.25">
      <c r="A69" s="268"/>
      <c r="B69" s="274" t="s">
        <v>3217</v>
      </c>
      <c r="C69" s="239">
        <f>C80*1000/(C82*C79)</f>
        <v>585.9375</v>
      </c>
      <c r="D69" s="275" t="s">
        <v>133</v>
      </c>
      <c r="F69" s="149"/>
      <c r="G69" s="114"/>
      <c r="I69" s="246"/>
      <c r="J69" s="276"/>
      <c r="K69" s="246"/>
      <c r="L69" s="246"/>
      <c r="M69" s="246"/>
      <c r="N69" s="246"/>
      <c r="O69" s="277" t="s">
        <v>3218</v>
      </c>
      <c r="P69" s="277"/>
      <c r="Q69" s="277"/>
      <c r="R69" s="277"/>
      <c r="S69" s="277" t="s">
        <v>3219</v>
      </c>
      <c r="T69" s="277"/>
      <c r="U69" s="277"/>
      <c r="V69" s="277"/>
      <c r="W69" s="246"/>
      <c r="X69" s="246"/>
      <c r="Y69" s="246"/>
      <c r="Z69" s="246"/>
      <c r="AA69" s="246"/>
    </row>
    <row r="70" spans="1:27" ht="15" customHeight="1" x14ac:dyDescent="0.25">
      <c r="A70" s="268"/>
      <c r="B70" s="274" t="s">
        <v>3220</v>
      </c>
      <c r="C70" s="195">
        <f>1.68*10^-8*1.0786*C68/C71</f>
        <v>7.2481919999999988E-4</v>
      </c>
      <c r="D70" s="275" t="s">
        <v>3221</v>
      </c>
      <c r="F70" s="149"/>
      <c r="G70" s="114"/>
      <c r="I70" s="246"/>
      <c r="J70" s="246"/>
      <c r="K70" s="276"/>
      <c r="L70" s="246"/>
      <c r="M70" s="266" t="s">
        <v>3222</v>
      </c>
      <c r="N70" s="255">
        <v>14.236500885106382</v>
      </c>
      <c r="O70" s="255">
        <v>14.236500885106382</v>
      </c>
      <c r="P70" s="255">
        <v>14.236500885106382</v>
      </c>
      <c r="Q70" s="255">
        <v>12.573870300000001</v>
      </c>
      <c r="R70" s="255">
        <v>12.573870300000001</v>
      </c>
      <c r="S70" s="255">
        <v>13.405185592553192</v>
      </c>
      <c r="T70" s="255">
        <v>13.405185592553192</v>
      </c>
      <c r="U70" s="255">
        <v>13.405185592553192</v>
      </c>
      <c r="V70" s="255">
        <v>12.573870300000001</v>
      </c>
      <c r="W70" s="255">
        <v>12.573870300000001</v>
      </c>
      <c r="X70" s="255">
        <v>14.236500885106382</v>
      </c>
      <c r="Y70" s="255">
        <v>14.236500885106382</v>
      </c>
      <c r="Z70" s="246"/>
      <c r="AA70" s="246"/>
    </row>
    <row r="71" spans="1:27" ht="15" customHeight="1" x14ac:dyDescent="0.25">
      <c r="A71" s="268"/>
      <c r="B71" s="140" t="s">
        <v>3223</v>
      </c>
      <c r="C71" s="195">
        <f>C66/1000000</f>
        <v>5.0000000000000002E-5</v>
      </c>
      <c r="D71" s="275" t="s">
        <v>3224</v>
      </c>
      <c r="F71" s="149"/>
      <c r="G71" s="114"/>
    </row>
    <row r="72" spans="1:27" ht="15" customHeight="1" thickBot="1" x14ac:dyDescent="0.3">
      <c r="A72" s="268"/>
      <c r="B72" s="140" t="s">
        <v>3225</v>
      </c>
      <c r="C72" s="278">
        <f>C69*C70</f>
        <v>0.4246987499999999</v>
      </c>
      <c r="D72" s="275" t="s">
        <v>3226</v>
      </c>
      <c r="F72" s="149"/>
      <c r="G72" s="114"/>
    </row>
    <row r="73" spans="1:27" ht="15" customHeight="1" thickBot="1" x14ac:dyDescent="0.3">
      <c r="A73" s="268"/>
      <c r="B73" s="140" t="s">
        <v>3227</v>
      </c>
      <c r="C73" s="279">
        <f>C72/C51</f>
        <v>8.8478906249999986E-3</v>
      </c>
      <c r="D73" s="275"/>
      <c r="F73" s="149"/>
      <c r="G73" s="114"/>
    </row>
    <row r="74" spans="1:27" ht="15" customHeight="1" x14ac:dyDescent="0.25">
      <c r="A74" s="140"/>
      <c r="B74" s="140"/>
      <c r="C74" s="140"/>
      <c r="D74" s="142"/>
      <c r="F74" s="149"/>
      <c r="G74" s="114"/>
    </row>
    <row r="75" spans="1:27" ht="15" customHeight="1" x14ac:dyDescent="0.25">
      <c r="A75" s="132"/>
      <c r="B75" s="236" t="s">
        <v>3228</v>
      </c>
      <c r="C75" s="132">
        <f>[1]Calculator!$E$14</f>
        <v>12</v>
      </c>
      <c r="D75" s="132" t="s">
        <v>3229</v>
      </c>
      <c r="E75" s="132"/>
      <c r="F75" s="135"/>
      <c r="G75" s="114"/>
    </row>
    <row r="76" spans="1:27" ht="15" customHeight="1" x14ac:dyDescent="0.25">
      <c r="A76" s="280" t="s">
        <v>3230</v>
      </c>
      <c r="B76" s="140" t="s">
        <v>3231</v>
      </c>
      <c r="C76" s="184">
        <f>VLOOKUP(C$75, Equipment!$A$36:$T$45, 5, FALSE)</f>
        <v>15000</v>
      </c>
      <c r="D76" t="s">
        <v>3232</v>
      </c>
      <c r="F76" s="149"/>
      <c r="G76" s="114"/>
    </row>
    <row r="77" spans="1:27" ht="15" customHeight="1" x14ac:dyDescent="0.25">
      <c r="A77" s="246"/>
      <c r="B77" s="140" t="s">
        <v>2</v>
      </c>
      <c r="C77" s="220" t="str">
        <f>VLOOKUP(C$75, Equipment!$A$36:$T$45, 3, FALSE)</f>
        <v>Victron</v>
      </c>
      <c r="F77" s="149"/>
      <c r="G77" s="114"/>
    </row>
    <row r="78" spans="1:27" ht="15" customHeight="1" x14ac:dyDescent="0.25">
      <c r="A78" s="246"/>
      <c r="B78" s="140" t="s">
        <v>3024</v>
      </c>
      <c r="C78" s="281" t="str">
        <f>VLOOKUP(C$75, Equipment!$A$36:$T$45, 2, FALSE)</f>
        <v>MultiplusII 48/5000/70 x 3</v>
      </c>
      <c r="F78" s="149" t="s">
        <v>3233</v>
      </c>
      <c r="G78" s="114"/>
      <c r="L78" s="282" t="s">
        <v>3234</v>
      </c>
      <c r="O78" s="283" t="s">
        <v>3235</v>
      </c>
      <c r="P78" s="283" t="s">
        <v>3235</v>
      </c>
      <c r="Q78" s="282" t="s">
        <v>3234</v>
      </c>
    </row>
    <row r="79" spans="1:27" ht="15" customHeight="1" x14ac:dyDescent="0.25">
      <c r="A79" s="246"/>
      <c r="B79" s="140" t="s">
        <v>3236</v>
      </c>
      <c r="C79" s="184">
        <f>VLOOKUP(C$75, Equipment!$A$36:$T$45, 4, FALSE)</f>
        <v>48</v>
      </c>
      <c r="D79" t="s">
        <v>3237</v>
      </c>
      <c r="F79" s="149" t="s">
        <v>3238</v>
      </c>
      <c r="G79" s="114"/>
      <c r="L79" s="284" t="s">
        <v>3239</v>
      </c>
      <c r="M79" s="285"/>
      <c r="N79" s="284" t="s">
        <v>3240</v>
      </c>
      <c r="O79" s="284" t="s">
        <v>3239</v>
      </c>
      <c r="P79" s="284" t="s">
        <v>3241</v>
      </c>
      <c r="Q79" s="284" t="s">
        <v>3241</v>
      </c>
      <c r="R79" s="286" t="s">
        <v>3242</v>
      </c>
      <c r="S79" s="284" t="s">
        <v>3243</v>
      </c>
      <c r="T79" s="287" t="s">
        <v>3244</v>
      </c>
    </row>
    <row r="80" spans="1:27" ht="15" customHeight="1" x14ac:dyDescent="0.25">
      <c r="A80" s="246"/>
      <c r="B80" s="140" t="s">
        <v>3245</v>
      </c>
      <c r="C80" s="288">
        <f>VLOOKUP(C$75, Equipment!$A$36:$T$45, 7, FALSE)</f>
        <v>27</v>
      </c>
      <c r="D80" t="s">
        <v>3229</v>
      </c>
      <c r="F80" s="149" t="s">
        <v>3246</v>
      </c>
      <c r="G80" s="114"/>
      <c r="L80" s="284" t="s">
        <v>3247</v>
      </c>
      <c r="M80" s="285" t="s">
        <v>3248</v>
      </c>
      <c r="N80" s="284" t="s">
        <v>3249</v>
      </c>
      <c r="O80" s="284" t="s">
        <v>3247</v>
      </c>
      <c r="P80" s="284" t="s">
        <v>3239</v>
      </c>
      <c r="Q80" s="284" t="s">
        <v>3239</v>
      </c>
      <c r="R80" s="289"/>
      <c r="S80" s="289"/>
      <c r="T80" s="287" t="s">
        <v>3250</v>
      </c>
    </row>
    <row r="81" spans="1:20" x14ac:dyDescent="0.25">
      <c r="A81" s="246"/>
      <c r="B81" s="140" t="s">
        <v>3231</v>
      </c>
      <c r="C81" s="288">
        <f>VLOOKUP(C$75, Equipment!$A$36:$T$45, 6, FALSE)</f>
        <v>12</v>
      </c>
      <c r="D81" t="s">
        <v>3229</v>
      </c>
      <c r="F81" s="149" t="s">
        <v>3251</v>
      </c>
      <c r="G81" s="114"/>
      <c r="H81" s="290"/>
      <c r="L81" s="291">
        <v>54</v>
      </c>
      <c r="M81" s="285">
        <f>P81</f>
        <v>1790</v>
      </c>
      <c r="N81" s="292">
        <v>10</v>
      </c>
      <c r="O81" s="293">
        <v>102</v>
      </c>
      <c r="P81" s="294">
        <v>1790</v>
      </c>
      <c r="Q81" s="291">
        <v>1460</v>
      </c>
      <c r="R81" s="292"/>
      <c r="S81" s="292"/>
      <c r="T81" s="114"/>
    </row>
    <row r="82" spans="1:20" ht="15" customHeight="1" x14ac:dyDescent="0.25">
      <c r="A82" s="246"/>
      <c r="B82" s="140" t="s">
        <v>3252</v>
      </c>
      <c r="C82" s="295">
        <f>VLOOKUP(C$75, Equipment!$A$36:$T$45, 10, FALSE)</f>
        <v>0.96</v>
      </c>
      <c r="F82" s="149" t="s">
        <v>3253</v>
      </c>
      <c r="G82" s="114"/>
      <c r="H82" s="290"/>
      <c r="L82" s="291">
        <v>63</v>
      </c>
      <c r="M82" s="285">
        <f t="shared" ref="M82:M91" si="27">P82</f>
        <v>2327</v>
      </c>
      <c r="N82" s="292">
        <v>13</v>
      </c>
      <c r="O82" s="291">
        <v>63</v>
      </c>
      <c r="P82" s="294">
        <v>2327</v>
      </c>
      <c r="Q82" s="291">
        <v>1898</v>
      </c>
      <c r="R82" s="292" t="s">
        <v>3254</v>
      </c>
      <c r="S82" s="292"/>
    </row>
    <row r="83" spans="1:20" x14ac:dyDescent="0.25">
      <c r="A83" s="140"/>
      <c r="B83" s="140"/>
      <c r="C83" s="140"/>
      <c r="D83" s="142"/>
      <c r="F83" s="149"/>
      <c r="G83" s="114"/>
      <c r="L83" s="291">
        <v>72</v>
      </c>
      <c r="M83" s="285">
        <f t="shared" si="27"/>
        <v>2864</v>
      </c>
      <c r="N83" s="292">
        <v>16</v>
      </c>
      <c r="O83" s="293">
        <v>135</v>
      </c>
      <c r="P83" s="294">
        <v>2864</v>
      </c>
      <c r="Q83" s="291">
        <v>2336</v>
      </c>
      <c r="R83" s="292"/>
      <c r="S83" s="292"/>
      <c r="T83" s="296" t="s">
        <v>3255</v>
      </c>
    </row>
    <row r="84" spans="1:20" x14ac:dyDescent="0.25">
      <c r="A84" s="297" t="s">
        <v>3256</v>
      </c>
      <c r="B84" s="140" t="s">
        <v>3257</v>
      </c>
      <c r="C84" s="184">
        <v>7</v>
      </c>
      <c r="D84" s="142" t="s">
        <v>3258</v>
      </c>
      <c r="F84" s="149" t="s">
        <v>3259</v>
      </c>
      <c r="G84" s="114"/>
      <c r="L84" s="291">
        <v>85</v>
      </c>
      <c r="M84" s="285">
        <f t="shared" si="27"/>
        <v>2958</v>
      </c>
      <c r="N84" s="292">
        <v>20.260000000000002</v>
      </c>
      <c r="O84" s="291">
        <v>85</v>
      </c>
      <c r="P84" s="298">
        <v>2958</v>
      </c>
      <c r="Q84" s="298">
        <v>2958</v>
      </c>
      <c r="R84" s="292" t="s">
        <v>3260</v>
      </c>
      <c r="S84" s="292" t="s">
        <v>3261</v>
      </c>
      <c r="T84" s="299" t="s">
        <v>3262</v>
      </c>
    </row>
    <row r="85" spans="1:20" x14ac:dyDescent="0.25">
      <c r="A85" s="20"/>
      <c r="B85" s="140" t="s">
        <v>3263</v>
      </c>
      <c r="C85" s="188">
        <f>[1]Loads!M9</f>
        <v>31.7</v>
      </c>
      <c r="D85" s="142" t="s">
        <v>3090</v>
      </c>
      <c r="E85" t="s">
        <v>3264</v>
      </c>
      <c r="F85" s="149"/>
      <c r="G85" s="114"/>
      <c r="L85" s="291">
        <v>97</v>
      </c>
      <c r="M85" s="285">
        <f t="shared" si="27"/>
        <v>4475</v>
      </c>
      <c r="N85" s="292">
        <v>25</v>
      </c>
      <c r="O85" s="293">
        <v>178</v>
      </c>
      <c r="P85" s="294">
        <v>4475</v>
      </c>
      <c r="Q85" s="291">
        <v>3650</v>
      </c>
      <c r="R85" s="292" t="s">
        <v>3265</v>
      </c>
      <c r="S85" s="292"/>
      <c r="T85" s="296" t="s">
        <v>3266</v>
      </c>
    </row>
    <row r="86" spans="1:20" x14ac:dyDescent="0.25">
      <c r="A86" s="20"/>
      <c r="B86" s="300" t="s">
        <v>3263</v>
      </c>
      <c r="C86" s="188">
        <f>[1]Loads!M11</f>
        <v>15.507499999999999</v>
      </c>
      <c r="D86" s="223" t="s">
        <v>3090</v>
      </c>
      <c r="E86" s="302" t="s">
        <v>3267</v>
      </c>
      <c r="F86" s="223"/>
      <c r="G86" s="114"/>
      <c r="L86" s="291">
        <v>119</v>
      </c>
      <c r="M86" s="285">
        <f t="shared" si="27"/>
        <v>6265</v>
      </c>
      <c r="N86" s="292">
        <v>35</v>
      </c>
      <c r="O86" s="293">
        <v>221</v>
      </c>
      <c r="P86" s="294">
        <v>6265</v>
      </c>
      <c r="Q86" s="291">
        <v>5110</v>
      </c>
      <c r="R86" s="292"/>
      <c r="S86" s="292"/>
      <c r="T86" s="296"/>
    </row>
    <row r="87" spans="1:20" x14ac:dyDescent="0.25">
      <c r="A87" s="20"/>
      <c r="B87" s="140" t="s">
        <v>3268</v>
      </c>
      <c r="C87" s="188">
        <v>3</v>
      </c>
      <c r="D87" s="142" t="s">
        <v>3269</v>
      </c>
      <c r="E87" t="s">
        <v>3270</v>
      </c>
      <c r="F87" s="149"/>
      <c r="G87" s="114"/>
      <c r="K87" s="290"/>
      <c r="L87" s="291"/>
      <c r="M87" s="285">
        <f t="shared" si="27"/>
        <v>5774</v>
      </c>
      <c r="N87" s="292">
        <v>39.549999999999997</v>
      </c>
      <c r="O87" s="291">
        <v>130</v>
      </c>
      <c r="P87" s="291">
        <v>5774</v>
      </c>
      <c r="Q87" s="291">
        <v>5774</v>
      </c>
      <c r="R87" s="292" t="s">
        <v>3271</v>
      </c>
      <c r="S87" s="292"/>
    </row>
    <row r="88" spans="1:20" x14ac:dyDescent="0.25">
      <c r="A88" s="20"/>
      <c r="B88" s="140" t="s">
        <v>3272</v>
      </c>
      <c r="C88" s="303">
        <f>MIN(N22:Z22)</f>
        <v>2.2999999999999998</v>
      </c>
      <c r="D88" s="142" t="s">
        <v>3273</v>
      </c>
      <c r="E88" s="304" t="str">
        <f>C37</f>
        <v>Cairns</v>
      </c>
      <c r="F88" s="149"/>
      <c r="G88" s="114"/>
      <c r="K88" s="290"/>
      <c r="L88" s="291">
        <v>146</v>
      </c>
      <c r="M88" s="285">
        <f t="shared" si="27"/>
        <v>8950</v>
      </c>
      <c r="N88" s="292">
        <v>50</v>
      </c>
      <c r="O88" s="293">
        <v>279</v>
      </c>
      <c r="P88" s="294">
        <v>8950</v>
      </c>
      <c r="Q88" s="291">
        <v>7300</v>
      </c>
      <c r="R88" s="292" t="s">
        <v>3274</v>
      </c>
      <c r="S88" s="292"/>
    </row>
    <row r="89" spans="1:20" x14ac:dyDescent="0.25">
      <c r="A89" s="20"/>
      <c r="B89" s="140" t="s">
        <v>3275</v>
      </c>
      <c r="C89" s="303">
        <f>MAX(N22:Z22)</f>
        <v>7.4</v>
      </c>
      <c r="D89" s="142" t="s">
        <v>3273</v>
      </c>
      <c r="E89" s="304" t="str">
        <f>E88</f>
        <v>Cairns</v>
      </c>
      <c r="F89" s="149"/>
      <c r="G89" s="114"/>
      <c r="I89" s="305"/>
      <c r="J89" s="296"/>
      <c r="K89" s="296"/>
      <c r="L89" s="291">
        <v>184</v>
      </c>
      <c r="M89" s="285">
        <f t="shared" si="27"/>
        <v>12530</v>
      </c>
      <c r="N89" s="292">
        <v>70</v>
      </c>
      <c r="O89" s="293">
        <v>351</v>
      </c>
      <c r="P89" s="294">
        <v>12530</v>
      </c>
      <c r="Q89" s="291">
        <v>10220</v>
      </c>
      <c r="R89" s="292"/>
      <c r="S89" s="292"/>
    </row>
    <row r="90" spans="1:20" x14ac:dyDescent="0.25">
      <c r="A90" s="20"/>
      <c r="B90" s="140" t="s">
        <v>3276</v>
      </c>
      <c r="C90" s="303">
        <f>C88*C$30*E90*C82/1000</f>
        <v>5.9615999999999989</v>
      </c>
      <c r="D90" s="142" t="s">
        <v>3090</v>
      </c>
      <c r="E90">
        <v>0.9</v>
      </c>
      <c r="F90" s="149" t="s">
        <v>3277</v>
      </c>
      <c r="G90" s="114"/>
      <c r="L90" s="291">
        <v>230</v>
      </c>
      <c r="M90" s="285">
        <f t="shared" si="27"/>
        <v>16110</v>
      </c>
      <c r="N90" s="292">
        <v>95</v>
      </c>
      <c r="O90" s="293">
        <v>422</v>
      </c>
      <c r="P90" s="294">
        <v>16110</v>
      </c>
      <c r="Q90" s="291">
        <v>13870</v>
      </c>
      <c r="R90" s="292"/>
      <c r="S90" s="292"/>
    </row>
    <row r="91" spans="1:20" x14ac:dyDescent="0.25">
      <c r="A91" s="20"/>
      <c r="B91" s="140" t="s">
        <v>3278</v>
      </c>
      <c r="C91" s="303">
        <f>C89*C$30*E91*C82/1000</f>
        <v>19.180799999999998</v>
      </c>
      <c r="D91" s="142" t="s">
        <v>3090</v>
      </c>
      <c r="E91">
        <v>0.9</v>
      </c>
      <c r="F91" s="149" t="s">
        <v>3277</v>
      </c>
      <c r="G91" s="114"/>
      <c r="L91" s="291">
        <v>267</v>
      </c>
      <c r="M91" s="285">
        <f t="shared" si="27"/>
        <v>21480</v>
      </c>
      <c r="N91" s="292">
        <v>120</v>
      </c>
      <c r="O91" s="293">
        <v>500</v>
      </c>
      <c r="P91" s="294">
        <v>21480</v>
      </c>
      <c r="Q91" s="291">
        <v>17520</v>
      </c>
      <c r="R91" s="292"/>
      <c r="S91" s="292"/>
    </row>
    <row r="92" spans="1:20" x14ac:dyDescent="0.25">
      <c r="A92" s="20"/>
      <c r="B92" s="140" t="s">
        <v>3279</v>
      </c>
      <c r="C92" s="303">
        <f>C85*3</f>
        <v>95.1</v>
      </c>
      <c r="D92" s="142" t="s">
        <v>3054</v>
      </c>
      <c r="F92" s="149"/>
      <c r="G92" s="114"/>
      <c r="M92" s="306"/>
      <c r="N92"/>
      <c r="O92"/>
      <c r="P92" t="s">
        <v>3280</v>
      </c>
      <c r="Q92"/>
      <c r="R92"/>
      <c r="S92"/>
    </row>
    <row r="93" spans="1:20" ht="15.75" x14ac:dyDescent="0.25">
      <c r="A93" s="20"/>
      <c r="B93" s="140"/>
      <c r="C93" s="307">
        <f>ROUND(3*C58/C92, 1)</f>
        <v>0.5</v>
      </c>
      <c r="D93" s="142" t="s">
        <v>3281</v>
      </c>
      <c r="F93" s="149"/>
      <c r="L93" s="296"/>
      <c r="N93" s="308" t="s">
        <v>3282</v>
      </c>
      <c r="O93"/>
      <c r="P93" s="309"/>
      <c r="Q93" s="309"/>
      <c r="R93" s="309"/>
      <c r="S93" s="309"/>
    </row>
    <row r="94" spans="1:20" x14ac:dyDescent="0.25">
      <c r="A94" s="20"/>
      <c r="B94" s="140" t="s">
        <v>3283</v>
      </c>
      <c r="C94" s="188">
        <f>[1]Calculator!E11/C82*(1-[1]Calculator!E12/100)</f>
        <v>10.9375</v>
      </c>
      <c r="D94" s="142" t="s">
        <v>3090</v>
      </c>
      <c r="F94" s="149"/>
      <c r="G94" s="296"/>
      <c r="H94" s="310"/>
      <c r="I94" s="296"/>
      <c r="J94" s="296"/>
      <c r="K94" s="296"/>
      <c r="L94" s="311"/>
      <c r="N94" s="312" t="s">
        <v>3242</v>
      </c>
      <c r="O94" s="312" t="s">
        <v>3284</v>
      </c>
      <c r="P94" s="312" t="s">
        <v>3285</v>
      </c>
      <c r="Q94" s="312" t="s">
        <v>3286</v>
      </c>
      <c r="R94" s="312" t="s">
        <v>3287</v>
      </c>
      <c r="S94" s="309"/>
    </row>
    <row r="95" spans="1:20" x14ac:dyDescent="0.25">
      <c r="B95" s="140" t="s">
        <v>3288</v>
      </c>
      <c r="C95" s="303">
        <f>C94*3</f>
        <v>32.8125</v>
      </c>
      <c r="D95" s="142" t="s">
        <v>3054</v>
      </c>
      <c r="I95" s="290"/>
      <c r="K95" s="290"/>
      <c r="L95" s="311"/>
      <c r="N95" s="309" t="s">
        <v>3289</v>
      </c>
      <c r="O95" s="309">
        <v>7.71</v>
      </c>
      <c r="P95" s="309">
        <v>5.5</v>
      </c>
      <c r="Q95" s="309">
        <v>74</v>
      </c>
      <c r="R95" s="309" t="s">
        <v>3290</v>
      </c>
      <c r="S95" s="309"/>
    </row>
    <row r="96" spans="1:20" x14ac:dyDescent="0.25">
      <c r="C96" s="307">
        <f>ROUND(3*C57/C95, 1)</f>
        <v>1.3</v>
      </c>
      <c r="D96" s="142" t="s">
        <v>3281</v>
      </c>
      <c r="I96" s="290"/>
      <c r="K96" s="290"/>
      <c r="L96" s="311"/>
      <c r="N96" s="309" t="s">
        <v>3291</v>
      </c>
      <c r="O96" s="309">
        <v>13.5</v>
      </c>
      <c r="P96" s="309">
        <v>7.2</v>
      </c>
      <c r="Q96" s="309">
        <v>103</v>
      </c>
      <c r="R96" s="309" t="s">
        <v>3292</v>
      </c>
      <c r="S96" s="309"/>
    </row>
    <row r="97" spans="9:19" x14ac:dyDescent="0.25">
      <c r="I97" s="290"/>
      <c r="K97" s="290"/>
      <c r="L97" s="311"/>
      <c r="N97" s="309" t="s">
        <v>3293</v>
      </c>
      <c r="O97" s="309">
        <v>20.260000000000002</v>
      </c>
      <c r="P97" s="309">
        <v>8.3000000000000007</v>
      </c>
      <c r="Q97" s="309">
        <v>135</v>
      </c>
      <c r="R97" s="309" t="s">
        <v>3294</v>
      </c>
      <c r="S97" s="309"/>
    </row>
    <row r="98" spans="9:19" x14ac:dyDescent="0.25">
      <c r="I98" s="290"/>
      <c r="K98" s="290"/>
      <c r="L98" s="311"/>
      <c r="N98" s="309" t="s">
        <v>3295</v>
      </c>
      <c r="O98" s="309">
        <v>26.45</v>
      </c>
      <c r="P98" s="309">
        <v>10.199999999999999</v>
      </c>
      <c r="Q98" s="309">
        <v>168</v>
      </c>
      <c r="R98" s="309" t="s">
        <v>3296</v>
      </c>
      <c r="S98" s="309"/>
    </row>
    <row r="99" spans="9:19" x14ac:dyDescent="0.25">
      <c r="I99" s="290"/>
      <c r="K99" s="290"/>
      <c r="L99" s="311"/>
      <c r="N99" s="309" t="s">
        <v>3297</v>
      </c>
      <c r="O99" s="309">
        <v>32.07</v>
      </c>
      <c r="P99" s="309">
        <v>11.3</v>
      </c>
      <c r="Q99" s="309">
        <v>188</v>
      </c>
      <c r="R99" s="309" t="s">
        <v>3298</v>
      </c>
      <c r="S99" s="309"/>
    </row>
    <row r="100" spans="9:19" x14ac:dyDescent="0.25">
      <c r="I100" s="290"/>
      <c r="K100" s="290"/>
      <c r="N100" s="309" t="s">
        <v>3300</v>
      </c>
      <c r="O100" s="309">
        <v>39.549999999999997</v>
      </c>
      <c r="P100" s="309">
        <v>12.1</v>
      </c>
      <c r="Q100" s="309">
        <v>210</v>
      </c>
      <c r="R100" s="309" t="s">
        <v>3301</v>
      </c>
      <c r="S100" s="309"/>
    </row>
    <row r="101" spans="9:19" x14ac:dyDescent="0.25">
      <c r="N101" s="309" t="s">
        <v>3302</v>
      </c>
      <c r="O101" s="309">
        <v>49</v>
      </c>
      <c r="P101" s="309">
        <v>12.7</v>
      </c>
      <c r="Q101" s="309">
        <v>246</v>
      </c>
      <c r="R101" s="309" t="s">
        <v>3303</v>
      </c>
      <c r="S101" s="309"/>
    </row>
  </sheetData>
  <sheetProtection selectLockedCells="1"/>
  <mergeCells count="10">
    <mergeCell ref="Y8:AA9"/>
    <mergeCell ref="Y11:AA12"/>
    <mergeCell ref="J22:M22"/>
    <mergeCell ref="J23:M23"/>
    <mergeCell ref="J24:M24"/>
    <mergeCell ref="J25:M25"/>
    <mergeCell ref="J26:M26"/>
    <mergeCell ref="J27:M27"/>
    <mergeCell ref="N45:X45"/>
    <mergeCell ref="J7:K7"/>
  </mergeCells>
  <dataValidations count="1">
    <dataValidation type="list" allowBlank="1" showInputMessage="1" showErrorMessage="1" sqref="C37" xr:uid="{5F31D7E2-5520-4731-98C3-D8030891027D}">
      <formula1>Locations</formula1>
    </dataValidation>
  </dataValidations>
  <hyperlinks>
    <hyperlink ref="T84" r:id="rId1" xr:uid="{9698B82B-4323-4D28-A652-090F7BEC6A1B}"/>
  </hyperlinks>
  <pageMargins left="0.7" right="0.7" top="0.75" bottom="0.75" header="0.3" footer="0.3"/>
  <pageSetup paperSize="9" scale="18" fitToHeight="0" orientation="portrait" r:id="rId2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A2B57-11DD-4181-9C97-24193474C292}">
  <sheetPr>
    <tabColor theme="7" tint="0.59999389629810485"/>
    <pageSetUpPr fitToPage="1"/>
  </sheetPr>
  <dimension ref="A1:AR114"/>
  <sheetViews>
    <sheetView topLeftCell="A27" zoomScaleNormal="100" workbookViewId="0">
      <selection activeCell="C31" sqref="C31"/>
    </sheetView>
  </sheetViews>
  <sheetFormatPr defaultRowHeight="15" x14ac:dyDescent="0.25"/>
  <cols>
    <col min="1" max="1" width="9.140625" customWidth="1"/>
    <col min="2" max="2" width="23.140625" customWidth="1"/>
    <col min="3" max="3" width="8.85546875" customWidth="1"/>
    <col min="4" max="4" width="9.85546875" customWidth="1"/>
    <col min="5" max="5" width="10.28515625" bestFit="1" customWidth="1"/>
    <col min="6" max="6" width="34.5703125" style="158" customWidth="1"/>
    <col min="7" max="7" width="13" style="115" customWidth="1"/>
    <col min="8" max="11" width="9.140625" style="115"/>
    <col min="12" max="12" width="10.140625" style="115" bestFit="1" customWidth="1"/>
    <col min="13" max="13" width="9.140625" style="115"/>
    <col min="14" max="14" width="9.5703125" style="115" customWidth="1"/>
    <col min="15" max="16" width="9.140625" style="115"/>
    <col min="17" max="17" width="9.140625" style="115" customWidth="1"/>
    <col min="18" max="25" width="9.140625" style="115"/>
    <col min="26" max="26" width="9.42578125" style="115" bestFit="1" customWidth="1"/>
    <col min="27" max="29" width="9.140625" style="115"/>
    <col min="30" max="30" width="18.85546875" style="115" customWidth="1"/>
    <col min="31" max="256" width="9.140625" style="115"/>
    <col min="257" max="257" width="9.140625" style="115" customWidth="1"/>
    <col min="258" max="258" width="23.140625" style="115" customWidth="1"/>
    <col min="259" max="259" width="8.85546875" style="115" customWidth="1"/>
    <col min="260" max="260" width="9.85546875" style="115" customWidth="1"/>
    <col min="261" max="261" width="10.28515625" style="115" bestFit="1" customWidth="1"/>
    <col min="262" max="262" width="34.5703125" style="115" customWidth="1"/>
    <col min="263" max="263" width="13" style="115" customWidth="1"/>
    <col min="264" max="267" width="9.140625" style="115"/>
    <col min="268" max="268" width="10.140625" style="115" bestFit="1" customWidth="1"/>
    <col min="269" max="512" width="9.140625" style="115"/>
    <col min="513" max="513" width="9.140625" style="115" customWidth="1"/>
    <col min="514" max="514" width="23.140625" style="115" customWidth="1"/>
    <col min="515" max="515" width="8.85546875" style="115" customWidth="1"/>
    <col min="516" max="516" width="9.85546875" style="115" customWidth="1"/>
    <col min="517" max="517" width="10.28515625" style="115" bestFit="1" customWidth="1"/>
    <col min="518" max="518" width="34.5703125" style="115" customWidth="1"/>
    <col min="519" max="519" width="13" style="115" customWidth="1"/>
    <col min="520" max="523" width="9.140625" style="115"/>
    <col min="524" max="524" width="10.140625" style="115" bestFit="1" customWidth="1"/>
    <col min="525" max="768" width="9.140625" style="115"/>
    <col min="769" max="769" width="9.140625" style="115" customWidth="1"/>
    <col min="770" max="770" width="23.140625" style="115" customWidth="1"/>
    <col min="771" max="771" width="8.85546875" style="115" customWidth="1"/>
    <col min="772" max="772" width="9.85546875" style="115" customWidth="1"/>
    <col min="773" max="773" width="10.28515625" style="115" bestFit="1" customWidth="1"/>
    <col min="774" max="774" width="34.5703125" style="115" customWidth="1"/>
    <col min="775" max="775" width="13" style="115" customWidth="1"/>
    <col min="776" max="779" width="9.140625" style="115"/>
    <col min="780" max="780" width="10.140625" style="115" bestFit="1" customWidth="1"/>
    <col min="781" max="1024" width="9.140625" style="115"/>
    <col min="1025" max="1025" width="9.140625" style="115" customWidth="1"/>
    <col min="1026" max="1026" width="23.140625" style="115" customWidth="1"/>
    <col min="1027" max="1027" width="8.85546875" style="115" customWidth="1"/>
    <col min="1028" max="1028" width="9.85546875" style="115" customWidth="1"/>
    <col min="1029" max="1029" width="10.28515625" style="115" bestFit="1" customWidth="1"/>
    <col min="1030" max="1030" width="34.5703125" style="115" customWidth="1"/>
    <col min="1031" max="1031" width="13" style="115" customWidth="1"/>
    <col min="1032" max="1035" width="9.140625" style="115"/>
    <col min="1036" max="1036" width="10.140625" style="115" bestFit="1" customWidth="1"/>
    <col min="1037" max="1280" width="9.140625" style="115"/>
    <col min="1281" max="1281" width="9.140625" style="115" customWidth="1"/>
    <col min="1282" max="1282" width="23.140625" style="115" customWidth="1"/>
    <col min="1283" max="1283" width="8.85546875" style="115" customWidth="1"/>
    <col min="1284" max="1284" width="9.85546875" style="115" customWidth="1"/>
    <col min="1285" max="1285" width="10.28515625" style="115" bestFit="1" customWidth="1"/>
    <col min="1286" max="1286" width="34.5703125" style="115" customWidth="1"/>
    <col min="1287" max="1287" width="13" style="115" customWidth="1"/>
    <col min="1288" max="1291" width="9.140625" style="115"/>
    <col min="1292" max="1292" width="10.140625" style="115" bestFit="1" customWidth="1"/>
    <col min="1293" max="1536" width="9.140625" style="115"/>
    <col min="1537" max="1537" width="9.140625" style="115" customWidth="1"/>
    <col min="1538" max="1538" width="23.140625" style="115" customWidth="1"/>
    <col min="1539" max="1539" width="8.85546875" style="115" customWidth="1"/>
    <col min="1540" max="1540" width="9.85546875" style="115" customWidth="1"/>
    <col min="1541" max="1541" width="10.28515625" style="115" bestFit="1" customWidth="1"/>
    <col min="1542" max="1542" width="34.5703125" style="115" customWidth="1"/>
    <col min="1543" max="1543" width="13" style="115" customWidth="1"/>
    <col min="1544" max="1547" width="9.140625" style="115"/>
    <col min="1548" max="1548" width="10.140625" style="115" bestFit="1" customWidth="1"/>
    <col min="1549" max="1792" width="9.140625" style="115"/>
    <col min="1793" max="1793" width="9.140625" style="115" customWidth="1"/>
    <col min="1794" max="1794" width="23.140625" style="115" customWidth="1"/>
    <col min="1795" max="1795" width="8.85546875" style="115" customWidth="1"/>
    <col min="1796" max="1796" width="9.85546875" style="115" customWidth="1"/>
    <col min="1797" max="1797" width="10.28515625" style="115" bestFit="1" customWidth="1"/>
    <col min="1798" max="1798" width="34.5703125" style="115" customWidth="1"/>
    <col min="1799" max="1799" width="13" style="115" customWidth="1"/>
    <col min="1800" max="1803" width="9.140625" style="115"/>
    <col min="1804" max="1804" width="10.140625" style="115" bestFit="1" customWidth="1"/>
    <col min="1805" max="2048" width="9.140625" style="115"/>
    <col min="2049" max="2049" width="9.140625" style="115" customWidth="1"/>
    <col min="2050" max="2050" width="23.140625" style="115" customWidth="1"/>
    <col min="2051" max="2051" width="8.85546875" style="115" customWidth="1"/>
    <col min="2052" max="2052" width="9.85546875" style="115" customWidth="1"/>
    <col min="2053" max="2053" width="10.28515625" style="115" bestFit="1" customWidth="1"/>
    <col min="2054" max="2054" width="34.5703125" style="115" customWidth="1"/>
    <col min="2055" max="2055" width="13" style="115" customWidth="1"/>
    <col min="2056" max="2059" width="9.140625" style="115"/>
    <col min="2060" max="2060" width="10.140625" style="115" bestFit="1" customWidth="1"/>
    <col min="2061" max="2304" width="9.140625" style="115"/>
    <col min="2305" max="2305" width="9.140625" style="115" customWidth="1"/>
    <col min="2306" max="2306" width="23.140625" style="115" customWidth="1"/>
    <col min="2307" max="2307" width="8.85546875" style="115" customWidth="1"/>
    <col min="2308" max="2308" width="9.85546875" style="115" customWidth="1"/>
    <col min="2309" max="2309" width="10.28515625" style="115" bestFit="1" customWidth="1"/>
    <col min="2310" max="2310" width="34.5703125" style="115" customWidth="1"/>
    <col min="2311" max="2311" width="13" style="115" customWidth="1"/>
    <col min="2312" max="2315" width="9.140625" style="115"/>
    <col min="2316" max="2316" width="10.140625" style="115" bestFit="1" customWidth="1"/>
    <col min="2317" max="2560" width="9.140625" style="115"/>
    <col min="2561" max="2561" width="9.140625" style="115" customWidth="1"/>
    <col min="2562" max="2562" width="23.140625" style="115" customWidth="1"/>
    <col min="2563" max="2563" width="8.85546875" style="115" customWidth="1"/>
    <col min="2564" max="2564" width="9.85546875" style="115" customWidth="1"/>
    <col min="2565" max="2565" width="10.28515625" style="115" bestFit="1" customWidth="1"/>
    <col min="2566" max="2566" width="34.5703125" style="115" customWidth="1"/>
    <col min="2567" max="2567" width="13" style="115" customWidth="1"/>
    <col min="2568" max="2571" width="9.140625" style="115"/>
    <col min="2572" max="2572" width="10.140625" style="115" bestFit="1" customWidth="1"/>
    <col min="2573" max="2816" width="9.140625" style="115"/>
    <col min="2817" max="2817" width="9.140625" style="115" customWidth="1"/>
    <col min="2818" max="2818" width="23.140625" style="115" customWidth="1"/>
    <col min="2819" max="2819" width="8.85546875" style="115" customWidth="1"/>
    <col min="2820" max="2820" width="9.85546875" style="115" customWidth="1"/>
    <col min="2821" max="2821" width="10.28515625" style="115" bestFit="1" customWidth="1"/>
    <col min="2822" max="2822" width="34.5703125" style="115" customWidth="1"/>
    <col min="2823" max="2823" width="13" style="115" customWidth="1"/>
    <col min="2824" max="2827" width="9.140625" style="115"/>
    <col min="2828" max="2828" width="10.140625" style="115" bestFit="1" customWidth="1"/>
    <col min="2829" max="3072" width="9.140625" style="115"/>
    <col min="3073" max="3073" width="9.140625" style="115" customWidth="1"/>
    <col min="3074" max="3074" width="23.140625" style="115" customWidth="1"/>
    <col min="3075" max="3075" width="8.85546875" style="115" customWidth="1"/>
    <col min="3076" max="3076" width="9.85546875" style="115" customWidth="1"/>
    <col min="3077" max="3077" width="10.28515625" style="115" bestFit="1" customWidth="1"/>
    <col min="3078" max="3078" width="34.5703125" style="115" customWidth="1"/>
    <col min="3079" max="3079" width="13" style="115" customWidth="1"/>
    <col min="3080" max="3083" width="9.140625" style="115"/>
    <col min="3084" max="3084" width="10.140625" style="115" bestFit="1" customWidth="1"/>
    <col min="3085" max="3328" width="9.140625" style="115"/>
    <col min="3329" max="3329" width="9.140625" style="115" customWidth="1"/>
    <col min="3330" max="3330" width="23.140625" style="115" customWidth="1"/>
    <col min="3331" max="3331" width="8.85546875" style="115" customWidth="1"/>
    <col min="3332" max="3332" width="9.85546875" style="115" customWidth="1"/>
    <col min="3333" max="3333" width="10.28515625" style="115" bestFit="1" customWidth="1"/>
    <col min="3334" max="3334" width="34.5703125" style="115" customWidth="1"/>
    <col min="3335" max="3335" width="13" style="115" customWidth="1"/>
    <col min="3336" max="3339" width="9.140625" style="115"/>
    <col min="3340" max="3340" width="10.140625" style="115" bestFit="1" customWidth="1"/>
    <col min="3341" max="3584" width="9.140625" style="115"/>
    <col min="3585" max="3585" width="9.140625" style="115" customWidth="1"/>
    <col min="3586" max="3586" width="23.140625" style="115" customWidth="1"/>
    <col min="3587" max="3587" width="8.85546875" style="115" customWidth="1"/>
    <col min="3588" max="3588" width="9.85546875" style="115" customWidth="1"/>
    <col min="3589" max="3589" width="10.28515625" style="115" bestFit="1" customWidth="1"/>
    <col min="3590" max="3590" width="34.5703125" style="115" customWidth="1"/>
    <col min="3591" max="3591" width="13" style="115" customWidth="1"/>
    <col min="3592" max="3595" width="9.140625" style="115"/>
    <col min="3596" max="3596" width="10.140625" style="115" bestFit="1" customWidth="1"/>
    <col min="3597" max="3840" width="9.140625" style="115"/>
    <col min="3841" max="3841" width="9.140625" style="115" customWidth="1"/>
    <col min="3842" max="3842" width="23.140625" style="115" customWidth="1"/>
    <col min="3843" max="3843" width="8.85546875" style="115" customWidth="1"/>
    <col min="3844" max="3844" width="9.85546875" style="115" customWidth="1"/>
    <col min="3845" max="3845" width="10.28515625" style="115" bestFit="1" customWidth="1"/>
    <col min="3846" max="3846" width="34.5703125" style="115" customWidth="1"/>
    <col min="3847" max="3847" width="13" style="115" customWidth="1"/>
    <col min="3848" max="3851" width="9.140625" style="115"/>
    <col min="3852" max="3852" width="10.140625" style="115" bestFit="1" customWidth="1"/>
    <col min="3853" max="4096" width="9.140625" style="115"/>
    <col min="4097" max="4097" width="9.140625" style="115" customWidth="1"/>
    <col min="4098" max="4098" width="23.140625" style="115" customWidth="1"/>
    <col min="4099" max="4099" width="8.85546875" style="115" customWidth="1"/>
    <col min="4100" max="4100" width="9.85546875" style="115" customWidth="1"/>
    <col min="4101" max="4101" width="10.28515625" style="115" bestFit="1" customWidth="1"/>
    <col min="4102" max="4102" width="34.5703125" style="115" customWidth="1"/>
    <col min="4103" max="4103" width="13" style="115" customWidth="1"/>
    <col min="4104" max="4107" width="9.140625" style="115"/>
    <col min="4108" max="4108" width="10.140625" style="115" bestFit="1" customWidth="1"/>
    <col min="4109" max="4352" width="9.140625" style="115"/>
    <col min="4353" max="4353" width="9.140625" style="115" customWidth="1"/>
    <col min="4354" max="4354" width="23.140625" style="115" customWidth="1"/>
    <col min="4355" max="4355" width="8.85546875" style="115" customWidth="1"/>
    <col min="4356" max="4356" width="9.85546875" style="115" customWidth="1"/>
    <col min="4357" max="4357" width="10.28515625" style="115" bestFit="1" customWidth="1"/>
    <col min="4358" max="4358" width="34.5703125" style="115" customWidth="1"/>
    <col min="4359" max="4359" width="13" style="115" customWidth="1"/>
    <col min="4360" max="4363" width="9.140625" style="115"/>
    <col min="4364" max="4364" width="10.140625" style="115" bestFit="1" customWidth="1"/>
    <col min="4365" max="4608" width="9.140625" style="115"/>
    <col min="4609" max="4609" width="9.140625" style="115" customWidth="1"/>
    <col min="4610" max="4610" width="23.140625" style="115" customWidth="1"/>
    <col min="4611" max="4611" width="8.85546875" style="115" customWidth="1"/>
    <col min="4612" max="4612" width="9.85546875" style="115" customWidth="1"/>
    <col min="4613" max="4613" width="10.28515625" style="115" bestFit="1" customWidth="1"/>
    <col min="4614" max="4614" width="34.5703125" style="115" customWidth="1"/>
    <col min="4615" max="4615" width="13" style="115" customWidth="1"/>
    <col min="4616" max="4619" width="9.140625" style="115"/>
    <col min="4620" max="4620" width="10.140625" style="115" bestFit="1" customWidth="1"/>
    <col min="4621" max="4864" width="9.140625" style="115"/>
    <col min="4865" max="4865" width="9.140625" style="115" customWidth="1"/>
    <col min="4866" max="4866" width="23.140625" style="115" customWidth="1"/>
    <col min="4867" max="4867" width="8.85546875" style="115" customWidth="1"/>
    <col min="4868" max="4868" width="9.85546875" style="115" customWidth="1"/>
    <col min="4869" max="4869" width="10.28515625" style="115" bestFit="1" customWidth="1"/>
    <col min="4870" max="4870" width="34.5703125" style="115" customWidth="1"/>
    <col min="4871" max="4871" width="13" style="115" customWidth="1"/>
    <col min="4872" max="4875" width="9.140625" style="115"/>
    <col min="4876" max="4876" width="10.140625" style="115" bestFit="1" customWidth="1"/>
    <col min="4877" max="5120" width="9.140625" style="115"/>
    <col min="5121" max="5121" width="9.140625" style="115" customWidth="1"/>
    <col min="5122" max="5122" width="23.140625" style="115" customWidth="1"/>
    <col min="5123" max="5123" width="8.85546875" style="115" customWidth="1"/>
    <col min="5124" max="5124" width="9.85546875" style="115" customWidth="1"/>
    <col min="5125" max="5125" width="10.28515625" style="115" bestFit="1" customWidth="1"/>
    <col min="5126" max="5126" width="34.5703125" style="115" customWidth="1"/>
    <col min="5127" max="5127" width="13" style="115" customWidth="1"/>
    <col min="5128" max="5131" width="9.140625" style="115"/>
    <col min="5132" max="5132" width="10.140625" style="115" bestFit="1" customWidth="1"/>
    <col min="5133" max="5376" width="9.140625" style="115"/>
    <col min="5377" max="5377" width="9.140625" style="115" customWidth="1"/>
    <col min="5378" max="5378" width="23.140625" style="115" customWidth="1"/>
    <col min="5379" max="5379" width="8.85546875" style="115" customWidth="1"/>
    <col min="5380" max="5380" width="9.85546875" style="115" customWidth="1"/>
    <col min="5381" max="5381" width="10.28515625" style="115" bestFit="1" customWidth="1"/>
    <col min="5382" max="5382" width="34.5703125" style="115" customWidth="1"/>
    <col min="5383" max="5383" width="13" style="115" customWidth="1"/>
    <col min="5384" max="5387" width="9.140625" style="115"/>
    <col min="5388" max="5388" width="10.140625" style="115" bestFit="1" customWidth="1"/>
    <col min="5389" max="5632" width="9.140625" style="115"/>
    <col min="5633" max="5633" width="9.140625" style="115" customWidth="1"/>
    <col min="5634" max="5634" width="23.140625" style="115" customWidth="1"/>
    <col min="5635" max="5635" width="8.85546875" style="115" customWidth="1"/>
    <col min="5636" max="5636" width="9.85546875" style="115" customWidth="1"/>
    <col min="5637" max="5637" width="10.28515625" style="115" bestFit="1" customWidth="1"/>
    <col min="5638" max="5638" width="34.5703125" style="115" customWidth="1"/>
    <col min="5639" max="5639" width="13" style="115" customWidth="1"/>
    <col min="5640" max="5643" width="9.140625" style="115"/>
    <col min="5644" max="5644" width="10.140625" style="115" bestFit="1" customWidth="1"/>
    <col min="5645" max="5888" width="9.140625" style="115"/>
    <col min="5889" max="5889" width="9.140625" style="115" customWidth="1"/>
    <col min="5890" max="5890" width="23.140625" style="115" customWidth="1"/>
    <col min="5891" max="5891" width="8.85546875" style="115" customWidth="1"/>
    <col min="5892" max="5892" width="9.85546875" style="115" customWidth="1"/>
    <col min="5893" max="5893" width="10.28515625" style="115" bestFit="1" customWidth="1"/>
    <col min="5894" max="5894" width="34.5703125" style="115" customWidth="1"/>
    <col min="5895" max="5895" width="13" style="115" customWidth="1"/>
    <col min="5896" max="5899" width="9.140625" style="115"/>
    <col min="5900" max="5900" width="10.140625" style="115" bestFit="1" customWidth="1"/>
    <col min="5901" max="6144" width="9.140625" style="115"/>
    <col min="6145" max="6145" width="9.140625" style="115" customWidth="1"/>
    <col min="6146" max="6146" width="23.140625" style="115" customWidth="1"/>
    <col min="6147" max="6147" width="8.85546875" style="115" customWidth="1"/>
    <col min="6148" max="6148" width="9.85546875" style="115" customWidth="1"/>
    <col min="6149" max="6149" width="10.28515625" style="115" bestFit="1" customWidth="1"/>
    <col min="6150" max="6150" width="34.5703125" style="115" customWidth="1"/>
    <col min="6151" max="6151" width="13" style="115" customWidth="1"/>
    <col min="6152" max="6155" width="9.140625" style="115"/>
    <col min="6156" max="6156" width="10.140625" style="115" bestFit="1" customWidth="1"/>
    <col min="6157" max="6400" width="9.140625" style="115"/>
    <col min="6401" max="6401" width="9.140625" style="115" customWidth="1"/>
    <col min="6402" max="6402" width="23.140625" style="115" customWidth="1"/>
    <col min="6403" max="6403" width="8.85546875" style="115" customWidth="1"/>
    <col min="6404" max="6404" width="9.85546875" style="115" customWidth="1"/>
    <col min="6405" max="6405" width="10.28515625" style="115" bestFit="1" customWidth="1"/>
    <col min="6406" max="6406" width="34.5703125" style="115" customWidth="1"/>
    <col min="6407" max="6407" width="13" style="115" customWidth="1"/>
    <col min="6408" max="6411" width="9.140625" style="115"/>
    <col min="6412" max="6412" width="10.140625" style="115" bestFit="1" customWidth="1"/>
    <col min="6413" max="6656" width="9.140625" style="115"/>
    <col min="6657" max="6657" width="9.140625" style="115" customWidth="1"/>
    <col min="6658" max="6658" width="23.140625" style="115" customWidth="1"/>
    <col min="6659" max="6659" width="8.85546875" style="115" customWidth="1"/>
    <col min="6660" max="6660" width="9.85546875" style="115" customWidth="1"/>
    <col min="6661" max="6661" width="10.28515625" style="115" bestFit="1" customWidth="1"/>
    <col min="6662" max="6662" width="34.5703125" style="115" customWidth="1"/>
    <col min="6663" max="6663" width="13" style="115" customWidth="1"/>
    <col min="6664" max="6667" width="9.140625" style="115"/>
    <col min="6668" max="6668" width="10.140625" style="115" bestFit="1" customWidth="1"/>
    <col min="6669" max="6912" width="9.140625" style="115"/>
    <col min="6913" max="6913" width="9.140625" style="115" customWidth="1"/>
    <col min="6914" max="6914" width="23.140625" style="115" customWidth="1"/>
    <col min="6915" max="6915" width="8.85546875" style="115" customWidth="1"/>
    <col min="6916" max="6916" width="9.85546875" style="115" customWidth="1"/>
    <col min="6917" max="6917" width="10.28515625" style="115" bestFit="1" customWidth="1"/>
    <col min="6918" max="6918" width="34.5703125" style="115" customWidth="1"/>
    <col min="6919" max="6919" width="13" style="115" customWidth="1"/>
    <col min="6920" max="6923" width="9.140625" style="115"/>
    <col min="6924" max="6924" width="10.140625" style="115" bestFit="1" customWidth="1"/>
    <col min="6925" max="7168" width="9.140625" style="115"/>
    <col min="7169" max="7169" width="9.140625" style="115" customWidth="1"/>
    <col min="7170" max="7170" width="23.140625" style="115" customWidth="1"/>
    <col min="7171" max="7171" width="8.85546875" style="115" customWidth="1"/>
    <col min="7172" max="7172" width="9.85546875" style="115" customWidth="1"/>
    <col min="7173" max="7173" width="10.28515625" style="115" bestFit="1" customWidth="1"/>
    <col min="7174" max="7174" width="34.5703125" style="115" customWidth="1"/>
    <col min="7175" max="7175" width="13" style="115" customWidth="1"/>
    <col min="7176" max="7179" width="9.140625" style="115"/>
    <col min="7180" max="7180" width="10.140625" style="115" bestFit="1" customWidth="1"/>
    <col min="7181" max="7424" width="9.140625" style="115"/>
    <col min="7425" max="7425" width="9.140625" style="115" customWidth="1"/>
    <col min="7426" max="7426" width="23.140625" style="115" customWidth="1"/>
    <col min="7427" max="7427" width="8.85546875" style="115" customWidth="1"/>
    <col min="7428" max="7428" width="9.85546875" style="115" customWidth="1"/>
    <col min="7429" max="7429" width="10.28515625" style="115" bestFit="1" customWidth="1"/>
    <col min="7430" max="7430" width="34.5703125" style="115" customWidth="1"/>
    <col min="7431" max="7431" width="13" style="115" customWidth="1"/>
    <col min="7432" max="7435" width="9.140625" style="115"/>
    <col min="7436" max="7436" width="10.140625" style="115" bestFit="1" customWidth="1"/>
    <col min="7437" max="7680" width="9.140625" style="115"/>
    <col min="7681" max="7681" width="9.140625" style="115" customWidth="1"/>
    <col min="7682" max="7682" width="23.140625" style="115" customWidth="1"/>
    <col min="7683" max="7683" width="8.85546875" style="115" customWidth="1"/>
    <col min="7684" max="7684" width="9.85546875" style="115" customWidth="1"/>
    <col min="7685" max="7685" width="10.28515625" style="115" bestFit="1" customWidth="1"/>
    <col min="7686" max="7686" width="34.5703125" style="115" customWidth="1"/>
    <col min="7687" max="7687" width="13" style="115" customWidth="1"/>
    <col min="7688" max="7691" width="9.140625" style="115"/>
    <col min="7692" max="7692" width="10.140625" style="115" bestFit="1" customWidth="1"/>
    <col min="7693" max="7936" width="9.140625" style="115"/>
    <col min="7937" max="7937" width="9.140625" style="115" customWidth="1"/>
    <col min="7938" max="7938" width="23.140625" style="115" customWidth="1"/>
    <col min="7939" max="7939" width="8.85546875" style="115" customWidth="1"/>
    <col min="7940" max="7940" width="9.85546875" style="115" customWidth="1"/>
    <col min="7941" max="7941" width="10.28515625" style="115" bestFit="1" customWidth="1"/>
    <col min="7942" max="7942" width="34.5703125" style="115" customWidth="1"/>
    <col min="7943" max="7943" width="13" style="115" customWidth="1"/>
    <col min="7944" max="7947" width="9.140625" style="115"/>
    <col min="7948" max="7948" width="10.140625" style="115" bestFit="1" customWidth="1"/>
    <col min="7949" max="8192" width="9.140625" style="115"/>
    <col min="8193" max="8193" width="9.140625" style="115" customWidth="1"/>
    <col min="8194" max="8194" width="23.140625" style="115" customWidth="1"/>
    <col min="8195" max="8195" width="8.85546875" style="115" customWidth="1"/>
    <col min="8196" max="8196" width="9.85546875" style="115" customWidth="1"/>
    <col min="8197" max="8197" width="10.28515625" style="115" bestFit="1" customWidth="1"/>
    <col min="8198" max="8198" width="34.5703125" style="115" customWidth="1"/>
    <col min="8199" max="8199" width="13" style="115" customWidth="1"/>
    <col min="8200" max="8203" width="9.140625" style="115"/>
    <col min="8204" max="8204" width="10.140625" style="115" bestFit="1" customWidth="1"/>
    <col min="8205" max="8448" width="9.140625" style="115"/>
    <col min="8449" max="8449" width="9.140625" style="115" customWidth="1"/>
    <col min="8450" max="8450" width="23.140625" style="115" customWidth="1"/>
    <col min="8451" max="8451" width="8.85546875" style="115" customWidth="1"/>
    <col min="8452" max="8452" width="9.85546875" style="115" customWidth="1"/>
    <col min="8453" max="8453" width="10.28515625" style="115" bestFit="1" customWidth="1"/>
    <col min="8454" max="8454" width="34.5703125" style="115" customWidth="1"/>
    <col min="8455" max="8455" width="13" style="115" customWidth="1"/>
    <col min="8456" max="8459" width="9.140625" style="115"/>
    <col min="8460" max="8460" width="10.140625" style="115" bestFit="1" customWidth="1"/>
    <col min="8461" max="8704" width="9.140625" style="115"/>
    <col min="8705" max="8705" width="9.140625" style="115" customWidth="1"/>
    <col min="8706" max="8706" width="23.140625" style="115" customWidth="1"/>
    <col min="8707" max="8707" width="8.85546875" style="115" customWidth="1"/>
    <col min="8708" max="8708" width="9.85546875" style="115" customWidth="1"/>
    <col min="8709" max="8709" width="10.28515625" style="115" bestFit="1" customWidth="1"/>
    <col min="8710" max="8710" width="34.5703125" style="115" customWidth="1"/>
    <col min="8711" max="8711" width="13" style="115" customWidth="1"/>
    <col min="8712" max="8715" width="9.140625" style="115"/>
    <col min="8716" max="8716" width="10.140625" style="115" bestFit="1" customWidth="1"/>
    <col min="8717" max="8960" width="9.140625" style="115"/>
    <col min="8961" max="8961" width="9.140625" style="115" customWidth="1"/>
    <col min="8962" max="8962" width="23.140625" style="115" customWidth="1"/>
    <col min="8963" max="8963" width="8.85546875" style="115" customWidth="1"/>
    <col min="8964" max="8964" width="9.85546875" style="115" customWidth="1"/>
    <col min="8965" max="8965" width="10.28515625" style="115" bestFit="1" customWidth="1"/>
    <col min="8966" max="8966" width="34.5703125" style="115" customWidth="1"/>
    <col min="8967" max="8967" width="13" style="115" customWidth="1"/>
    <col min="8968" max="8971" width="9.140625" style="115"/>
    <col min="8972" max="8972" width="10.140625" style="115" bestFit="1" customWidth="1"/>
    <col min="8973" max="9216" width="9.140625" style="115"/>
    <col min="9217" max="9217" width="9.140625" style="115" customWidth="1"/>
    <col min="9218" max="9218" width="23.140625" style="115" customWidth="1"/>
    <col min="9219" max="9219" width="8.85546875" style="115" customWidth="1"/>
    <col min="9220" max="9220" width="9.85546875" style="115" customWidth="1"/>
    <col min="9221" max="9221" width="10.28515625" style="115" bestFit="1" customWidth="1"/>
    <col min="9222" max="9222" width="34.5703125" style="115" customWidth="1"/>
    <col min="9223" max="9223" width="13" style="115" customWidth="1"/>
    <col min="9224" max="9227" width="9.140625" style="115"/>
    <col min="9228" max="9228" width="10.140625" style="115" bestFit="1" customWidth="1"/>
    <col min="9229" max="9472" width="9.140625" style="115"/>
    <col min="9473" max="9473" width="9.140625" style="115" customWidth="1"/>
    <col min="9474" max="9474" width="23.140625" style="115" customWidth="1"/>
    <col min="9475" max="9475" width="8.85546875" style="115" customWidth="1"/>
    <col min="9476" max="9476" width="9.85546875" style="115" customWidth="1"/>
    <col min="9477" max="9477" width="10.28515625" style="115" bestFit="1" customWidth="1"/>
    <col min="9478" max="9478" width="34.5703125" style="115" customWidth="1"/>
    <col min="9479" max="9479" width="13" style="115" customWidth="1"/>
    <col min="9480" max="9483" width="9.140625" style="115"/>
    <col min="9484" max="9484" width="10.140625" style="115" bestFit="1" customWidth="1"/>
    <col min="9485" max="9728" width="9.140625" style="115"/>
    <col min="9729" max="9729" width="9.140625" style="115" customWidth="1"/>
    <col min="9730" max="9730" width="23.140625" style="115" customWidth="1"/>
    <col min="9731" max="9731" width="8.85546875" style="115" customWidth="1"/>
    <col min="9732" max="9732" width="9.85546875" style="115" customWidth="1"/>
    <col min="9733" max="9733" width="10.28515625" style="115" bestFit="1" customWidth="1"/>
    <col min="9734" max="9734" width="34.5703125" style="115" customWidth="1"/>
    <col min="9735" max="9735" width="13" style="115" customWidth="1"/>
    <col min="9736" max="9739" width="9.140625" style="115"/>
    <col min="9740" max="9740" width="10.140625" style="115" bestFit="1" customWidth="1"/>
    <col min="9741" max="9984" width="9.140625" style="115"/>
    <col min="9985" max="9985" width="9.140625" style="115" customWidth="1"/>
    <col min="9986" max="9986" width="23.140625" style="115" customWidth="1"/>
    <col min="9987" max="9987" width="8.85546875" style="115" customWidth="1"/>
    <col min="9988" max="9988" width="9.85546875" style="115" customWidth="1"/>
    <col min="9989" max="9989" width="10.28515625" style="115" bestFit="1" customWidth="1"/>
    <col min="9990" max="9990" width="34.5703125" style="115" customWidth="1"/>
    <col min="9991" max="9991" width="13" style="115" customWidth="1"/>
    <col min="9992" max="9995" width="9.140625" style="115"/>
    <col min="9996" max="9996" width="10.140625" style="115" bestFit="1" customWidth="1"/>
    <col min="9997" max="10240" width="9.140625" style="115"/>
    <col min="10241" max="10241" width="9.140625" style="115" customWidth="1"/>
    <col min="10242" max="10242" width="23.140625" style="115" customWidth="1"/>
    <col min="10243" max="10243" width="8.85546875" style="115" customWidth="1"/>
    <col min="10244" max="10244" width="9.85546875" style="115" customWidth="1"/>
    <col min="10245" max="10245" width="10.28515625" style="115" bestFit="1" customWidth="1"/>
    <col min="10246" max="10246" width="34.5703125" style="115" customWidth="1"/>
    <col min="10247" max="10247" width="13" style="115" customWidth="1"/>
    <col min="10248" max="10251" width="9.140625" style="115"/>
    <col min="10252" max="10252" width="10.140625" style="115" bestFit="1" customWidth="1"/>
    <col min="10253" max="10496" width="9.140625" style="115"/>
    <col min="10497" max="10497" width="9.140625" style="115" customWidth="1"/>
    <col min="10498" max="10498" width="23.140625" style="115" customWidth="1"/>
    <col min="10499" max="10499" width="8.85546875" style="115" customWidth="1"/>
    <col min="10500" max="10500" width="9.85546875" style="115" customWidth="1"/>
    <col min="10501" max="10501" width="10.28515625" style="115" bestFit="1" customWidth="1"/>
    <col min="10502" max="10502" width="34.5703125" style="115" customWidth="1"/>
    <col min="10503" max="10503" width="13" style="115" customWidth="1"/>
    <col min="10504" max="10507" width="9.140625" style="115"/>
    <col min="10508" max="10508" width="10.140625" style="115" bestFit="1" customWidth="1"/>
    <col min="10509" max="10752" width="9.140625" style="115"/>
    <col min="10753" max="10753" width="9.140625" style="115" customWidth="1"/>
    <col min="10754" max="10754" width="23.140625" style="115" customWidth="1"/>
    <col min="10755" max="10755" width="8.85546875" style="115" customWidth="1"/>
    <col min="10756" max="10756" width="9.85546875" style="115" customWidth="1"/>
    <col min="10757" max="10757" width="10.28515625" style="115" bestFit="1" customWidth="1"/>
    <col min="10758" max="10758" width="34.5703125" style="115" customWidth="1"/>
    <col min="10759" max="10759" width="13" style="115" customWidth="1"/>
    <col min="10760" max="10763" width="9.140625" style="115"/>
    <col min="10764" max="10764" width="10.140625" style="115" bestFit="1" customWidth="1"/>
    <col min="10765" max="11008" width="9.140625" style="115"/>
    <col min="11009" max="11009" width="9.140625" style="115" customWidth="1"/>
    <col min="11010" max="11010" width="23.140625" style="115" customWidth="1"/>
    <col min="11011" max="11011" width="8.85546875" style="115" customWidth="1"/>
    <col min="11012" max="11012" width="9.85546875" style="115" customWidth="1"/>
    <col min="11013" max="11013" width="10.28515625" style="115" bestFit="1" customWidth="1"/>
    <col min="11014" max="11014" width="34.5703125" style="115" customWidth="1"/>
    <col min="11015" max="11015" width="13" style="115" customWidth="1"/>
    <col min="11016" max="11019" width="9.140625" style="115"/>
    <col min="11020" max="11020" width="10.140625" style="115" bestFit="1" customWidth="1"/>
    <col min="11021" max="11264" width="9.140625" style="115"/>
    <col min="11265" max="11265" width="9.140625" style="115" customWidth="1"/>
    <col min="11266" max="11266" width="23.140625" style="115" customWidth="1"/>
    <col min="11267" max="11267" width="8.85546875" style="115" customWidth="1"/>
    <col min="11268" max="11268" width="9.85546875" style="115" customWidth="1"/>
    <col min="11269" max="11269" width="10.28515625" style="115" bestFit="1" customWidth="1"/>
    <col min="11270" max="11270" width="34.5703125" style="115" customWidth="1"/>
    <col min="11271" max="11271" width="13" style="115" customWidth="1"/>
    <col min="11272" max="11275" width="9.140625" style="115"/>
    <col min="11276" max="11276" width="10.140625" style="115" bestFit="1" customWidth="1"/>
    <col min="11277" max="11520" width="9.140625" style="115"/>
    <col min="11521" max="11521" width="9.140625" style="115" customWidth="1"/>
    <col min="11522" max="11522" width="23.140625" style="115" customWidth="1"/>
    <col min="11523" max="11523" width="8.85546875" style="115" customWidth="1"/>
    <col min="11524" max="11524" width="9.85546875" style="115" customWidth="1"/>
    <col min="11525" max="11525" width="10.28515625" style="115" bestFit="1" customWidth="1"/>
    <col min="11526" max="11526" width="34.5703125" style="115" customWidth="1"/>
    <col min="11527" max="11527" width="13" style="115" customWidth="1"/>
    <col min="11528" max="11531" width="9.140625" style="115"/>
    <col min="11532" max="11532" width="10.140625" style="115" bestFit="1" customWidth="1"/>
    <col min="11533" max="11776" width="9.140625" style="115"/>
    <col min="11777" max="11777" width="9.140625" style="115" customWidth="1"/>
    <col min="11778" max="11778" width="23.140625" style="115" customWidth="1"/>
    <col min="11779" max="11779" width="8.85546875" style="115" customWidth="1"/>
    <col min="11780" max="11780" width="9.85546875" style="115" customWidth="1"/>
    <col min="11781" max="11781" width="10.28515625" style="115" bestFit="1" customWidth="1"/>
    <col min="11782" max="11782" width="34.5703125" style="115" customWidth="1"/>
    <col min="11783" max="11783" width="13" style="115" customWidth="1"/>
    <col min="11784" max="11787" width="9.140625" style="115"/>
    <col min="11788" max="11788" width="10.140625" style="115" bestFit="1" customWidth="1"/>
    <col min="11789" max="12032" width="9.140625" style="115"/>
    <col min="12033" max="12033" width="9.140625" style="115" customWidth="1"/>
    <col min="12034" max="12034" width="23.140625" style="115" customWidth="1"/>
    <col min="12035" max="12035" width="8.85546875" style="115" customWidth="1"/>
    <col min="12036" max="12036" width="9.85546875" style="115" customWidth="1"/>
    <col min="12037" max="12037" width="10.28515625" style="115" bestFit="1" customWidth="1"/>
    <col min="12038" max="12038" width="34.5703125" style="115" customWidth="1"/>
    <col min="12039" max="12039" width="13" style="115" customWidth="1"/>
    <col min="12040" max="12043" width="9.140625" style="115"/>
    <col min="12044" max="12044" width="10.140625" style="115" bestFit="1" customWidth="1"/>
    <col min="12045" max="12288" width="9.140625" style="115"/>
    <col min="12289" max="12289" width="9.140625" style="115" customWidth="1"/>
    <col min="12290" max="12290" width="23.140625" style="115" customWidth="1"/>
    <col min="12291" max="12291" width="8.85546875" style="115" customWidth="1"/>
    <col min="12292" max="12292" width="9.85546875" style="115" customWidth="1"/>
    <col min="12293" max="12293" width="10.28515625" style="115" bestFit="1" customWidth="1"/>
    <col min="12294" max="12294" width="34.5703125" style="115" customWidth="1"/>
    <col min="12295" max="12295" width="13" style="115" customWidth="1"/>
    <col min="12296" max="12299" width="9.140625" style="115"/>
    <col min="12300" max="12300" width="10.140625" style="115" bestFit="1" customWidth="1"/>
    <col min="12301" max="12544" width="9.140625" style="115"/>
    <col min="12545" max="12545" width="9.140625" style="115" customWidth="1"/>
    <col min="12546" max="12546" width="23.140625" style="115" customWidth="1"/>
    <col min="12547" max="12547" width="8.85546875" style="115" customWidth="1"/>
    <col min="12548" max="12548" width="9.85546875" style="115" customWidth="1"/>
    <col min="12549" max="12549" width="10.28515625" style="115" bestFit="1" customWidth="1"/>
    <col min="12550" max="12550" width="34.5703125" style="115" customWidth="1"/>
    <col min="12551" max="12551" width="13" style="115" customWidth="1"/>
    <col min="12552" max="12555" width="9.140625" style="115"/>
    <col min="12556" max="12556" width="10.140625" style="115" bestFit="1" customWidth="1"/>
    <col min="12557" max="12800" width="9.140625" style="115"/>
    <col min="12801" max="12801" width="9.140625" style="115" customWidth="1"/>
    <col min="12802" max="12802" width="23.140625" style="115" customWidth="1"/>
    <col min="12803" max="12803" width="8.85546875" style="115" customWidth="1"/>
    <col min="12804" max="12804" width="9.85546875" style="115" customWidth="1"/>
    <col min="12805" max="12805" width="10.28515625" style="115" bestFit="1" customWidth="1"/>
    <col min="12806" max="12806" width="34.5703125" style="115" customWidth="1"/>
    <col min="12807" max="12807" width="13" style="115" customWidth="1"/>
    <col min="12808" max="12811" width="9.140625" style="115"/>
    <col min="12812" max="12812" width="10.140625" style="115" bestFit="1" customWidth="1"/>
    <col min="12813" max="13056" width="9.140625" style="115"/>
    <col min="13057" max="13057" width="9.140625" style="115" customWidth="1"/>
    <col min="13058" max="13058" width="23.140625" style="115" customWidth="1"/>
    <col min="13059" max="13059" width="8.85546875" style="115" customWidth="1"/>
    <col min="13060" max="13060" width="9.85546875" style="115" customWidth="1"/>
    <col min="13061" max="13061" width="10.28515625" style="115" bestFit="1" customWidth="1"/>
    <col min="13062" max="13062" width="34.5703125" style="115" customWidth="1"/>
    <col min="13063" max="13063" width="13" style="115" customWidth="1"/>
    <col min="13064" max="13067" width="9.140625" style="115"/>
    <col min="13068" max="13068" width="10.140625" style="115" bestFit="1" customWidth="1"/>
    <col min="13069" max="13312" width="9.140625" style="115"/>
    <col min="13313" max="13313" width="9.140625" style="115" customWidth="1"/>
    <col min="13314" max="13314" width="23.140625" style="115" customWidth="1"/>
    <col min="13315" max="13315" width="8.85546875" style="115" customWidth="1"/>
    <col min="13316" max="13316" width="9.85546875" style="115" customWidth="1"/>
    <col min="13317" max="13317" width="10.28515625" style="115" bestFit="1" customWidth="1"/>
    <col min="13318" max="13318" width="34.5703125" style="115" customWidth="1"/>
    <col min="13319" max="13319" width="13" style="115" customWidth="1"/>
    <col min="13320" max="13323" width="9.140625" style="115"/>
    <col min="13324" max="13324" width="10.140625" style="115" bestFit="1" customWidth="1"/>
    <col min="13325" max="13568" width="9.140625" style="115"/>
    <col min="13569" max="13569" width="9.140625" style="115" customWidth="1"/>
    <col min="13570" max="13570" width="23.140625" style="115" customWidth="1"/>
    <col min="13571" max="13571" width="8.85546875" style="115" customWidth="1"/>
    <col min="13572" max="13572" width="9.85546875" style="115" customWidth="1"/>
    <col min="13573" max="13573" width="10.28515625" style="115" bestFit="1" customWidth="1"/>
    <col min="13574" max="13574" width="34.5703125" style="115" customWidth="1"/>
    <col min="13575" max="13575" width="13" style="115" customWidth="1"/>
    <col min="13576" max="13579" width="9.140625" style="115"/>
    <col min="13580" max="13580" width="10.140625" style="115" bestFit="1" customWidth="1"/>
    <col min="13581" max="13824" width="9.140625" style="115"/>
    <col min="13825" max="13825" width="9.140625" style="115" customWidth="1"/>
    <col min="13826" max="13826" width="23.140625" style="115" customWidth="1"/>
    <col min="13827" max="13827" width="8.85546875" style="115" customWidth="1"/>
    <col min="13828" max="13828" width="9.85546875" style="115" customWidth="1"/>
    <col min="13829" max="13829" width="10.28515625" style="115" bestFit="1" customWidth="1"/>
    <col min="13830" max="13830" width="34.5703125" style="115" customWidth="1"/>
    <col min="13831" max="13831" width="13" style="115" customWidth="1"/>
    <col min="13832" max="13835" width="9.140625" style="115"/>
    <col min="13836" max="13836" width="10.140625" style="115" bestFit="1" customWidth="1"/>
    <col min="13837" max="14080" width="9.140625" style="115"/>
    <col min="14081" max="14081" width="9.140625" style="115" customWidth="1"/>
    <col min="14082" max="14082" width="23.140625" style="115" customWidth="1"/>
    <col min="14083" max="14083" width="8.85546875" style="115" customWidth="1"/>
    <col min="14084" max="14084" width="9.85546875" style="115" customWidth="1"/>
    <col min="14085" max="14085" width="10.28515625" style="115" bestFit="1" customWidth="1"/>
    <col min="14086" max="14086" width="34.5703125" style="115" customWidth="1"/>
    <col min="14087" max="14087" width="13" style="115" customWidth="1"/>
    <col min="14088" max="14091" width="9.140625" style="115"/>
    <col min="14092" max="14092" width="10.140625" style="115" bestFit="1" customWidth="1"/>
    <col min="14093" max="14336" width="9.140625" style="115"/>
    <col min="14337" max="14337" width="9.140625" style="115" customWidth="1"/>
    <col min="14338" max="14338" width="23.140625" style="115" customWidth="1"/>
    <col min="14339" max="14339" width="8.85546875" style="115" customWidth="1"/>
    <col min="14340" max="14340" width="9.85546875" style="115" customWidth="1"/>
    <col min="14341" max="14341" width="10.28515625" style="115" bestFit="1" customWidth="1"/>
    <col min="14342" max="14342" width="34.5703125" style="115" customWidth="1"/>
    <col min="14343" max="14343" width="13" style="115" customWidth="1"/>
    <col min="14344" max="14347" width="9.140625" style="115"/>
    <col min="14348" max="14348" width="10.140625" style="115" bestFit="1" customWidth="1"/>
    <col min="14349" max="14592" width="9.140625" style="115"/>
    <col min="14593" max="14593" width="9.140625" style="115" customWidth="1"/>
    <col min="14594" max="14594" width="23.140625" style="115" customWidth="1"/>
    <col min="14595" max="14595" width="8.85546875" style="115" customWidth="1"/>
    <col min="14596" max="14596" width="9.85546875" style="115" customWidth="1"/>
    <col min="14597" max="14597" width="10.28515625" style="115" bestFit="1" customWidth="1"/>
    <col min="14598" max="14598" width="34.5703125" style="115" customWidth="1"/>
    <col min="14599" max="14599" width="13" style="115" customWidth="1"/>
    <col min="14600" max="14603" width="9.140625" style="115"/>
    <col min="14604" max="14604" width="10.140625" style="115" bestFit="1" customWidth="1"/>
    <col min="14605" max="14848" width="9.140625" style="115"/>
    <col min="14849" max="14849" width="9.140625" style="115" customWidth="1"/>
    <col min="14850" max="14850" width="23.140625" style="115" customWidth="1"/>
    <col min="14851" max="14851" width="8.85546875" style="115" customWidth="1"/>
    <col min="14852" max="14852" width="9.85546875" style="115" customWidth="1"/>
    <col min="14853" max="14853" width="10.28515625" style="115" bestFit="1" customWidth="1"/>
    <col min="14854" max="14854" width="34.5703125" style="115" customWidth="1"/>
    <col min="14855" max="14855" width="13" style="115" customWidth="1"/>
    <col min="14856" max="14859" width="9.140625" style="115"/>
    <col min="14860" max="14860" width="10.140625" style="115" bestFit="1" customWidth="1"/>
    <col min="14861" max="15104" width="9.140625" style="115"/>
    <col min="15105" max="15105" width="9.140625" style="115" customWidth="1"/>
    <col min="15106" max="15106" width="23.140625" style="115" customWidth="1"/>
    <col min="15107" max="15107" width="8.85546875" style="115" customWidth="1"/>
    <col min="15108" max="15108" width="9.85546875" style="115" customWidth="1"/>
    <col min="15109" max="15109" width="10.28515625" style="115" bestFit="1" customWidth="1"/>
    <col min="15110" max="15110" width="34.5703125" style="115" customWidth="1"/>
    <col min="15111" max="15111" width="13" style="115" customWidth="1"/>
    <col min="15112" max="15115" width="9.140625" style="115"/>
    <col min="15116" max="15116" width="10.140625" style="115" bestFit="1" customWidth="1"/>
    <col min="15117" max="15360" width="9.140625" style="115"/>
    <col min="15361" max="15361" width="9.140625" style="115" customWidth="1"/>
    <col min="15362" max="15362" width="23.140625" style="115" customWidth="1"/>
    <col min="15363" max="15363" width="8.85546875" style="115" customWidth="1"/>
    <col min="15364" max="15364" width="9.85546875" style="115" customWidth="1"/>
    <col min="15365" max="15365" width="10.28515625" style="115" bestFit="1" customWidth="1"/>
    <col min="15366" max="15366" width="34.5703125" style="115" customWidth="1"/>
    <col min="15367" max="15367" width="13" style="115" customWidth="1"/>
    <col min="15368" max="15371" width="9.140625" style="115"/>
    <col min="15372" max="15372" width="10.140625" style="115" bestFit="1" customWidth="1"/>
    <col min="15373" max="15616" width="9.140625" style="115"/>
    <col min="15617" max="15617" width="9.140625" style="115" customWidth="1"/>
    <col min="15618" max="15618" width="23.140625" style="115" customWidth="1"/>
    <col min="15619" max="15619" width="8.85546875" style="115" customWidth="1"/>
    <col min="15620" max="15620" width="9.85546875" style="115" customWidth="1"/>
    <col min="15621" max="15621" width="10.28515625" style="115" bestFit="1" customWidth="1"/>
    <col min="15622" max="15622" width="34.5703125" style="115" customWidth="1"/>
    <col min="15623" max="15623" width="13" style="115" customWidth="1"/>
    <col min="15624" max="15627" width="9.140625" style="115"/>
    <col min="15628" max="15628" width="10.140625" style="115" bestFit="1" customWidth="1"/>
    <col min="15629" max="15872" width="9.140625" style="115"/>
    <col min="15873" max="15873" width="9.140625" style="115" customWidth="1"/>
    <col min="15874" max="15874" width="23.140625" style="115" customWidth="1"/>
    <col min="15875" max="15875" width="8.85546875" style="115" customWidth="1"/>
    <col min="15876" max="15876" width="9.85546875" style="115" customWidth="1"/>
    <col min="15877" max="15877" width="10.28515625" style="115" bestFit="1" customWidth="1"/>
    <col min="15878" max="15878" width="34.5703125" style="115" customWidth="1"/>
    <col min="15879" max="15879" width="13" style="115" customWidth="1"/>
    <col min="15880" max="15883" width="9.140625" style="115"/>
    <col min="15884" max="15884" width="10.140625" style="115" bestFit="1" customWidth="1"/>
    <col min="15885" max="16128" width="9.140625" style="115"/>
    <col min="16129" max="16129" width="9.140625" style="115" customWidth="1"/>
    <col min="16130" max="16130" width="23.140625" style="115" customWidth="1"/>
    <col min="16131" max="16131" width="8.85546875" style="115" customWidth="1"/>
    <col min="16132" max="16132" width="9.85546875" style="115" customWidth="1"/>
    <col min="16133" max="16133" width="10.28515625" style="115" bestFit="1" customWidth="1"/>
    <col min="16134" max="16134" width="34.5703125" style="115" customWidth="1"/>
    <col min="16135" max="16135" width="13" style="115" customWidth="1"/>
    <col min="16136" max="16139" width="9.140625" style="115"/>
    <col min="16140" max="16140" width="10.140625" style="115" bestFit="1" customWidth="1"/>
    <col min="16141" max="16384" width="9.140625" style="115"/>
  </cols>
  <sheetData>
    <row r="1" spans="1:27" x14ac:dyDescent="0.25">
      <c r="A1" s="112"/>
      <c r="B1" s="112" t="s">
        <v>2990</v>
      </c>
      <c r="C1" s="112"/>
      <c r="D1" s="112"/>
      <c r="E1" s="112"/>
      <c r="F1" s="113">
        <f ca="1">TODAY()</f>
        <v>45379</v>
      </c>
      <c r="G1" s="114"/>
    </row>
    <row r="2" spans="1:27" ht="20.25" x14ac:dyDescent="0.3">
      <c r="A2" s="112"/>
      <c r="B2" s="116" t="s">
        <v>2991</v>
      </c>
      <c r="C2" s="112"/>
      <c r="D2" s="112"/>
      <c r="E2" s="117" t="e">
        <f>'[4] Loads'!L3</f>
        <v>#REF!</v>
      </c>
      <c r="F2" s="118" t="e">
        <f>'[4] Loads'!M2</f>
        <v>#REF!</v>
      </c>
      <c r="G2" s="114"/>
      <c r="K2" s="119" t="s">
        <v>2992</v>
      </c>
    </row>
    <row r="3" spans="1:27" x14ac:dyDescent="0.25">
      <c r="A3" s="112"/>
      <c r="B3" s="120"/>
      <c r="C3" s="112"/>
      <c r="D3" s="112"/>
      <c r="E3" s="117"/>
      <c r="F3" s="118"/>
      <c r="G3" s="114"/>
      <c r="K3" s="119" t="s">
        <v>2993</v>
      </c>
      <c r="T3" s="119" t="s">
        <v>2994</v>
      </c>
    </row>
    <row r="4" spans="1:27" x14ac:dyDescent="0.25">
      <c r="A4" s="112"/>
      <c r="B4" s="120"/>
      <c r="C4" s="112"/>
      <c r="D4" s="112"/>
      <c r="E4" s="117"/>
      <c r="F4" s="118"/>
      <c r="G4" s="114"/>
      <c r="J4" s="121" t="s">
        <v>2995</v>
      </c>
      <c r="K4" s="121" t="s">
        <v>2996</v>
      </c>
      <c r="L4" s="121" t="s">
        <v>2997</v>
      </c>
      <c r="M4" s="121" t="s">
        <v>2998</v>
      </c>
      <c r="N4" s="121" t="s">
        <v>2999</v>
      </c>
      <c r="O4" s="121" t="s">
        <v>3000</v>
      </c>
      <c r="P4" s="121" t="s">
        <v>3001</v>
      </c>
      <c r="Q4" s="121" t="s">
        <v>3002</v>
      </c>
      <c r="R4" s="121" t="s">
        <v>3003</v>
      </c>
      <c r="S4" s="121" t="s">
        <v>3004</v>
      </c>
      <c r="T4" s="121" t="s">
        <v>3005</v>
      </c>
      <c r="U4" s="121" t="s">
        <v>3006</v>
      </c>
      <c r="V4" s="121" t="s">
        <v>3007</v>
      </c>
    </row>
    <row r="5" spans="1:27" x14ac:dyDescent="0.25">
      <c r="A5" s="112"/>
      <c r="B5" s="112"/>
      <c r="C5" s="112"/>
      <c r="D5" s="112"/>
      <c r="E5" s="112"/>
      <c r="F5" s="122" t="s">
        <v>3008</v>
      </c>
      <c r="G5" s="114"/>
      <c r="I5" s="123" t="str">
        <f>"PSH-"&amp;E40</f>
        <v>PSH-Cannonvale, QLD</v>
      </c>
      <c r="J5" s="124">
        <v>7.3</v>
      </c>
      <c r="K5" s="124">
        <v>6.4</v>
      </c>
      <c r="L5" s="124">
        <v>5.4</v>
      </c>
      <c r="M5" s="124">
        <v>4.0999999999999996</v>
      </c>
      <c r="N5" s="124">
        <v>3</v>
      </c>
      <c r="O5" s="124">
        <v>2.2999999999999998</v>
      </c>
      <c r="P5" s="124">
        <v>2.6</v>
      </c>
      <c r="Q5" s="124">
        <v>3.4</v>
      </c>
      <c r="R5" s="124">
        <v>4.7</v>
      </c>
      <c r="S5" s="124">
        <v>5.9</v>
      </c>
      <c r="T5" s="124">
        <v>6.6</v>
      </c>
      <c r="U5" s="124">
        <v>7.4</v>
      </c>
      <c r="V5" s="125">
        <f>AVERAGE(J5:U5)</f>
        <v>4.9250000000000007</v>
      </c>
    </row>
    <row r="6" spans="1:27" x14ac:dyDescent="0.25">
      <c r="A6" s="126" t="s">
        <v>3009</v>
      </c>
      <c r="B6" s="127" t="s">
        <v>3010</v>
      </c>
      <c r="C6" s="127" t="s">
        <v>3011</v>
      </c>
      <c r="D6" s="127" t="s">
        <v>3012</v>
      </c>
      <c r="E6" s="128" t="s">
        <v>3013</v>
      </c>
      <c r="F6" s="127" t="s">
        <v>3014</v>
      </c>
      <c r="G6" s="114"/>
      <c r="I6" s="129" t="s">
        <v>3015</v>
      </c>
      <c r="J6" s="130">
        <v>29.9</v>
      </c>
      <c r="K6" s="130">
        <v>29.7</v>
      </c>
      <c r="L6" s="130">
        <v>28.9</v>
      </c>
      <c r="M6" s="130">
        <v>27</v>
      </c>
      <c r="N6" s="130">
        <v>24.3</v>
      </c>
      <c r="O6" s="130">
        <v>22.3</v>
      </c>
      <c r="P6" s="130">
        <v>21.5</v>
      </c>
      <c r="Q6" s="130">
        <v>22.9</v>
      </c>
      <c r="R6" s="130">
        <v>25.3</v>
      </c>
      <c r="S6" s="130">
        <v>27.4</v>
      </c>
      <c r="T6" s="130">
        <v>28.7</v>
      </c>
      <c r="U6" s="130">
        <v>29.9</v>
      </c>
      <c r="V6" s="131"/>
    </row>
    <row r="7" spans="1:27" x14ac:dyDescent="0.25">
      <c r="A7" s="132" t="s">
        <v>3016</v>
      </c>
      <c r="B7" s="133" t="s">
        <v>3017</v>
      </c>
      <c r="C7" s="134">
        <f>ArraysBanks!C8</f>
        <v>3</v>
      </c>
      <c r="D7" s="132"/>
      <c r="E7" s="132"/>
      <c r="F7" s="135"/>
      <c r="G7" s="114"/>
      <c r="I7" s="136" t="s">
        <v>3018</v>
      </c>
      <c r="J7" s="137">
        <v>24.9</v>
      </c>
      <c r="K7" s="137">
        <v>24.8</v>
      </c>
      <c r="L7" s="137">
        <v>24.4</v>
      </c>
      <c r="M7" s="137">
        <v>22.8</v>
      </c>
      <c r="N7" s="137">
        <v>20.6</v>
      </c>
      <c r="O7" s="137">
        <v>18.899999999999999</v>
      </c>
      <c r="P7" s="137">
        <v>18</v>
      </c>
      <c r="Q7" s="137">
        <v>18.5</v>
      </c>
      <c r="R7" s="137">
        <v>20.2</v>
      </c>
      <c r="S7" s="137">
        <v>22.1</v>
      </c>
      <c r="T7" s="137">
        <v>23.4</v>
      </c>
      <c r="U7" s="137">
        <v>24.6</v>
      </c>
      <c r="V7" s="138"/>
    </row>
    <row r="8" spans="1:27" x14ac:dyDescent="0.25">
      <c r="A8" s="139" t="s">
        <v>3019</v>
      </c>
      <c r="B8" s="140" t="s">
        <v>3020</v>
      </c>
      <c r="C8" s="141">
        <f>C26*C27</f>
        <v>6</v>
      </c>
      <c r="D8" s="142"/>
      <c r="E8" s="106"/>
      <c r="F8" s="143"/>
      <c r="G8" s="114"/>
      <c r="I8" s="144"/>
      <c r="J8" s="145"/>
      <c r="K8" s="144"/>
      <c r="L8" s="144"/>
      <c r="M8" s="144"/>
      <c r="N8" s="144"/>
      <c r="O8" s="144"/>
      <c r="P8" s="144"/>
      <c r="Q8" s="146"/>
      <c r="R8" s="146"/>
      <c r="S8" s="144"/>
      <c r="T8" s="144"/>
      <c r="U8" s="144"/>
      <c r="V8" s="144"/>
      <c r="W8" s="144"/>
      <c r="X8" s="144"/>
      <c r="Y8" s="144"/>
      <c r="Z8" s="144"/>
      <c r="AA8" s="144"/>
    </row>
    <row r="9" spans="1:27" ht="18.75" x14ac:dyDescent="0.3">
      <c r="A9" s="147"/>
      <c r="B9" s="140" t="s">
        <v>2</v>
      </c>
      <c r="C9" s="148" t="str">
        <f>VLOOKUP(VLOOKUP(C$7, ArraysBanks!$C$4:$X$15, 2, FALSE), Equipment!$A$69:$T$78, 3, FALSE)</f>
        <v>Trina</v>
      </c>
      <c r="D9" s="142"/>
      <c r="E9" s="106"/>
      <c r="F9" s="149" t="s">
        <v>3021</v>
      </c>
      <c r="G9" s="114"/>
      <c r="I9" s="144"/>
      <c r="J9" s="743" t="str">
        <f>I27</f>
        <v>Array1</v>
      </c>
      <c r="K9" s="743"/>
      <c r="L9" s="144"/>
      <c r="M9" s="144"/>
      <c r="N9" s="144"/>
      <c r="O9" s="150" t="str">
        <f>"Solar Calculations "</f>
        <v xml:space="preserve">Solar Calculations </v>
      </c>
      <c r="P9" s="144"/>
      <c r="Q9" s="146"/>
      <c r="R9" s="146"/>
      <c r="S9" s="144"/>
      <c r="T9" s="144"/>
      <c r="U9" s="144"/>
      <c r="V9" s="144"/>
      <c r="W9" s="144" t="s">
        <v>3022</v>
      </c>
      <c r="X9" s="151" t="s">
        <v>3023</v>
      </c>
      <c r="Y9" s="144" t="e">
        <f>E2</f>
        <v>#REF!</v>
      </c>
      <c r="Z9" s="144"/>
      <c r="AA9" s="144"/>
    </row>
    <row r="10" spans="1:27" ht="15.75" x14ac:dyDescent="0.25">
      <c r="A10" s="147"/>
      <c r="B10" s="140" t="s">
        <v>3024</v>
      </c>
      <c r="C10" s="152" t="str">
        <f>VLOOKUP(VLOOKUP(C$7, ArraysBanks!$C$4:$X$15, 2, FALSE), Equipment!$A$69:$T$78, 4, FALSE)</f>
        <v xml:space="preserve">TSM-DE18M(II) </v>
      </c>
      <c r="E10" s="106"/>
      <c r="F10" s="153"/>
      <c r="G10" s="114"/>
      <c r="I10" s="144"/>
      <c r="J10" s="145" t="s">
        <v>3025</v>
      </c>
      <c r="K10" s="144"/>
      <c r="L10" s="154" t="s">
        <v>3026</v>
      </c>
      <c r="M10" s="144"/>
      <c r="N10" s="144"/>
      <c r="O10" s="144"/>
      <c r="P10" s="144"/>
      <c r="Q10" s="146"/>
      <c r="R10" s="146"/>
      <c r="S10" s="144"/>
      <c r="T10" s="144"/>
      <c r="U10" s="144"/>
      <c r="V10" s="144"/>
      <c r="W10" s="144"/>
      <c r="X10" s="144"/>
      <c r="Y10" s="742" t="e">
        <f>F2</f>
        <v>#REF!</v>
      </c>
      <c r="Z10" s="742"/>
      <c r="AA10" s="742"/>
    </row>
    <row r="11" spans="1:27" x14ac:dyDescent="0.25">
      <c r="A11" s="147"/>
      <c r="B11" s="140" t="s">
        <v>3027</v>
      </c>
      <c r="C11" s="141">
        <f>VLOOKUP(C$7, ArraysBanks!$C$4:$X$15, 3, FALSE)</f>
        <v>500</v>
      </c>
      <c r="D11" t="s">
        <v>3028</v>
      </c>
      <c r="E11" s="106"/>
      <c r="F11" s="155"/>
      <c r="G11" s="114"/>
      <c r="I11" s="144"/>
      <c r="J11" s="144" t="s">
        <v>3029</v>
      </c>
      <c r="K11" s="144"/>
      <c r="L11" s="156">
        <f>C43</f>
        <v>0</v>
      </c>
      <c r="M11" s="144"/>
      <c r="N11" s="144"/>
      <c r="O11" s="144"/>
      <c r="P11" s="144"/>
      <c r="Q11" s="146"/>
      <c r="R11" s="146"/>
      <c r="S11" s="144"/>
      <c r="T11" s="144"/>
      <c r="U11" s="144"/>
      <c r="V11" s="144"/>
      <c r="W11" s="144"/>
      <c r="X11" s="144"/>
      <c r="Y11" s="742"/>
      <c r="Z11" s="742"/>
      <c r="AA11" s="742"/>
    </row>
    <row r="12" spans="1:27" x14ac:dyDescent="0.25">
      <c r="A12" s="147"/>
      <c r="B12" s="140" t="s">
        <v>3030</v>
      </c>
      <c r="C12" s="141" t="str">
        <f>VLOOKUP(C$7, ArraysBanks!$C$4:$X$15, 9, FALSE)</f>
        <v>42.8 V</v>
      </c>
      <c r="D12" t="s">
        <v>3031</v>
      </c>
      <c r="E12" s="106"/>
      <c r="F12" s="155"/>
      <c r="G12" s="114"/>
      <c r="I12" s="144"/>
      <c r="J12" s="144" t="s">
        <v>3032</v>
      </c>
      <c r="K12" s="144"/>
      <c r="L12" s="156">
        <f>C42</f>
        <v>40</v>
      </c>
      <c r="M12" s="144"/>
      <c r="N12" s="144"/>
      <c r="O12" s="144"/>
      <c r="P12" s="144"/>
      <c r="Q12" s="146"/>
      <c r="R12" s="146"/>
      <c r="S12" s="144"/>
      <c r="T12" s="144"/>
      <c r="U12" s="144"/>
      <c r="V12" s="144"/>
      <c r="W12" s="144"/>
      <c r="X12" s="144"/>
      <c r="Y12" s="144" t="str">
        <f>F6</f>
        <v>Comments</v>
      </c>
      <c r="Z12" s="144"/>
      <c r="AA12" s="144"/>
    </row>
    <row r="13" spans="1:27" x14ac:dyDescent="0.25">
      <c r="A13" s="147"/>
      <c r="B13" s="140" t="s">
        <v>3033</v>
      </c>
      <c r="C13" s="141">
        <f>VLOOKUP(C$7, ArraysBanks!$C$4:$X$15, 10, FALSE)</f>
        <v>11.69</v>
      </c>
      <c r="D13" t="s">
        <v>133</v>
      </c>
      <c r="E13" s="106"/>
      <c r="F13" s="153"/>
      <c r="G13" s="114"/>
      <c r="I13" s="144"/>
      <c r="J13" s="144" t="s">
        <v>3034</v>
      </c>
      <c r="K13" s="144"/>
      <c r="L13" s="157">
        <f>C32</f>
        <v>3000</v>
      </c>
      <c r="M13" s="144" t="s">
        <v>3028</v>
      </c>
      <c r="N13" s="144"/>
      <c r="O13" s="144"/>
      <c r="P13" s="144"/>
      <c r="Q13" s="146"/>
      <c r="R13" s="146"/>
      <c r="S13" s="144"/>
      <c r="T13" s="144"/>
      <c r="U13" s="144"/>
      <c r="V13" s="144"/>
      <c r="W13" s="144"/>
      <c r="X13" s="144"/>
      <c r="Y13" s="742"/>
      <c r="Z13" s="742"/>
      <c r="AA13" s="742"/>
    </row>
    <row r="14" spans="1:27" x14ac:dyDescent="0.25">
      <c r="A14" s="147"/>
      <c r="B14" s="140" t="s">
        <v>3035</v>
      </c>
      <c r="C14" s="141">
        <f>VLOOKUP(C$7, ArraysBanks!$C$4:$X$15, 11, FALSE)</f>
        <v>51.7</v>
      </c>
      <c r="D14" t="s">
        <v>3031</v>
      </c>
      <c r="E14" s="106"/>
      <c r="G14" s="114"/>
      <c r="I14" s="144"/>
      <c r="J14" s="144" t="s">
        <v>3036</v>
      </c>
      <c r="K14" s="144">
        <f>C8</f>
        <v>6</v>
      </c>
      <c r="L14" s="144">
        <f>C11</f>
        <v>500</v>
      </c>
      <c r="M14" s="144" t="s">
        <v>3028</v>
      </c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742"/>
      <c r="Z14" s="742"/>
      <c r="AA14" s="742"/>
    </row>
    <row r="15" spans="1:27" ht="15" customHeight="1" x14ac:dyDescent="0.25">
      <c r="A15" s="147"/>
      <c r="B15" s="140" t="s">
        <v>3037</v>
      </c>
      <c r="C15" s="141">
        <f>VLOOKUP(C$7, ArraysBanks!$C$4:$X$15, 12, FALSE)</f>
        <v>12.28</v>
      </c>
      <c r="D15" t="s">
        <v>133</v>
      </c>
      <c r="E15" s="106"/>
      <c r="G15" s="114"/>
      <c r="I15" s="144"/>
      <c r="J15" s="144" t="str">
        <f>C39</f>
        <v>Sydney</v>
      </c>
      <c r="K15" s="144">
        <f ca="1">VLOOKUP(C43, INDIRECT("'Solar-tables'!"&amp;VLOOKUP(J15, '[1]Solar-tables'!O2:P11, 2, FALSE)), (ROUND(C42, 10)/10+2), FALSE)</f>
        <v>0.99</v>
      </c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59">
        <f ca="1">TODAY()</f>
        <v>45379</v>
      </c>
      <c r="AA15" s="144"/>
    </row>
    <row r="16" spans="1:27" x14ac:dyDescent="0.25">
      <c r="A16" s="147"/>
      <c r="B16" s="140" t="s">
        <v>3038</v>
      </c>
      <c r="C16" s="141">
        <f>VLOOKUP(C$7, ArraysBanks!$C$4:$X$15, 13, FALSE)</f>
        <v>15.67</v>
      </c>
      <c r="D16" t="s">
        <v>3039</v>
      </c>
      <c r="E16" s="106"/>
      <c r="G16" s="114"/>
      <c r="I16" s="144">
        <v>0.05</v>
      </c>
      <c r="J16" s="160">
        <f>1-I16</f>
        <v>0.95</v>
      </c>
      <c r="K16" s="144" t="s">
        <v>3040</v>
      </c>
      <c r="L16" s="144"/>
      <c r="M16" s="161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62" t="s">
        <v>3041</v>
      </c>
      <c r="AA16" s="144"/>
    </row>
    <row r="17" spans="1:44" x14ac:dyDescent="0.25">
      <c r="A17" s="147"/>
      <c r="B17" s="140" t="s">
        <v>3042</v>
      </c>
      <c r="C17" s="141">
        <f>VLOOKUP(C$7, ArraysBanks!$C$4:$X$15, 14, FALSE)</f>
        <v>15</v>
      </c>
      <c r="D17" t="s">
        <v>133</v>
      </c>
      <c r="E17" s="106"/>
      <c r="F17" s="163" t="s">
        <v>3043</v>
      </c>
      <c r="G17" s="114" t="s">
        <v>3044</v>
      </c>
      <c r="I17" s="144">
        <v>0.03</v>
      </c>
      <c r="J17" s="160">
        <f>1-I17</f>
        <v>0.97</v>
      </c>
      <c r="K17" s="144" t="s">
        <v>3045</v>
      </c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62" t="s">
        <v>2990</v>
      </c>
      <c r="AA17" s="144"/>
    </row>
    <row r="18" spans="1:44" x14ac:dyDescent="0.25">
      <c r="A18" s="147"/>
      <c r="B18" s="140" t="s">
        <v>3046</v>
      </c>
      <c r="C18" s="141">
        <f>VLOOKUP(C$7, ArraysBanks!$C$4:$X$15, 15, FALSE)</f>
        <v>5</v>
      </c>
      <c r="D18" t="s">
        <v>3047</v>
      </c>
      <c r="E18" s="106"/>
      <c r="G18" s="114"/>
      <c r="I18" s="144">
        <f>C20/100</f>
        <v>-3.5999999999999999E-3</v>
      </c>
      <c r="J18" s="160">
        <f>1+I18*(C28-25)</f>
        <v>0.9748</v>
      </c>
      <c r="K18" s="144" t="s">
        <v>3048</v>
      </c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64" t="s">
        <v>3049</v>
      </c>
      <c r="AA18" s="144"/>
    </row>
    <row r="19" spans="1:44" x14ac:dyDescent="0.25">
      <c r="A19" s="147"/>
      <c r="B19" s="140" t="s">
        <v>3050</v>
      </c>
      <c r="C19" s="141">
        <f>VLOOKUP(C$7, ArraysBanks!$C$4:$X$15, 16, FALSE)</f>
        <v>-0.26</v>
      </c>
      <c r="D19" t="s">
        <v>3051</v>
      </c>
      <c r="E19" t="s">
        <v>3052</v>
      </c>
      <c r="G19" s="114"/>
      <c r="I19" s="144"/>
      <c r="J19" s="144" t="s">
        <v>3053</v>
      </c>
      <c r="K19" s="144"/>
      <c r="L19" s="165">
        <f>C59</f>
        <v>14.399999999999999</v>
      </c>
      <c r="M19" s="144" t="s">
        <v>3054</v>
      </c>
      <c r="N19" s="144"/>
      <c r="O19" s="144"/>
      <c r="P19" s="144"/>
      <c r="Q19" s="144"/>
      <c r="R19" s="144"/>
      <c r="S19" s="144"/>
      <c r="T19" s="144"/>
      <c r="U19" s="166"/>
      <c r="V19" s="166"/>
      <c r="W19" s="166"/>
      <c r="X19" s="166"/>
      <c r="Y19" s="166"/>
      <c r="Z19" s="164" t="s">
        <v>3055</v>
      </c>
      <c r="AA19" s="144"/>
      <c r="AE19" s="167" t="str">
        <f>C39</f>
        <v>Sydney</v>
      </c>
      <c r="AF19" s="168">
        <f ca="1">IF($C42=0, $K15, VLOOKUP($C43, INDIRECT("'Solar-tables'!"&amp; VLOOKUP(AF23,INDIRECT($AD32), 2, FALSE)), (ROUND($C42, 10)/10+2), FALSE))</f>
        <v>0.9</v>
      </c>
      <c r="AG19" s="168">
        <f ca="1">IF($C42=0, $K15, VLOOKUP($C43, INDIRECT("'Solar-tables'!"&amp; VLOOKUP(AG23,INDIRECT($AD32), 2, FALSE)), (ROUND($C42, 10)/10+2), FALSE))</f>
        <v>1</v>
      </c>
      <c r="AH19" s="168">
        <f t="shared" ref="AH19:AQ19" ca="1" si="0">IF($C42=0, $K15, VLOOKUP($C43, INDIRECT("'Solar-tables'!"&amp; VLOOKUP(AH23,INDIRECT($AD32), 2, FALSE)), (ROUND($C42, 10)/10+2), FALSE))</f>
        <v>1.17</v>
      </c>
      <c r="AI19" s="168">
        <f t="shared" ca="1" si="0"/>
        <v>1.39</v>
      </c>
      <c r="AJ19" s="168">
        <f t="shared" ca="1" si="0"/>
        <v>1.65</v>
      </c>
      <c r="AK19" s="168">
        <f t="shared" ca="1" si="0"/>
        <v>1.76</v>
      </c>
      <c r="AL19" s="168">
        <f t="shared" ca="1" si="0"/>
        <v>1.73</v>
      </c>
      <c r="AM19" s="168">
        <f t="shared" ca="1" si="0"/>
        <v>1.5</v>
      </c>
      <c r="AN19" s="168">
        <f t="shared" ca="1" si="0"/>
        <v>1.26</v>
      </c>
      <c r="AO19" s="168">
        <f t="shared" ca="1" si="0"/>
        <v>1.06</v>
      </c>
      <c r="AP19" s="168">
        <f t="shared" ca="1" si="0"/>
        <v>0.93</v>
      </c>
      <c r="AQ19" s="168">
        <f t="shared" ca="1" si="0"/>
        <v>0.88</v>
      </c>
    </row>
    <row r="20" spans="1:44" x14ac:dyDescent="0.25">
      <c r="A20" s="147"/>
      <c r="B20" s="140" t="s">
        <v>3056</v>
      </c>
      <c r="C20" s="141">
        <f>VLOOKUP(C$7, ArraysBanks!$C$4:$X$15, 17, FALSE)</f>
        <v>-0.36</v>
      </c>
      <c r="D20" t="s">
        <v>3051</v>
      </c>
      <c r="E20" s="106"/>
      <c r="G20" s="11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E20" s="169">
        <f>E39</f>
        <v>0</v>
      </c>
      <c r="AF20" s="168">
        <f>$AE20</f>
        <v>0</v>
      </c>
      <c r="AG20" s="168">
        <f t="shared" ref="AG20:AQ20" si="1">$AE20</f>
        <v>0</v>
      </c>
      <c r="AH20" s="168">
        <f t="shared" si="1"/>
        <v>0</v>
      </c>
      <c r="AI20" s="168">
        <f t="shared" si="1"/>
        <v>0</v>
      </c>
      <c r="AJ20" s="168">
        <f t="shared" si="1"/>
        <v>0</v>
      </c>
      <c r="AK20" s="168">
        <f t="shared" si="1"/>
        <v>0</v>
      </c>
      <c r="AL20" s="168">
        <f t="shared" si="1"/>
        <v>0</v>
      </c>
      <c r="AM20" s="168">
        <f t="shared" si="1"/>
        <v>0</v>
      </c>
      <c r="AN20" s="168">
        <f t="shared" si="1"/>
        <v>0</v>
      </c>
      <c r="AO20" s="168">
        <f t="shared" si="1"/>
        <v>0</v>
      </c>
      <c r="AP20" s="168">
        <f t="shared" si="1"/>
        <v>0</v>
      </c>
      <c r="AQ20" s="168">
        <f t="shared" si="1"/>
        <v>0</v>
      </c>
    </row>
    <row r="21" spans="1:44" x14ac:dyDescent="0.25">
      <c r="A21" s="147"/>
      <c r="B21" s="140" t="s">
        <v>3057</v>
      </c>
      <c r="C21" s="141">
        <f>VLOOKUP(C$7, ArraysBanks!$C$4:$X$15, 18, FALSE)</f>
        <v>25</v>
      </c>
      <c r="D21" t="s">
        <v>3058</v>
      </c>
      <c r="E21" s="106"/>
      <c r="G21" s="114"/>
      <c r="I21" s="144"/>
      <c r="J21" s="144"/>
      <c r="K21" s="144"/>
      <c r="L21" s="144"/>
      <c r="M21" s="144"/>
      <c r="N21" s="170">
        <v>5</v>
      </c>
      <c r="O21" s="170">
        <v>6</v>
      </c>
      <c r="P21" s="170">
        <v>7</v>
      </c>
      <c r="Q21" s="170">
        <v>8</v>
      </c>
      <c r="R21" s="170">
        <v>9</v>
      </c>
      <c r="S21" s="170">
        <v>10</v>
      </c>
      <c r="T21" s="170">
        <v>11</v>
      </c>
      <c r="U21" s="170">
        <v>12</v>
      </c>
      <c r="V21" s="170">
        <v>13</v>
      </c>
      <c r="W21" s="170">
        <v>14</v>
      </c>
      <c r="X21" s="170">
        <v>15</v>
      </c>
      <c r="Y21" s="170">
        <v>16</v>
      </c>
      <c r="Z21" s="170">
        <v>17</v>
      </c>
      <c r="AA21" s="144"/>
      <c r="AE21" s="167">
        <f>D39</f>
        <v>0</v>
      </c>
      <c r="AF21" s="168" t="e">
        <f ca="1">IF($C42=0, $K15, VLOOKUP($C43, INDIRECT("'Solar-tables'!"&amp; VLOOKUP(AF23,INDIRECT($AD33), 2, FALSE)), (ROUND($C42, 10)/10+2), FALSE))</f>
        <v>#N/A</v>
      </c>
      <c r="AG21" s="168" t="e">
        <f t="shared" ref="AG21:AQ21" ca="1" si="2">IF($C42=0, $K15, VLOOKUP($C43, INDIRECT("'Solar-tables'!"&amp; VLOOKUP(AG23,INDIRECT($AD33), 2, FALSE)), (ROUND($C42, 10)/10+2), FALSE))</f>
        <v>#N/A</v>
      </c>
      <c r="AH21" s="168" t="e">
        <f t="shared" ca="1" si="2"/>
        <v>#N/A</v>
      </c>
      <c r="AI21" s="168" t="e">
        <f t="shared" ca="1" si="2"/>
        <v>#N/A</v>
      </c>
      <c r="AJ21" s="168" t="e">
        <f t="shared" ca="1" si="2"/>
        <v>#N/A</v>
      </c>
      <c r="AK21" s="168" t="e">
        <f t="shared" ca="1" si="2"/>
        <v>#N/A</v>
      </c>
      <c r="AL21" s="168" t="e">
        <f t="shared" ca="1" si="2"/>
        <v>#N/A</v>
      </c>
      <c r="AM21" s="168" t="e">
        <f t="shared" ca="1" si="2"/>
        <v>#N/A</v>
      </c>
      <c r="AN21" s="168" t="e">
        <f t="shared" ca="1" si="2"/>
        <v>#N/A</v>
      </c>
      <c r="AO21" s="168" t="e">
        <f t="shared" ca="1" si="2"/>
        <v>#N/A</v>
      </c>
      <c r="AP21" s="168" t="e">
        <f t="shared" ca="1" si="2"/>
        <v>#N/A</v>
      </c>
      <c r="AQ21" s="168" t="e">
        <f t="shared" ca="1" si="2"/>
        <v>#N/A</v>
      </c>
    </row>
    <row r="22" spans="1:44" x14ac:dyDescent="0.25">
      <c r="A22" s="147"/>
      <c r="B22" s="140" t="s">
        <v>14</v>
      </c>
      <c r="C22" s="141">
        <f>VLOOKUP(C$7, ArraysBanks!$C$4:$X$15, 19, FALSE)</f>
        <v>2176</v>
      </c>
      <c r="D22" t="s">
        <v>3059</v>
      </c>
      <c r="E22" s="106"/>
      <c r="G22" s="114"/>
      <c r="I22" s="144"/>
      <c r="J22" s="144" t="s">
        <v>3060</v>
      </c>
      <c r="K22" s="144"/>
      <c r="L22" s="144"/>
      <c r="M22" s="144"/>
      <c r="N22" s="171">
        <f ca="1">IF($C42=0, $K15, IF($D39="", VLOOKUP($C43, INDIRECT("'Solar-tables'!"&amp; VLOOKUP(N23,INDIRECT($AD31), 2, FALSE)), (ROUND($C42, 10)/10+2), FALSE), AF22))</f>
        <v>0.9</v>
      </c>
      <c r="O22" s="171">
        <f t="shared" ref="O22:Y22" ca="1" si="3">IF($C42=0, $K15, IF($D39="", VLOOKUP($C43, INDIRECT("'Solar-tables'!"&amp; VLOOKUP(O23,INDIRECT($AD31), 2, FALSE)), (ROUND($C42, 10)/10+2), FALSE), AG22))</f>
        <v>1</v>
      </c>
      <c r="P22" s="171">
        <f t="shared" ca="1" si="3"/>
        <v>1.17</v>
      </c>
      <c r="Q22" s="171">
        <f t="shared" ca="1" si="3"/>
        <v>1.39</v>
      </c>
      <c r="R22" s="171">
        <f t="shared" ca="1" si="3"/>
        <v>1.65</v>
      </c>
      <c r="S22" s="171">
        <f t="shared" ca="1" si="3"/>
        <v>1.76</v>
      </c>
      <c r="T22" s="171">
        <f t="shared" ca="1" si="3"/>
        <v>1.73</v>
      </c>
      <c r="U22" s="171">
        <f t="shared" ca="1" si="3"/>
        <v>1.5</v>
      </c>
      <c r="V22" s="171">
        <f t="shared" ca="1" si="3"/>
        <v>1.26</v>
      </c>
      <c r="W22" s="171">
        <f t="shared" ca="1" si="3"/>
        <v>1.06</v>
      </c>
      <c r="X22" s="171">
        <f t="shared" ca="1" si="3"/>
        <v>0.93</v>
      </c>
      <c r="Y22" s="171">
        <f t="shared" ca="1" si="3"/>
        <v>0.88</v>
      </c>
      <c r="Z22" s="172"/>
      <c r="AA22" s="144"/>
      <c r="AE22" s="115" t="s">
        <v>3061</v>
      </c>
      <c r="AF22" s="173" t="e">
        <f ca="1">IF(AF19&gt;AF21, AF19-(ABS(AF19-AF21)*AF20), AF19+ABS(AF19-AF21)*AF20)</f>
        <v>#N/A</v>
      </c>
      <c r="AG22" s="173" t="e">
        <f t="shared" ref="AG22:AQ22" ca="1" si="4">IF(AG19&gt;AG21, AG19-(ABS(AG19-AG21)*AG20), AG19+ABS(AG19-AG21)*AG20)</f>
        <v>#N/A</v>
      </c>
      <c r="AH22" s="173" t="e">
        <f t="shared" ca="1" si="4"/>
        <v>#N/A</v>
      </c>
      <c r="AI22" s="173" t="e">
        <f t="shared" ca="1" si="4"/>
        <v>#N/A</v>
      </c>
      <c r="AJ22" s="173" t="e">
        <f t="shared" ca="1" si="4"/>
        <v>#N/A</v>
      </c>
      <c r="AK22" s="173" t="e">
        <f t="shared" ca="1" si="4"/>
        <v>#N/A</v>
      </c>
      <c r="AL22" s="173" t="e">
        <f t="shared" ca="1" si="4"/>
        <v>#N/A</v>
      </c>
      <c r="AM22" s="173" t="e">
        <f t="shared" ca="1" si="4"/>
        <v>#N/A</v>
      </c>
      <c r="AN22" s="173" t="e">
        <f t="shared" ca="1" si="4"/>
        <v>#N/A</v>
      </c>
      <c r="AO22" s="173" t="e">
        <f t="shared" ca="1" si="4"/>
        <v>#N/A</v>
      </c>
      <c r="AP22" s="173" t="e">
        <f t="shared" ca="1" si="4"/>
        <v>#N/A</v>
      </c>
      <c r="AQ22" s="173" t="e">
        <f t="shared" ca="1" si="4"/>
        <v>#N/A</v>
      </c>
    </row>
    <row r="23" spans="1:44" x14ac:dyDescent="0.25">
      <c r="A23" s="147"/>
      <c r="B23" s="140" t="s">
        <v>15</v>
      </c>
      <c r="C23" s="141">
        <f>VLOOKUP(C$7, ArraysBanks!$C$4:$X$15, 20, FALSE)</f>
        <v>1098</v>
      </c>
      <c r="D23" t="s">
        <v>3059</v>
      </c>
      <c r="E23" s="106"/>
      <c r="G23" s="114"/>
      <c r="I23" s="144"/>
      <c r="J23" s="145" t="s">
        <v>3062</v>
      </c>
      <c r="K23" s="144"/>
      <c r="L23" s="144"/>
      <c r="M23" s="144"/>
      <c r="N23" s="174" t="s">
        <v>2995</v>
      </c>
      <c r="O23" s="174" t="s">
        <v>2996</v>
      </c>
      <c r="P23" s="174" t="s">
        <v>2997</v>
      </c>
      <c r="Q23" s="174" t="s">
        <v>2998</v>
      </c>
      <c r="R23" s="174" t="s">
        <v>2999</v>
      </c>
      <c r="S23" s="174" t="s">
        <v>3000</v>
      </c>
      <c r="T23" s="174" t="s">
        <v>3001</v>
      </c>
      <c r="U23" s="174" t="s">
        <v>3002</v>
      </c>
      <c r="V23" s="174" t="s">
        <v>3003</v>
      </c>
      <c r="W23" s="174" t="s">
        <v>3004</v>
      </c>
      <c r="X23" s="174" t="s">
        <v>3005</v>
      </c>
      <c r="Y23" s="174" t="s">
        <v>3006</v>
      </c>
      <c r="Z23" s="174" t="s">
        <v>3007</v>
      </c>
      <c r="AA23" s="144"/>
      <c r="AE23" s="169"/>
      <c r="AF23" s="121" t="s">
        <v>2995</v>
      </c>
      <c r="AG23" s="121" t="s">
        <v>2996</v>
      </c>
      <c r="AH23" s="121" t="s">
        <v>2997</v>
      </c>
      <c r="AI23" s="121" t="s">
        <v>2998</v>
      </c>
      <c r="AJ23" s="121" t="s">
        <v>2999</v>
      </c>
      <c r="AK23" s="121" t="s">
        <v>3000</v>
      </c>
      <c r="AL23" s="121" t="s">
        <v>3001</v>
      </c>
      <c r="AM23" s="121" t="s">
        <v>3002</v>
      </c>
      <c r="AN23" s="121" t="s">
        <v>3003</v>
      </c>
      <c r="AO23" s="121" t="s">
        <v>3004</v>
      </c>
      <c r="AP23" s="121" t="s">
        <v>3005</v>
      </c>
      <c r="AQ23" s="121" t="s">
        <v>3006</v>
      </c>
      <c r="AR23" s="121" t="s">
        <v>3007</v>
      </c>
    </row>
    <row r="24" spans="1:44" x14ac:dyDescent="0.25">
      <c r="A24" s="147"/>
      <c r="B24" s="140" t="s">
        <v>3063</v>
      </c>
      <c r="C24" s="141">
        <f>VLOOKUP(C$7, ArraysBanks!$C$4:$X$15, 21, FALSE)</f>
        <v>35</v>
      </c>
      <c r="D24" t="s">
        <v>3059</v>
      </c>
      <c r="E24" s="106"/>
      <c r="G24" s="114"/>
      <c r="I24" s="144"/>
      <c r="J24" s="738" t="str">
        <f>"PSH for "&amp;J15&amp;" at tilt "&amp;C42&amp;" and azimuth "&amp;C43</f>
        <v>PSH for Sydney at tilt 40 and azimuth 0</v>
      </c>
      <c r="K24" s="738"/>
      <c r="L24" s="738"/>
      <c r="M24" s="738"/>
      <c r="N24" s="175">
        <f>IF($E40="",HLOOKUP($C39,'[1]Solar-tables'!$D2:$M18,N21,FALSE),J5)</f>
        <v>7.3</v>
      </c>
      <c r="O24" s="175">
        <f>IF($E40="",HLOOKUP($C39,'[1]Solar-tables'!$D2:$M18,O21,FALSE),K5)</f>
        <v>6.4</v>
      </c>
      <c r="P24" s="175">
        <f>IF($E40="",HLOOKUP($C39,'[1]Solar-tables'!$D2:$M18,P21,FALSE),L5)</f>
        <v>5.4</v>
      </c>
      <c r="Q24" s="175">
        <f>IF($E40="",HLOOKUP($C39,'[1]Solar-tables'!$D2:$M18,Q21,FALSE),M5)</f>
        <v>4.0999999999999996</v>
      </c>
      <c r="R24" s="175">
        <f>IF($E40="",HLOOKUP($C39,'[1]Solar-tables'!$D2:$M18,R21,FALSE),N5)</f>
        <v>3</v>
      </c>
      <c r="S24" s="175">
        <f>IF($E40="",HLOOKUP($C39,'[1]Solar-tables'!$D2:$M18,S21,FALSE),O5)</f>
        <v>2.2999999999999998</v>
      </c>
      <c r="T24" s="175">
        <f>IF($E40="",HLOOKUP($C39,'[1]Solar-tables'!$D2:$M18,T21,FALSE),P5)</f>
        <v>2.6</v>
      </c>
      <c r="U24" s="175">
        <f>IF($E40="",HLOOKUP($C39,'[1]Solar-tables'!$D2:$M18,U21,FALSE),Q5)</f>
        <v>3.4</v>
      </c>
      <c r="V24" s="175">
        <f>IF($E40="",HLOOKUP($C39,'[1]Solar-tables'!$D2:$M18,V21,FALSE),R5)</f>
        <v>4.7</v>
      </c>
      <c r="W24" s="175">
        <f>IF($E40="",HLOOKUP($C39,'[1]Solar-tables'!$D2:$M18,W21,FALSE),S5)</f>
        <v>5.9</v>
      </c>
      <c r="X24" s="175">
        <f>IF($E40="",HLOOKUP($C39,'[1]Solar-tables'!$D2:$M18,X21,FALSE),T5)</f>
        <v>6.6</v>
      </c>
      <c r="Y24" s="175">
        <f>IF($E40="",HLOOKUP($C39,'[1]Solar-tables'!$D2:$M18,Y21,FALSE),U5)</f>
        <v>7.4</v>
      </c>
      <c r="Z24" s="175">
        <f>IF($E40="",HLOOKUP($C39,'[1]Solar-tables'!$D2:$M18,Z21,FALSE),V5)</f>
        <v>4.9250000000000007</v>
      </c>
      <c r="AA24"/>
    </row>
    <row r="25" spans="1:44" x14ac:dyDescent="0.25">
      <c r="A25" s="147"/>
      <c r="B25" s="140" t="s">
        <v>13</v>
      </c>
      <c r="C25" s="141">
        <f>VLOOKUP(C$7, ArraysBanks!$C$4:$X$15, 22, FALSE)</f>
        <v>26.3</v>
      </c>
      <c r="D25" t="s">
        <v>3064</v>
      </c>
      <c r="E25" s="106"/>
      <c r="G25" s="114"/>
      <c r="I25" s="144"/>
      <c r="J25" s="738" t="s">
        <v>3065</v>
      </c>
      <c r="K25" s="738"/>
      <c r="L25" s="738"/>
      <c r="M25" s="738"/>
      <c r="N25" s="176">
        <f ca="1">$J17*$J16*N24*$L13/1000*N$22</f>
        <v>18.162765</v>
      </c>
      <c r="O25" s="176">
        <f t="shared" ref="O25:Y25" ca="1" si="5">$J17*$J16*O24*$L13/1000*O$22</f>
        <v>17.692800000000002</v>
      </c>
      <c r="P25" s="176">
        <f t="shared" ca="1" si="5"/>
        <v>17.466111000000001</v>
      </c>
      <c r="Q25" s="176">
        <f t="shared" ca="1" si="5"/>
        <v>15.754885499999997</v>
      </c>
      <c r="R25" s="176">
        <f t="shared" ca="1" si="5"/>
        <v>13.684275</v>
      </c>
      <c r="S25" s="176">
        <f t="shared" ca="1" si="5"/>
        <v>11.190695999999997</v>
      </c>
      <c r="T25" s="176">
        <f t="shared" ca="1" si="5"/>
        <v>12.434721000000001</v>
      </c>
      <c r="U25" s="176">
        <f t="shared" ca="1" si="5"/>
        <v>14.098949999999999</v>
      </c>
      <c r="V25" s="176">
        <f t="shared" ca="1" si="5"/>
        <v>16.371369000000001</v>
      </c>
      <c r="W25" s="176">
        <f t="shared" ca="1" si="5"/>
        <v>17.289183000000005</v>
      </c>
      <c r="X25" s="176">
        <f t="shared" ca="1" si="5"/>
        <v>16.968500999999996</v>
      </c>
      <c r="Y25" s="176">
        <f t="shared" ca="1" si="5"/>
        <v>18.002424000000005</v>
      </c>
      <c r="Z25" s="176">
        <f ca="1">AVERAGE(N25:Y25)</f>
        <v>15.759723375000002</v>
      </c>
      <c r="AA25" s="177"/>
      <c r="AF25" s="178">
        <v>6</v>
      </c>
      <c r="AG25" s="178">
        <v>5.6</v>
      </c>
      <c r="AH25" s="178">
        <v>5.4</v>
      </c>
      <c r="AI25" s="178">
        <v>5</v>
      </c>
      <c r="AJ25" s="178">
        <v>4.4000000000000004</v>
      </c>
      <c r="AK25" s="178">
        <v>4</v>
      </c>
      <c r="AL25" s="178">
        <v>4.3</v>
      </c>
      <c r="AM25" s="178">
        <v>5.0999999999999996</v>
      </c>
      <c r="AN25" s="178">
        <v>5.9</v>
      </c>
      <c r="AO25" s="178">
        <v>6.6</v>
      </c>
      <c r="AP25" s="178">
        <v>6.7</v>
      </c>
      <c r="AQ25" s="178">
        <v>6.8</v>
      </c>
      <c r="AR25" s="179">
        <f>AVERAGE(AF25:AQ25)</f>
        <v>5.4833333333333334</v>
      </c>
    </row>
    <row r="26" spans="1:44" x14ac:dyDescent="0.25">
      <c r="A26" s="147"/>
      <c r="B26" s="140" t="s">
        <v>3066</v>
      </c>
      <c r="C26" s="141">
        <f>VLOOKUP(C$7, ArraysBanks!$C$4:$X$15, 4, FALSE)</f>
        <v>6</v>
      </c>
      <c r="E26" s="106"/>
      <c r="G26" s="114"/>
      <c r="I26" s="144"/>
      <c r="J26" s="738" t="s">
        <v>3067</v>
      </c>
      <c r="K26" s="738"/>
      <c r="L26" s="738"/>
      <c r="M26" s="738"/>
      <c r="N26" s="180">
        <f>$J16*$J17*$J18</f>
        <v>0.89827820000000003</v>
      </c>
      <c r="O26" s="180">
        <f>$J16*$J17*$J18</f>
        <v>0.89827820000000003</v>
      </c>
      <c r="P26" s="180">
        <f t="shared" ref="P26:Y26" si="6">$J16*$J17*$J18</f>
        <v>0.89827820000000003</v>
      </c>
      <c r="Q26" s="180">
        <f t="shared" si="6"/>
        <v>0.89827820000000003</v>
      </c>
      <c r="R26" s="180">
        <f t="shared" si="6"/>
        <v>0.89827820000000003</v>
      </c>
      <c r="S26" s="180">
        <f t="shared" si="6"/>
        <v>0.89827820000000003</v>
      </c>
      <c r="T26" s="180">
        <f t="shared" si="6"/>
        <v>0.89827820000000003</v>
      </c>
      <c r="U26" s="180">
        <f t="shared" si="6"/>
        <v>0.89827820000000003</v>
      </c>
      <c r="V26" s="180">
        <f t="shared" si="6"/>
        <v>0.89827820000000003</v>
      </c>
      <c r="W26" s="180">
        <f t="shared" si="6"/>
        <v>0.89827820000000003</v>
      </c>
      <c r="X26" s="180">
        <f t="shared" si="6"/>
        <v>0.89827820000000003</v>
      </c>
      <c r="Y26" s="180">
        <f t="shared" si="6"/>
        <v>0.89827820000000003</v>
      </c>
      <c r="Z26" s="180">
        <f t="shared" ref="Z26" si="7">$J16*$J17</f>
        <v>0.92149999999999999</v>
      </c>
      <c r="AA26" s="144"/>
    </row>
    <row r="27" spans="1:44" x14ac:dyDescent="0.25">
      <c r="A27" s="147"/>
      <c r="B27" s="140" t="s">
        <v>3068</v>
      </c>
      <c r="C27" s="141">
        <f>VLOOKUP(C$7, ArraysBanks!$C$4:$X$15, 5, FALSE)</f>
        <v>1</v>
      </c>
      <c r="E27" s="106"/>
      <c r="G27" s="114"/>
      <c r="I27" s="181" t="s">
        <v>3069</v>
      </c>
      <c r="J27" s="738" t="s">
        <v>3070</v>
      </c>
      <c r="K27" s="738"/>
      <c r="L27" s="738"/>
      <c r="M27" s="738"/>
      <c r="N27" s="182">
        <f ca="1">N25*N26</f>
        <v>16.315215851223002</v>
      </c>
      <c r="O27" s="182">
        <f t="shared" ref="O27:Z27" ca="1" si="8">O25*O26</f>
        <v>15.893056536960001</v>
      </c>
      <c r="P27" s="182">
        <f t="shared" ca="1" si="8"/>
        <v>15.689426750080202</v>
      </c>
      <c r="Q27" s="182">
        <f t="shared" ca="1" si="8"/>
        <v>14.152270188146097</v>
      </c>
      <c r="R27" s="182">
        <f t="shared" ca="1" si="8"/>
        <v>12.292285915304999</v>
      </c>
      <c r="S27" s="182">
        <f t="shared" ca="1" si="8"/>
        <v>10.052358259627198</v>
      </c>
      <c r="T27" s="182">
        <f t="shared" ca="1" si="8"/>
        <v>11.169838797382202</v>
      </c>
      <c r="U27" s="182">
        <f t="shared" ca="1" si="8"/>
        <v>12.664779427889998</v>
      </c>
      <c r="V27" s="182">
        <f t="shared" ca="1" si="8"/>
        <v>14.706043876855801</v>
      </c>
      <c r="W27" s="182">
        <f t="shared" ca="1" si="8"/>
        <v>15.530496184710605</v>
      </c>
      <c r="X27" s="182">
        <f t="shared" ca="1" si="8"/>
        <v>15.242434534978196</v>
      </c>
      <c r="Y27" s="182">
        <f t="shared" ca="1" si="8"/>
        <v>16.171185026356806</v>
      </c>
      <c r="Z27" s="182">
        <f t="shared" ca="1" si="8"/>
        <v>14.522585090062501</v>
      </c>
      <c r="AA27" s="144"/>
      <c r="AH27" s="119"/>
      <c r="AI27" s="119"/>
      <c r="AJ27" s="119"/>
      <c r="AK27" s="119"/>
      <c r="AL27" s="119"/>
      <c r="AM27" s="119"/>
      <c r="AN27" s="119"/>
      <c r="AO27" s="183"/>
    </row>
    <row r="28" spans="1:44" x14ac:dyDescent="0.25">
      <c r="A28" s="147"/>
      <c r="B28" s="140" t="s">
        <v>3071</v>
      </c>
      <c r="C28" s="184">
        <v>32</v>
      </c>
      <c r="D28" t="s">
        <v>3058</v>
      </c>
      <c r="E28" s="106"/>
      <c r="G28" s="114"/>
      <c r="I28" s="145" t="s">
        <v>3072</v>
      </c>
      <c r="J28" s="739" t="s">
        <v>3070</v>
      </c>
      <c r="K28" s="739"/>
      <c r="L28" s="739"/>
      <c r="M28" s="739"/>
      <c r="N28" s="185">
        <f ca="1">'[1]Calcs.2'!N25+N27</f>
        <v>32.657500990953089</v>
      </c>
      <c r="O28" s="185">
        <f ca="1">'[1]Calcs.2'!O25+O27</f>
        <v>30.99083417672832</v>
      </c>
      <c r="P28" s="185">
        <f ca="1">'[1]Calcs.2'!P25+P27</f>
        <v>29.338087339602904</v>
      </c>
      <c r="Q28" s="185">
        <f ca="1">'[1]Calcs.2'!Q25+Q27</f>
        <v>25.304694264205825</v>
      </c>
      <c r="R28" s="185">
        <f ca="1">'[1]Calcs.2'!R25+R27</f>
        <v>21.1025324334096</v>
      </c>
      <c r="S28" s="185">
        <f ca="1">'[1]Calcs.2'!S25+S27</f>
        <v>16.972975401580946</v>
      </c>
      <c r="T28" s="185">
        <f ca="1">'[1]Calcs.2'!T25+T27</f>
        <v>18.930558681089643</v>
      </c>
      <c r="U28" s="185">
        <f ca="1">'[1]Calcs.2'!U25+U27</f>
        <v>22.322350201287716</v>
      </c>
      <c r="V28" s="185">
        <f ca="1">'[1]Calcs.2'!V25+V27</f>
        <v>27.037981831022435</v>
      </c>
      <c r="W28" s="185">
        <f ca="1">'[1]Calcs.2'!W25+W27</f>
        <v>29.732806145589606</v>
      </c>
      <c r="X28" s="185">
        <f ca="1">'[1]Calcs.2'!X25+X27</f>
        <v>30.17652453451943</v>
      </c>
      <c r="Y28" s="185">
        <f ca="1">'[1]Calcs.2'!Y25+Y27</f>
        <v>32.381075751197351</v>
      </c>
      <c r="Z28" s="185">
        <f ca="1">'[1]Calcs.2'!Z25+Z27</f>
        <v>26.77829595686848</v>
      </c>
      <c r="AA28" s="144"/>
      <c r="AH28" s="119"/>
      <c r="AI28" s="119"/>
      <c r="AJ28" s="119"/>
      <c r="AK28" s="119"/>
      <c r="AL28" s="119"/>
      <c r="AM28" s="119"/>
      <c r="AN28" s="119"/>
      <c r="AO28" s="183"/>
    </row>
    <row r="29" spans="1:44" x14ac:dyDescent="0.25">
      <c r="A29" s="147"/>
      <c r="B29" s="140" t="s">
        <v>3073</v>
      </c>
      <c r="C29" s="184">
        <v>20</v>
      </c>
      <c r="D29" t="s">
        <v>3058</v>
      </c>
      <c r="E29" s="106"/>
      <c r="G29" s="114"/>
      <c r="I29" s="144"/>
      <c r="J29" s="738"/>
      <c r="K29" s="738"/>
      <c r="L29" s="738"/>
      <c r="M29" s="738"/>
      <c r="N29" s="186">
        <f t="shared" ref="N29:Z29" ca="1" si="9">$Z27</f>
        <v>14.522585090062501</v>
      </c>
      <c r="O29" s="186">
        <f t="shared" ca="1" si="9"/>
        <v>14.522585090062501</v>
      </c>
      <c r="P29" s="186">
        <f t="shared" ca="1" si="9"/>
        <v>14.522585090062501</v>
      </c>
      <c r="Q29" s="186">
        <f t="shared" ca="1" si="9"/>
        <v>14.522585090062501</v>
      </c>
      <c r="R29" s="186">
        <f t="shared" ca="1" si="9"/>
        <v>14.522585090062501</v>
      </c>
      <c r="S29" s="186">
        <f t="shared" ca="1" si="9"/>
        <v>14.522585090062501</v>
      </c>
      <c r="T29" s="186">
        <f t="shared" ca="1" si="9"/>
        <v>14.522585090062501</v>
      </c>
      <c r="U29" s="186">
        <f t="shared" ca="1" si="9"/>
        <v>14.522585090062501</v>
      </c>
      <c r="V29" s="186">
        <f t="shared" ca="1" si="9"/>
        <v>14.522585090062501</v>
      </c>
      <c r="W29" s="186">
        <f t="shared" ca="1" si="9"/>
        <v>14.522585090062501</v>
      </c>
      <c r="X29" s="186">
        <f t="shared" ca="1" si="9"/>
        <v>14.522585090062501</v>
      </c>
      <c r="Y29" s="186">
        <f t="shared" ca="1" si="9"/>
        <v>14.522585090062501</v>
      </c>
      <c r="Z29" s="186">
        <f t="shared" ca="1" si="9"/>
        <v>14.522585090062501</v>
      </c>
      <c r="AA29" s="144"/>
      <c r="AD29" s="187" t="s">
        <v>3074</v>
      </c>
      <c r="AE29" s="187"/>
      <c r="AG29" s="119"/>
      <c r="AH29" s="119"/>
      <c r="AI29" s="119"/>
      <c r="AJ29" s="119"/>
      <c r="AK29" s="119"/>
      <c r="AL29" s="119"/>
      <c r="AM29" s="119"/>
      <c r="AN29" s="119"/>
      <c r="AO29" s="183"/>
    </row>
    <row r="30" spans="1:44" x14ac:dyDescent="0.25">
      <c r="A30" s="147"/>
      <c r="B30" s="140" t="s">
        <v>3075</v>
      </c>
      <c r="C30" s="188">
        <f>C26*C14</f>
        <v>310.20000000000005</v>
      </c>
      <c r="D30" t="s">
        <v>3031</v>
      </c>
      <c r="E30" s="142"/>
      <c r="G30" s="189"/>
      <c r="I30" s="190" t="s">
        <v>3076</v>
      </c>
      <c r="J30" s="144" t="s">
        <v>3077</v>
      </c>
      <c r="K30" s="144"/>
      <c r="L30" s="191"/>
      <c r="M30" s="192"/>
      <c r="N30" s="193">
        <f>N38*31</f>
        <v>441.33152743829783</v>
      </c>
      <c r="O30" s="193">
        <f>O38*28.25</f>
        <v>402.1811500042553</v>
      </c>
      <c r="P30" s="193">
        <f t="shared" ref="P30:Y30" si="10">P38*31</f>
        <v>441.33152743829783</v>
      </c>
      <c r="Q30" s="193">
        <f>Q38*30</f>
        <v>377.21610900000002</v>
      </c>
      <c r="R30" s="193">
        <f t="shared" si="10"/>
        <v>389.78997930000003</v>
      </c>
      <c r="S30" s="193">
        <f>S38*30</f>
        <v>402.15556777659577</v>
      </c>
      <c r="T30" s="193">
        <f t="shared" si="10"/>
        <v>415.56075336914893</v>
      </c>
      <c r="U30" s="193">
        <f t="shared" si="10"/>
        <v>415.56075336914893</v>
      </c>
      <c r="V30" s="193">
        <f t="shared" si="10"/>
        <v>389.78997930000003</v>
      </c>
      <c r="W30" s="193">
        <f>W38*30</f>
        <v>377.21610900000002</v>
      </c>
      <c r="X30" s="193">
        <f>X38*30</f>
        <v>427.09502655319147</v>
      </c>
      <c r="Y30" s="193">
        <f t="shared" si="10"/>
        <v>441.33152743829783</v>
      </c>
      <c r="Z30" s="194"/>
      <c r="AA30" s="144"/>
    </row>
    <row r="31" spans="1:44" x14ac:dyDescent="0.25">
      <c r="A31" s="147"/>
      <c r="B31" s="140" t="s">
        <v>3078</v>
      </c>
      <c r="C31" s="195">
        <f>C30+C19*(C29-C21)*C26</f>
        <v>318.00000000000006</v>
      </c>
      <c r="E31" s="142"/>
      <c r="F31" s="149" t="s">
        <v>3079</v>
      </c>
      <c r="G31" s="114" t="s">
        <v>3080</v>
      </c>
      <c r="I31" s="196">
        <f>N31*N48</f>
        <v>964.20833333333337</v>
      </c>
      <c r="J31" s="144" t="s">
        <v>3081</v>
      </c>
      <c r="K31" s="144"/>
      <c r="L31" s="197"/>
      <c r="M31" s="192"/>
      <c r="N31" s="198">
        <f>$C$87</f>
        <v>31.7</v>
      </c>
      <c r="O31" s="198">
        <f t="shared" ref="O31:Y31" si="11">$C$87</f>
        <v>31.7</v>
      </c>
      <c r="P31" s="198">
        <f>$C$88+($C$87-$C$88)*0.85</f>
        <v>29.271124999999998</v>
      </c>
      <c r="Q31" s="198">
        <f>$C$88+($C$87-$C$88)*0.5</f>
        <v>23.603749999999998</v>
      </c>
      <c r="R31" s="198">
        <f>$C$88+($C$87-$C$88)*0.17</f>
        <v>18.260224999999998</v>
      </c>
      <c r="S31" s="198">
        <f>$C$88</f>
        <v>15.507499999999999</v>
      </c>
      <c r="T31" s="198">
        <f>$C$88</f>
        <v>15.507499999999999</v>
      </c>
      <c r="U31" s="198">
        <f>$C$88+($C$87-$C$88)*0.17</f>
        <v>18.260224999999998</v>
      </c>
      <c r="V31" s="198">
        <f>$C$88+($C$87-$C$88)*0.5</f>
        <v>23.603749999999998</v>
      </c>
      <c r="W31" s="198">
        <f>$C$88+($C$87-$C$88)*0.85</f>
        <v>29.271124999999998</v>
      </c>
      <c r="X31" s="198">
        <f>$C$88+($C$87-$C$88)*1</f>
        <v>31.700000000000003</v>
      </c>
      <c r="Y31" s="198">
        <f t="shared" si="11"/>
        <v>31.7</v>
      </c>
      <c r="Z31" s="199"/>
      <c r="AA31" s="200"/>
      <c r="AC31" s="201" t="s">
        <v>133</v>
      </c>
      <c r="AD31" s="202" t="str">
        <f>"'Solar-tables'!"&amp;VLOOKUP(J15, '[1]Solar-tables'!O13:P22, 2, FALSE)</f>
        <v>'Solar-tables'!AD6:AE17</v>
      </c>
      <c r="AE31" s="115" t="s">
        <v>3082</v>
      </c>
    </row>
    <row r="32" spans="1:44" x14ac:dyDescent="0.25">
      <c r="A32" s="147"/>
      <c r="B32" s="140" t="s">
        <v>3083</v>
      </c>
      <c r="C32" s="195">
        <f>C27*C26*C11</f>
        <v>3000</v>
      </c>
      <c r="D32" s="142" t="s">
        <v>3028</v>
      </c>
      <c r="G32" s="114"/>
      <c r="I32" s="203">
        <f>I31/N48</f>
        <v>31.7</v>
      </c>
      <c r="J32" s="144" t="s">
        <v>3084</v>
      </c>
      <c r="K32" s="144"/>
      <c r="L32" s="144"/>
      <c r="M32" s="144"/>
      <c r="N32" s="204">
        <f t="shared" ref="N32:Y33" si="12">$X64</f>
        <v>10</v>
      </c>
      <c r="O32" s="204">
        <f t="shared" si="12"/>
        <v>10</v>
      </c>
      <c r="P32" s="204">
        <f t="shared" si="12"/>
        <v>10</v>
      </c>
      <c r="Q32" s="204">
        <f t="shared" si="12"/>
        <v>10</v>
      </c>
      <c r="R32" s="204">
        <f t="shared" si="12"/>
        <v>10</v>
      </c>
      <c r="S32" s="204">
        <f t="shared" si="12"/>
        <v>10</v>
      </c>
      <c r="T32" s="204">
        <f t="shared" si="12"/>
        <v>10</v>
      </c>
      <c r="U32" s="204">
        <f t="shared" si="12"/>
        <v>10</v>
      </c>
      <c r="V32" s="204">
        <f t="shared" si="12"/>
        <v>10</v>
      </c>
      <c r="W32" s="204">
        <f t="shared" si="12"/>
        <v>10</v>
      </c>
      <c r="X32" s="204">
        <f t="shared" si="12"/>
        <v>10</v>
      </c>
      <c r="Y32" s="204">
        <f t="shared" si="12"/>
        <v>10</v>
      </c>
      <c r="Z32" s="205"/>
      <c r="AA32" s="200"/>
      <c r="AC32" s="206" t="s">
        <v>131</v>
      </c>
      <c r="AD32" s="202" t="str">
        <f>"'Solar-tables'!"&amp;VLOOKUP(AE19, '[1]Solar-tables'!O13:P22, 2, FALSE)</f>
        <v>'Solar-tables'!AD6:AE17</v>
      </c>
      <c r="AE32" s="115" t="s">
        <v>3085</v>
      </c>
    </row>
    <row r="33" spans="1:31" x14ac:dyDescent="0.25">
      <c r="A33" s="147"/>
      <c r="B33" s="140" t="s">
        <v>3086</v>
      </c>
      <c r="C33" s="148" t="str">
        <f>IF(((C27-1)*C15)&gt;C17, "Yes", "No")</f>
        <v>No</v>
      </c>
      <c r="D33" s="142" t="s">
        <v>3087</v>
      </c>
      <c r="E33" s="207">
        <f>(C27-1)*C15</f>
        <v>0</v>
      </c>
      <c r="F33" s="163" t="s">
        <v>3088</v>
      </c>
      <c r="G33" s="114" t="s">
        <v>3089</v>
      </c>
      <c r="I33" s="208" t="s">
        <v>3090</v>
      </c>
      <c r="J33" s="144" t="s">
        <v>3091</v>
      </c>
      <c r="K33" s="144"/>
      <c r="L33" s="144"/>
      <c r="M33" s="144"/>
      <c r="N33" s="204">
        <f t="shared" si="12"/>
        <v>27.4</v>
      </c>
      <c r="O33" s="204">
        <f t="shared" si="12"/>
        <v>27.4</v>
      </c>
      <c r="P33" s="204">
        <f t="shared" si="12"/>
        <v>27.4</v>
      </c>
      <c r="Q33" s="204">
        <f t="shared" si="12"/>
        <v>27.4</v>
      </c>
      <c r="R33" s="204">
        <f t="shared" si="12"/>
        <v>27.4</v>
      </c>
      <c r="S33" s="204">
        <f t="shared" si="12"/>
        <v>27.4</v>
      </c>
      <c r="T33" s="204">
        <f t="shared" si="12"/>
        <v>27.4</v>
      </c>
      <c r="U33" s="204">
        <f t="shared" si="12"/>
        <v>27.4</v>
      </c>
      <c r="V33" s="204">
        <f t="shared" si="12"/>
        <v>27.4</v>
      </c>
      <c r="W33" s="204">
        <f t="shared" si="12"/>
        <v>27.4</v>
      </c>
      <c r="X33" s="204">
        <f t="shared" si="12"/>
        <v>27.4</v>
      </c>
      <c r="Y33" s="204">
        <f t="shared" si="12"/>
        <v>27.4</v>
      </c>
      <c r="Z33" s="205"/>
      <c r="AA33" s="200"/>
      <c r="AC33" s="209" t="s">
        <v>129</v>
      </c>
      <c r="AD33" s="202" t="e">
        <f>"'Solar-tables'!"&amp;VLOOKUP(AE21, '[1]Solar-tables'!O13:P22, 2, FALSE)</f>
        <v>#N/A</v>
      </c>
      <c r="AE33" s="115" t="s">
        <v>3092</v>
      </c>
    </row>
    <row r="34" spans="1:31" x14ac:dyDescent="0.25">
      <c r="A34" s="210"/>
      <c r="B34" s="140" t="s">
        <v>3093</v>
      </c>
      <c r="C34" s="188">
        <f>1.5*C15</f>
        <v>18.419999999999998</v>
      </c>
      <c r="D34" s="142" t="s">
        <v>133</v>
      </c>
      <c r="F34" s="149" t="s">
        <v>3094</v>
      </c>
      <c r="G34" s="114" t="s">
        <v>3095</v>
      </c>
      <c r="I34" s="200"/>
      <c r="J34" s="144" t="s">
        <v>3096</v>
      </c>
      <c r="K34" s="144"/>
      <c r="L34" s="144"/>
      <c r="M34" s="144"/>
      <c r="N34" s="211">
        <f t="shared" ref="N34:Y34" si="13">$Q62</f>
        <v>1.9998</v>
      </c>
      <c r="O34" s="211">
        <f t="shared" si="13"/>
        <v>1.9998</v>
      </c>
      <c r="P34" s="211">
        <f t="shared" si="13"/>
        <v>1.9998</v>
      </c>
      <c r="Q34" s="211">
        <f t="shared" si="13"/>
        <v>1.9998</v>
      </c>
      <c r="R34" s="211">
        <f t="shared" si="13"/>
        <v>1.9998</v>
      </c>
      <c r="S34" s="211">
        <f t="shared" si="13"/>
        <v>1.9998</v>
      </c>
      <c r="T34" s="211">
        <f t="shared" si="13"/>
        <v>1.9998</v>
      </c>
      <c r="U34" s="211">
        <f t="shared" si="13"/>
        <v>1.9998</v>
      </c>
      <c r="V34" s="211">
        <f t="shared" si="13"/>
        <v>1.9998</v>
      </c>
      <c r="W34" s="211">
        <f t="shared" si="13"/>
        <v>1.9998</v>
      </c>
      <c r="X34" s="211">
        <f t="shared" si="13"/>
        <v>1.9998</v>
      </c>
      <c r="Y34" s="211">
        <f t="shared" si="13"/>
        <v>1.9998</v>
      </c>
      <c r="Z34" s="212"/>
      <c r="AA34" s="200"/>
    </row>
    <row r="35" spans="1:31" x14ac:dyDescent="0.25">
      <c r="A35" s="213"/>
      <c r="B35" s="140" t="s">
        <v>3097</v>
      </c>
      <c r="C35" s="188">
        <f>IF(2.4*C15&lt;C17, 2.4*C15, C17)</f>
        <v>15</v>
      </c>
      <c r="D35" s="142" t="s">
        <v>133</v>
      </c>
      <c r="F35" s="149" t="s">
        <v>3098</v>
      </c>
      <c r="G35" s="114" t="s">
        <v>3095</v>
      </c>
      <c r="I35" s="214">
        <f>X64/X66</f>
        <v>0.26737967914438504</v>
      </c>
      <c r="J35" s="144" t="s">
        <v>3099</v>
      </c>
      <c r="K35" s="144"/>
      <c r="L35" s="144"/>
      <c r="M35" s="144"/>
      <c r="N35" s="211">
        <f t="shared" ref="N35:Y35" si="14">$L46</f>
        <v>0.115</v>
      </c>
      <c r="O35" s="211">
        <f t="shared" si="14"/>
        <v>0.115</v>
      </c>
      <c r="P35" s="211">
        <f t="shared" si="14"/>
        <v>0.115</v>
      </c>
      <c r="Q35" s="211">
        <f t="shared" si="14"/>
        <v>0.115</v>
      </c>
      <c r="R35" s="211">
        <f t="shared" si="14"/>
        <v>0.115</v>
      </c>
      <c r="S35" s="211">
        <f t="shared" si="14"/>
        <v>0.115</v>
      </c>
      <c r="T35" s="211">
        <f t="shared" si="14"/>
        <v>0.115</v>
      </c>
      <c r="U35" s="211">
        <f t="shared" si="14"/>
        <v>0.115</v>
      </c>
      <c r="V35" s="211">
        <f t="shared" si="14"/>
        <v>0.115</v>
      </c>
      <c r="W35" s="211">
        <f t="shared" si="14"/>
        <v>0.115</v>
      </c>
      <c r="X35" s="211">
        <f t="shared" si="14"/>
        <v>0.115</v>
      </c>
      <c r="Y35" s="211">
        <f t="shared" si="14"/>
        <v>0.115</v>
      </c>
      <c r="Z35" s="215">
        <f ca="1">Z27*Y35*100</f>
        <v>167.00972853571875</v>
      </c>
      <c r="AA35" s="200" t="s">
        <v>3100</v>
      </c>
    </row>
    <row r="36" spans="1:31" ht="15" customHeight="1" x14ac:dyDescent="0.25">
      <c r="A36" s="213"/>
      <c r="B36" s="140" t="s">
        <v>3101</v>
      </c>
      <c r="C36" s="184">
        <f>IF(C34=15, 15, 20)</f>
        <v>20</v>
      </c>
      <c r="D36" s="142" t="s">
        <v>133</v>
      </c>
      <c r="E36" t="s">
        <v>3102</v>
      </c>
      <c r="G36" s="114"/>
      <c r="I36" s="216" t="s">
        <v>3103</v>
      </c>
      <c r="J36" s="144" t="s">
        <v>3104</v>
      </c>
      <c r="K36" s="144"/>
      <c r="L36" s="144"/>
      <c r="M36" s="144"/>
      <c r="N36" s="211">
        <f>N69</f>
        <v>0.49249547280141825</v>
      </c>
      <c r="O36" s="211">
        <f t="shared" ref="O36:Y37" si="15">O69</f>
        <v>0.49249547280141825</v>
      </c>
      <c r="P36" s="211">
        <f t="shared" si="15"/>
        <v>0.49249547280141825</v>
      </c>
      <c r="Q36" s="211">
        <f t="shared" si="15"/>
        <v>0.42343858999999995</v>
      </c>
      <c r="R36" s="211">
        <f t="shared" si="15"/>
        <v>0.42343858999999995</v>
      </c>
      <c r="S36" s="211">
        <f t="shared" si="15"/>
        <v>0.42343858999999995</v>
      </c>
      <c r="T36" s="211">
        <f t="shared" si="15"/>
        <v>0.42343858999999995</v>
      </c>
      <c r="U36" s="211">
        <f t="shared" si="15"/>
        <v>0.42343858999999995</v>
      </c>
      <c r="V36" s="211">
        <f t="shared" si="15"/>
        <v>0.42343858999999995</v>
      </c>
      <c r="W36" s="211">
        <f t="shared" si="15"/>
        <v>0.42343858999999995</v>
      </c>
      <c r="X36" s="211">
        <f t="shared" si="15"/>
        <v>0.49249547280141825</v>
      </c>
      <c r="Y36" s="211">
        <f t="shared" si="15"/>
        <v>0.49249547280141825</v>
      </c>
      <c r="Z36" s="217"/>
      <c r="AA36" s="218"/>
    </row>
    <row r="37" spans="1:31" x14ac:dyDescent="0.25">
      <c r="A37" s="213"/>
      <c r="B37" s="140" t="s">
        <v>3105</v>
      </c>
      <c r="C37" s="141">
        <f>VLOOKUP(C$7, ArraysBanks!$C$4:$AB$15, 24, FALSE)</f>
        <v>21</v>
      </c>
      <c r="D37" s="142" t="s">
        <v>3106</v>
      </c>
      <c r="E37" t="str">
        <f>VLOOKUP(C37, Equipment!$A$5:$U$26, 2, FALSE)</f>
        <v>SmartSolar MPPT 450/100 Tr</v>
      </c>
      <c r="G37" s="114"/>
      <c r="I37" s="214">
        <f>X65/X66</f>
        <v>0.73262032085561501</v>
      </c>
      <c r="J37" s="144" t="s">
        <v>3107</v>
      </c>
      <c r="K37" s="144"/>
      <c r="L37" s="144"/>
      <c r="M37" s="144"/>
      <c r="N37" s="211">
        <f>N70</f>
        <v>0.26685204952891234</v>
      </c>
      <c r="O37" s="211">
        <f t="shared" si="15"/>
        <v>0.26685204952891234</v>
      </c>
      <c r="P37" s="211">
        <f t="shared" si="15"/>
        <v>0.26685204952891234</v>
      </c>
      <c r="Q37" s="211">
        <f t="shared" si="15"/>
        <v>0.23137534306569346</v>
      </c>
      <c r="R37" s="211">
        <f t="shared" si="15"/>
        <v>0.23137534306569346</v>
      </c>
      <c r="S37" s="211">
        <f t="shared" si="15"/>
        <v>0.26210209507169846</v>
      </c>
      <c r="T37" s="211">
        <f t="shared" si="15"/>
        <v>0.26210209507169846</v>
      </c>
      <c r="U37" s="211">
        <f t="shared" si="15"/>
        <v>0.26210209507169846</v>
      </c>
      <c r="V37" s="211">
        <f t="shared" si="15"/>
        <v>0.23137534306569346</v>
      </c>
      <c r="W37" s="211">
        <f t="shared" si="15"/>
        <v>0.23137534306569346</v>
      </c>
      <c r="X37" s="211">
        <f t="shared" si="15"/>
        <v>0.26685204952891234</v>
      </c>
      <c r="Y37" s="211">
        <f t="shared" si="15"/>
        <v>0.26685204952891234</v>
      </c>
      <c r="Z37" s="217"/>
      <c r="AA37" s="218" t="s">
        <v>3108</v>
      </c>
    </row>
    <row r="38" spans="1:31" x14ac:dyDescent="0.25">
      <c r="A38" s="213"/>
      <c r="B38" s="140" t="s">
        <v>3109</v>
      </c>
      <c r="C38" s="219">
        <v>5800</v>
      </c>
      <c r="D38" s="142" t="s">
        <v>3028</v>
      </c>
      <c r="E38" t="s">
        <v>3110</v>
      </c>
      <c r="G38" s="114"/>
      <c r="I38" s="216" t="s">
        <v>3103</v>
      </c>
      <c r="J38" s="144" t="s">
        <v>3111</v>
      </c>
      <c r="K38" s="144"/>
      <c r="L38" s="144"/>
      <c r="M38" s="144"/>
      <c r="N38" s="211">
        <f>N72</f>
        <v>14.236500885106382</v>
      </c>
      <c r="O38" s="211">
        <f t="shared" ref="O38:Y38" si="16">O72</f>
        <v>14.236500885106382</v>
      </c>
      <c r="P38" s="211">
        <f t="shared" si="16"/>
        <v>14.236500885106382</v>
      </c>
      <c r="Q38" s="211">
        <f t="shared" si="16"/>
        <v>12.573870300000001</v>
      </c>
      <c r="R38" s="211">
        <f t="shared" si="16"/>
        <v>12.573870300000001</v>
      </c>
      <c r="S38" s="211">
        <f t="shared" si="16"/>
        <v>13.405185592553192</v>
      </c>
      <c r="T38" s="211">
        <f t="shared" si="16"/>
        <v>13.405185592553192</v>
      </c>
      <c r="U38" s="211">
        <f t="shared" si="16"/>
        <v>13.405185592553192</v>
      </c>
      <c r="V38" s="211">
        <f t="shared" si="16"/>
        <v>12.573870300000001</v>
      </c>
      <c r="W38" s="211">
        <f t="shared" si="16"/>
        <v>12.573870300000001</v>
      </c>
      <c r="X38" s="211">
        <f t="shared" si="16"/>
        <v>14.236500885106382</v>
      </c>
      <c r="Y38" s="211">
        <f t="shared" si="16"/>
        <v>14.236500885106382</v>
      </c>
      <c r="Z38" s="205"/>
      <c r="AA38" s="218" t="s">
        <v>3112</v>
      </c>
    </row>
    <row r="39" spans="1:31" x14ac:dyDescent="0.25">
      <c r="A39" s="213"/>
      <c r="B39" s="140" t="s">
        <v>3113</v>
      </c>
      <c r="C39" s="220" t="str">
        <f>Calculator!AB23</f>
        <v>Sydney</v>
      </c>
      <c r="D39" s="221"/>
      <c r="E39" s="222"/>
      <c r="F39" s="223" t="s">
        <v>3114</v>
      </c>
      <c r="G39" s="114"/>
      <c r="I39" s="200"/>
      <c r="J39" s="144" t="s">
        <v>3115</v>
      </c>
      <c r="K39" s="144"/>
      <c r="L39" s="144"/>
      <c r="M39" s="144"/>
      <c r="N39" s="224">
        <f t="shared" ref="N39:Y39" si="17">IF($AA38="No", IF($AA40="Yes", (N49*N70+N52*N69)+N34, N32*$AA60*N69+N33*N70+N34), 0)</f>
        <v>0</v>
      </c>
      <c r="O39" s="211">
        <f t="shared" si="17"/>
        <v>0</v>
      </c>
      <c r="P39" s="211">
        <f t="shared" si="17"/>
        <v>0</v>
      </c>
      <c r="Q39" s="211">
        <f t="shared" si="17"/>
        <v>0</v>
      </c>
      <c r="R39" s="211">
        <f t="shared" si="17"/>
        <v>0</v>
      </c>
      <c r="S39" s="211">
        <f t="shared" si="17"/>
        <v>0</v>
      </c>
      <c r="T39" s="211">
        <f t="shared" si="17"/>
        <v>0</v>
      </c>
      <c r="U39" s="211">
        <f t="shared" si="17"/>
        <v>0</v>
      </c>
      <c r="V39" s="211">
        <f t="shared" si="17"/>
        <v>0</v>
      </c>
      <c r="W39" s="211">
        <f t="shared" si="17"/>
        <v>0</v>
      </c>
      <c r="X39" s="211">
        <f t="shared" si="17"/>
        <v>0</v>
      </c>
      <c r="Y39" s="211">
        <f t="shared" si="17"/>
        <v>0</v>
      </c>
      <c r="Z39" s="211">
        <f>AVERAGE(N39:Y39)</f>
        <v>0</v>
      </c>
      <c r="AA39" s="218" t="s">
        <v>3116</v>
      </c>
    </row>
    <row r="40" spans="1:31" x14ac:dyDescent="0.25">
      <c r="A40" s="213"/>
      <c r="B40" s="140" t="s">
        <v>3117</v>
      </c>
      <c r="C40" s="188">
        <f>MIN(N24:Z24)</f>
        <v>2.2999999999999998</v>
      </c>
      <c r="E40" s="221" t="s">
        <v>3118</v>
      </c>
      <c r="F40" s="142" t="s">
        <v>3119</v>
      </c>
      <c r="G40" s="114"/>
      <c r="I40" s="200"/>
      <c r="J40" s="144" t="s">
        <v>3120</v>
      </c>
      <c r="K40" s="144"/>
      <c r="L40" s="225">
        <f ca="1">Z40*N48</f>
        <v>9.9037325720776366</v>
      </c>
      <c r="M40" s="144" t="s">
        <v>3121</v>
      </c>
      <c r="N40" s="226">
        <f t="shared" ref="N40:Y40" ca="1" si="18">IF($AA40="Yes", N53*N35, (N27-N32*(1-$AA60))*N35)</f>
        <v>0.37524996457812904</v>
      </c>
      <c r="O40" s="227">
        <f t="shared" ca="1" si="18"/>
        <v>0.36554030035008006</v>
      </c>
      <c r="P40" s="227">
        <f t="shared" ca="1" si="18"/>
        <v>0.36085681525184465</v>
      </c>
      <c r="Q40" s="227">
        <f t="shared" ca="1" si="18"/>
        <v>0.32550221432736026</v>
      </c>
      <c r="R40" s="227">
        <f t="shared" ca="1" si="18"/>
        <v>0.28272257605201506</v>
      </c>
      <c r="S40" s="227">
        <f t="shared" ca="1" si="18"/>
        <v>0.23120423997142558</v>
      </c>
      <c r="T40" s="227">
        <f t="shared" ca="1" si="18"/>
        <v>0.25690629233979062</v>
      </c>
      <c r="U40" s="227">
        <f t="shared" ca="1" si="18"/>
        <v>0.29128992684146998</v>
      </c>
      <c r="V40" s="227">
        <f t="shared" ca="1" si="18"/>
        <v>0.33823900916768351</v>
      </c>
      <c r="W40" s="227">
        <f t="shared" ca="1" si="18"/>
        <v>0.35720141224834395</v>
      </c>
      <c r="X40" s="227">
        <f t="shared" ca="1" si="18"/>
        <v>0.35057599430449854</v>
      </c>
      <c r="Y40" s="227">
        <f t="shared" ca="1" si="18"/>
        <v>0.37193725560620655</v>
      </c>
      <c r="Z40" s="212">
        <f ca="1">AVERAGE(N40:Y40)</f>
        <v>0.32560216675323733</v>
      </c>
      <c r="AA40" s="218" t="s">
        <v>3112</v>
      </c>
    </row>
    <row r="41" spans="1:31" x14ac:dyDescent="0.25">
      <c r="A41" s="213"/>
      <c r="B41" s="140" t="s">
        <v>3122</v>
      </c>
      <c r="C41" s="228">
        <v>0.95</v>
      </c>
      <c r="E41" s="229"/>
      <c r="F41" s="149"/>
      <c r="G41" s="114"/>
      <c r="I41" s="200"/>
      <c r="J41" s="144" t="s">
        <v>3123</v>
      </c>
      <c r="K41" s="144"/>
      <c r="L41" s="144"/>
      <c r="M41" s="144"/>
      <c r="N41" s="211">
        <f ca="1">N39-N40</f>
        <v>-0.37524996457812904</v>
      </c>
      <c r="O41" s="224">
        <f t="shared" ref="O41:Y41" ca="1" si="19">O39-O40</f>
        <v>-0.36554030035008006</v>
      </c>
      <c r="P41" s="211">
        <f t="shared" ca="1" si="19"/>
        <v>-0.36085681525184465</v>
      </c>
      <c r="Q41" s="211">
        <f t="shared" ca="1" si="19"/>
        <v>-0.32550221432736026</v>
      </c>
      <c r="R41" s="211">
        <f t="shared" ca="1" si="19"/>
        <v>-0.28272257605201506</v>
      </c>
      <c r="S41" s="211">
        <f t="shared" ca="1" si="19"/>
        <v>-0.23120423997142558</v>
      </c>
      <c r="T41" s="211">
        <f t="shared" ca="1" si="19"/>
        <v>-0.25690629233979062</v>
      </c>
      <c r="U41" s="211">
        <f t="shared" ca="1" si="19"/>
        <v>-0.29128992684146998</v>
      </c>
      <c r="V41" s="211">
        <f t="shared" ca="1" si="19"/>
        <v>-0.33823900916768351</v>
      </c>
      <c r="W41" s="211">
        <f t="shared" ca="1" si="19"/>
        <v>-0.35720141224834395</v>
      </c>
      <c r="X41" s="211">
        <f t="shared" ca="1" si="19"/>
        <v>-0.35057599430449854</v>
      </c>
      <c r="Y41" s="211">
        <f t="shared" ca="1" si="19"/>
        <v>-0.37193725560620655</v>
      </c>
      <c r="Z41" s="211">
        <f ca="1">AVERAGE(N41:Y41)</f>
        <v>-0.32560216675323733</v>
      </c>
      <c r="AA41" s="200"/>
    </row>
    <row r="42" spans="1:31" x14ac:dyDescent="0.25">
      <c r="A42" s="213"/>
      <c r="B42" s="140" t="s">
        <v>3124</v>
      </c>
      <c r="C42" s="230">
        <f>Calculator!F8</f>
        <v>40</v>
      </c>
      <c r="E42" s="229"/>
      <c r="F42" s="149"/>
      <c r="G42" s="114"/>
      <c r="I42" s="200"/>
      <c r="J42" s="144" t="s">
        <v>3125</v>
      </c>
      <c r="K42" s="144"/>
      <c r="L42" s="231">
        <f ca="1">Z42*-1</f>
        <v>9.8984886394485905</v>
      </c>
      <c r="M42" s="144"/>
      <c r="N42" s="211">
        <f ca="1">N41*31</f>
        <v>-11.632748901922</v>
      </c>
      <c r="O42" s="211">
        <f ca="1">O41*28</f>
        <v>-10.235128409802241</v>
      </c>
      <c r="P42" s="211">
        <f ca="1">P41*31</f>
        <v>-11.186561272807184</v>
      </c>
      <c r="Q42" s="211">
        <f t="shared" ref="Q42:X42" ca="1" si="20">Q41*30</f>
        <v>-9.7650664298208074</v>
      </c>
      <c r="R42" s="211">
        <f ca="1">R41*31</f>
        <v>-8.7643998576124673</v>
      </c>
      <c r="S42" s="211">
        <f t="shared" ca="1" si="20"/>
        <v>-6.9361271991427671</v>
      </c>
      <c r="T42" s="211">
        <f ca="1">T41*31</f>
        <v>-7.9640950625335094</v>
      </c>
      <c r="U42" s="211">
        <f ca="1">U41*31</f>
        <v>-9.0299877320855693</v>
      </c>
      <c r="V42" s="211">
        <f t="shared" ca="1" si="20"/>
        <v>-10.147170275030506</v>
      </c>
      <c r="W42" s="211">
        <f ca="1">W41*31</f>
        <v>-11.073243779698663</v>
      </c>
      <c r="X42" s="211">
        <f t="shared" ca="1" si="20"/>
        <v>-10.517279829134957</v>
      </c>
      <c r="Y42" s="211">
        <f ca="1">Y41*31</f>
        <v>-11.530054923792402</v>
      </c>
      <c r="Z42" s="211">
        <f ca="1">AVERAGE(N42:Y42)</f>
        <v>-9.8984886394485905</v>
      </c>
      <c r="AA42" s="200" t="s">
        <v>3126</v>
      </c>
    </row>
    <row r="43" spans="1:31" x14ac:dyDescent="0.25">
      <c r="A43" s="213"/>
      <c r="B43" s="140" t="s">
        <v>3127</v>
      </c>
      <c r="C43" s="230">
        <f>Calculator!E8</f>
        <v>0</v>
      </c>
      <c r="E43" s="229"/>
      <c r="F43" s="149"/>
      <c r="G43" s="114"/>
      <c r="I43" s="200"/>
      <c r="J43" s="144" t="s">
        <v>3128</v>
      </c>
      <c r="K43" s="144"/>
      <c r="L43" s="232">
        <f ca="1">Z43/12</f>
        <v>419.94515613838468</v>
      </c>
      <c r="M43" s="144" t="s">
        <v>3121</v>
      </c>
      <c r="N43" s="211">
        <f ca="1">IF(SIGN(N42)=1, N30-N42, N30+ABS(N42))</f>
        <v>452.96427634021984</v>
      </c>
      <c r="O43" s="211">
        <f t="shared" ref="O43:Y43" ca="1" si="21">IF(SIGN(O42)=1, O30-O42, O30+ABS(O42))</f>
        <v>412.41627841405756</v>
      </c>
      <c r="P43" s="211">
        <f t="shared" ca="1" si="21"/>
        <v>452.51808871110501</v>
      </c>
      <c r="Q43" s="211">
        <f t="shared" ca="1" si="21"/>
        <v>386.98117542982084</v>
      </c>
      <c r="R43" s="211">
        <f t="shared" ca="1" si="21"/>
        <v>398.55437915761252</v>
      </c>
      <c r="S43" s="211">
        <f t="shared" ca="1" si="21"/>
        <v>409.09169497573856</v>
      </c>
      <c r="T43" s="211">
        <f t="shared" ca="1" si="21"/>
        <v>423.52484843168241</v>
      </c>
      <c r="U43" s="211">
        <f t="shared" ca="1" si="21"/>
        <v>424.59074110123447</v>
      </c>
      <c r="V43" s="211">
        <f t="shared" ca="1" si="21"/>
        <v>399.93714957503056</v>
      </c>
      <c r="W43" s="211">
        <f t="shared" ca="1" si="21"/>
        <v>388.28935277969867</v>
      </c>
      <c r="X43" s="211">
        <f t="shared" ca="1" si="21"/>
        <v>437.61230638232644</v>
      </c>
      <c r="Y43" s="211">
        <f t="shared" ca="1" si="21"/>
        <v>452.86158236209025</v>
      </c>
      <c r="Z43" s="212">
        <f ca="1">SUM(N43:Y43)</f>
        <v>5039.3418736606163</v>
      </c>
      <c r="AA43" s="200" t="s">
        <v>3129</v>
      </c>
    </row>
    <row r="44" spans="1:31" x14ac:dyDescent="0.25">
      <c r="E44" s="229"/>
      <c r="F44" s="149"/>
      <c r="G44" s="114"/>
      <c r="I44" s="200"/>
      <c r="J44" s="200" t="s">
        <v>3130</v>
      </c>
      <c r="K44" s="200"/>
      <c r="L44" s="233">
        <f ca="1">ABS(N44)/Z43</f>
        <v>0</v>
      </c>
      <c r="M44" s="200" t="s">
        <v>3131</v>
      </c>
      <c r="N44" s="234">
        <f>L47*-1</f>
        <v>0</v>
      </c>
      <c r="O44" s="235">
        <f t="shared" ref="O44:Z44" ca="1" si="22">$Z43</f>
        <v>5039.3418736606163</v>
      </c>
      <c r="P44" s="235">
        <f t="shared" ca="1" si="22"/>
        <v>5039.3418736606163</v>
      </c>
      <c r="Q44" s="235">
        <f t="shared" ca="1" si="22"/>
        <v>5039.3418736606163</v>
      </c>
      <c r="R44" s="235">
        <f t="shared" ca="1" si="22"/>
        <v>5039.3418736606163</v>
      </c>
      <c r="S44" s="235">
        <f t="shared" ca="1" si="22"/>
        <v>5039.3418736606163</v>
      </c>
      <c r="T44" s="235">
        <f t="shared" ca="1" si="22"/>
        <v>5039.3418736606163</v>
      </c>
      <c r="U44" s="235">
        <f t="shared" ca="1" si="22"/>
        <v>5039.3418736606163</v>
      </c>
      <c r="V44" s="235">
        <f t="shared" ca="1" si="22"/>
        <v>5039.3418736606163</v>
      </c>
      <c r="W44" s="235">
        <f t="shared" ca="1" si="22"/>
        <v>5039.3418736606163</v>
      </c>
      <c r="X44" s="235">
        <f t="shared" ca="1" si="22"/>
        <v>5039.3418736606163</v>
      </c>
      <c r="Y44" s="235">
        <f t="shared" ca="1" si="22"/>
        <v>5039.3418736606163</v>
      </c>
      <c r="Z44" s="235">
        <f t="shared" ca="1" si="22"/>
        <v>5039.3418736606163</v>
      </c>
      <c r="AA44" s="200"/>
    </row>
    <row r="45" spans="1:31" x14ac:dyDescent="0.25">
      <c r="A45" s="132"/>
      <c r="B45" s="236" t="s">
        <v>3132</v>
      </c>
      <c r="C45" s="132">
        <f>Calculator!E16</f>
        <v>14.4</v>
      </c>
      <c r="D45" s="132" t="s">
        <v>3054</v>
      </c>
      <c r="E45" s="132"/>
      <c r="F45" s="135"/>
      <c r="G45" s="114"/>
      <c r="I45" s="200"/>
      <c r="J45" s="200" t="s">
        <v>3133</v>
      </c>
      <c r="K45" s="200"/>
      <c r="L45" s="237">
        <f ca="1">SUM(N45:Z45)</f>
        <v>60472.102483927411</v>
      </c>
      <c r="M45" s="200" t="s">
        <v>3134</v>
      </c>
      <c r="N45" s="234">
        <f t="shared" ref="N45:Z45" si="23">N44/(1+$M47)^N46</f>
        <v>0</v>
      </c>
      <c r="O45" s="234">
        <f t="shared" ca="1" si="23"/>
        <v>5039.3418736606163</v>
      </c>
      <c r="P45" s="234">
        <f t="shared" ca="1" si="23"/>
        <v>5039.3418736606163</v>
      </c>
      <c r="Q45" s="234">
        <f t="shared" ca="1" si="23"/>
        <v>5039.3418736606163</v>
      </c>
      <c r="R45" s="234">
        <f t="shared" ca="1" si="23"/>
        <v>5039.3418736606163</v>
      </c>
      <c r="S45" s="234">
        <f t="shared" ca="1" si="23"/>
        <v>5039.3418736606163</v>
      </c>
      <c r="T45" s="234">
        <f t="shared" ca="1" si="23"/>
        <v>5039.3418736606163</v>
      </c>
      <c r="U45" s="234">
        <f t="shared" ca="1" si="23"/>
        <v>5039.3418736606163</v>
      </c>
      <c r="V45" s="234">
        <f t="shared" ca="1" si="23"/>
        <v>5039.3418736606163</v>
      </c>
      <c r="W45" s="234">
        <f t="shared" ca="1" si="23"/>
        <v>5039.3418736606163</v>
      </c>
      <c r="X45" s="234">
        <f t="shared" ca="1" si="23"/>
        <v>5039.3418736606163</v>
      </c>
      <c r="Y45" s="234">
        <f t="shared" ca="1" si="23"/>
        <v>5039.3418736606163</v>
      </c>
      <c r="Z45" s="234">
        <f t="shared" ca="1" si="23"/>
        <v>5039.3418736606163</v>
      </c>
      <c r="AA45" s="200"/>
    </row>
    <row r="46" spans="1:31" x14ac:dyDescent="0.25">
      <c r="A46" s="238" t="s">
        <v>3135</v>
      </c>
      <c r="B46" s="140" t="s">
        <v>3136</v>
      </c>
      <c r="C46" s="239">
        <f>C51*C52</f>
        <v>12</v>
      </c>
      <c r="F46" s="149" t="s">
        <v>3137</v>
      </c>
      <c r="G46" s="114"/>
      <c r="I46" s="200"/>
      <c r="J46" s="200" t="s">
        <v>3099</v>
      </c>
      <c r="K46" s="240"/>
      <c r="L46" s="241">
        <v>0.115</v>
      </c>
      <c r="M46" s="242" t="s">
        <v>3138</v>
      </c>
      <c r="N46" s="218">
        <v>0</v>
      </c>
      <c r="O46" s="218">
        <v>1</v>
      </c>
      <c r="P46" s="218">
        <v>2</v>
      </c>
      <c r="Q46" s="218">
        <v>3</v>
      </c>
      <c r="R46" s="218">
        <v>4</v>
      </c>
      <c r="S46" s="218">
        <v>5</v>
      </c>
      <c r="T46" s="218">
        <v>6</v>
      </c>
      <c r="U46" s="218">
        <v>7</v>
      </c>
      <c r="V46" s="218">
        <v>8</v>
      </c>
      <c r="W46" s="218">
        <v>9</v>
      </c>
      <c r="X46" s="218">
        <v>10</v>
      </c>
      <c r="Y46" s="218">
        <v>11</v>
      </c>
      <c r="Z46" s="218">
        <v>12</v>
      </c>
      <c r="AA46" s="200"/>
    </row>
    <row r="47" spans="1:31" x14ac:dyDescent="0.25">
      <c r="A47" s="238"/>
      <c r="B47" s="140" t="s">
        <v>3139</v>
      </c>
      <c r="C47" s="220" t="str">
        <f>VLOOKUP(C$45, ArraysBanks!$C$29:$M$45, 9, FALSE)</f>
        <v>AGM</v>
      </c>
      <c r="F47" s="149"/>
      <c r="G47" s="114"/>
      <c r="I47" s="200"/>
      <c r="J47" s="200" t="s">
        <v>3140</v>
      </c>
      <c r="K47" s="200"/>
      <c r="L47" s="243">
        <f>E44</f>
        <v>0</v>
      </c>
      <c r="M47" s="244">
        <v>0</v>
      </c>
      <c r="N47" s="740" t="s">
        <v>3141</v>
      </c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200"/>
      <c r="Z47" s="200"/>
      <c r="AA47" s="200"/>
    </row>
    <row r="48" spans="1:31" x14ac:dyDescent="0.25">
      <c r="A48" s="238"/>
      <c r="B48" s="140" t="s">
        <v>3024</v>
      </c>
      <c r="C48" s="245" t="str">
        <f>VLOOKUP(VLOOKUP(C$45, ArraysBanks!$C$29:$M$45, 2, FALSE), Equipment!$A$50:$Q$65, 2, FALSE)</f>
        <v>Victron AGM Supercycle 100Ah</v>
      </c>
      <c r="F48" s="149"/>
      <c r="G48" s="114"/>
      <c r="I48" s="246"/>
      <c r="J48" s="246"/>
      <c r="K48" s="246"/>
      <c r="L48" s="246"/>
      <c r="M48" s="246"/>
      <c r="N48" s="247">
        <f>365/12</f>
        <v>30.416666666666668</v>
      </c>
      <c r="O48" s="246" t="s">
        <v>3142</v>
      </c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</row>
    <row r="49" spans="1:27" x14ac:dyDescent="0.25">
      <c r="A49" s="238"/>
      <c r="B49" s="140" t="s">
        <v>3143</v>
      </c>
      <c r="C49" s="248">
        <f>VLOOKUP(VLOOKUP(C$45, ArraysBanks!$C$29:$M$45, 2, FALSE), Equipment!$A$50:$Q$65, 4, FALSE)</f>
        <v>100</v>
      </c>
      <c r="D49" t="s">
        <v>3144</v>
      </c>
      <c r="G49" s="114"/>
      <c r="I49" s="249" t="s">
        <v>3145</v>
      </c>
      <c r="J49" s="249" t="s">
        <v>3146</v>
      </c>
      <c r="K49" s="249"/>
      <c r="L49" s="249"/>
      <c r="M49" s="246"/>
      <c r="N49" s="250">
        <f t="shared" ref="N49:Y49" si="24">IF($L19*(1+$AA61)&gt;N33, N33*($AA61/(1+$AA61)), N33-$L19)</f>
        <v>13</v>
      </c>
      <c r="O49" s="250">
        <f t="shared" si="24"/>
        <v>13</v>
      </c>
      <c r="P49" s="250">
        <f t="shared" si="24"/>
        <v>13</v>
      </c>
      <c r="Q49" s="250">
        <f t="shared" si="24"/>
        <v>13</v>
      </c>
      <c r="R49" s="250">
        <f t="shared" si="24"/>
        <v>13</v>
      </c>
      <c r="S49" s="250">
        <f t="shared" si="24"/>
        <v>13</v>
      </c>
      <c r="T49" s="250">
        <f t="shared" si="24"/>
        <v>13</v>
      </c>
      <c r="U49" s="250">
        <f t="shared" si="24"/>
        <v>13</v>
      </c>
      <c r="V49" s="250">
        <f t="shared" si="24"/>
        <v>13</v>
      </c>
      <c r="W49" s="250">
        <f t="shared" si="24"/>
        <v>13</v>
      </c>
      <c r="X49" s="250">
        <f t="shared" si="24"/>
        <v>13</v>
      </c>
      <c r="Y49" s="250">
        <f t="shared" si="24"/>
        <v>13</v>
      </c>
      <c r="Z49" s="246"/>
      <c r="AA49" s="246"/>
    </row>
    <row r="50" spans="1:27" x14ac:dyDescent="0.25">
      <c r="A50" s="238"/>
      <c r="B50" s="140" t="s">
        <v>3147</v>
      </c>
      <c r="C50" s="248">
        <f>VLOOKUP(VLOOKUP(C$45, ArraysBanks!$C$29:$M$45, 2, FALSE), Equipment!$A$50:$Q$65, 3, FALSE)</f>
        <v>12</v>
      </c>
      <c r="D50" t="s">
        <v>3148</v>
      </c>
      <c r="F50" s="149"/>
      <c r="G50" s="114"/>
      <c r="I50" s="249"/>
      <c r="J50" s="249" t="s">
        <v>3149</v>
      </c>
      <c r="K50" s="249"/>
      <c r="L50" s="249"/>
      <c r="M50" s="246"/>
      <c r="N50" s="250">
        <f t="shared" ref="N50:Y50" si="25">IF($L19*(1+$AA61)&lt;N33, $L19, N33-N49)</f>
        <v>14.399999999999999</v>
      </c>
      <c r="O50" s="250">
        <f t="shared" si="25"/>
        <v>14.399999999999999</v>
      </c>
      <c r="P50" s="250">
        <f t="shared" si="25"/>
        <v>14.399999999999999</v>
      </c>
      <c r="Q50" s="250">
        <f t="shared" si="25"/>
        <v>14.399999999999999</v>
      </c>
      <c r="R50" s="250">
        <f t="shared" si="25"/>
        <v>14.399999999999999</v>
      </c>
      <c r="S50" s="250">
        <f t="shared" si="25"/>
        <v>14.399999999999999</v>
      </c>
      <c r="T50" s="250">
        <f t="shared" si="25"/>
        <v>14.399999999999999</v>
      </c>
      <c r="U50" s="250">
        <f t="shared" si="25"/>
        <v>14.399999999999999</v>
      </c>
      <c r="V50" s="250">
        <f t="shared" si="25"/>
        <v>14.399999999999999</v>
      </c>
      <c r="W50" s="250">
        <f t="shared" si="25"/>
        <v>14.399999999999999</v>
      </c>
      <c r="X50" s="250">
        <f t="shared" si="25"/>
        <v>14.399999999999999</v>
      </c>
      <c r="Y50" s="250">
        <f t="shared" si="25"/>
        <v>14.399999999999999</v>
      </c>
      <c r="Z50" s="246"/>
      <c r="AA50" s="246"/>
    </row>
    <row r="51" spans="1:27" x14ac:dyDescent="0.25">
      <c r="A51" s="238"/>
      <c r="B51" s="140" t="s">
        <v>3150</v>
      </c>
      <c r="C51" s="248">
        <f>VLOOKUP(C$45, ArraysBanks!$C$29:$M$45, 5, FALSE)</f>
        <v>3</v>
      </c>
      <c r="F51" s="149"/>
      <c r="G51" s="114"/>
      <c r="I51" s="249"/>
      <c r="J51" s="249" t="s">
        <v>3151</v>
      </c>
      <c r="K51" s="249"/>
      <c r="L51" s="249"/>
      <c r="M51" s="246"/>
      <c r="N51" s="250">
        <f t="shared" ref="N51:Y51" si="26">N50/$AA59</f>
        <v>15.319148936170212</v>
      </c>
      <c r="O51" s="250">
        <f t="shared" si="26"/>
        <v>15.319148936170212</v>
      </c>
      <c r="P51" s="250">
        <f t="shared" si="26"/>
        <v>15.319148936170212</v>
      </c>
      <c r="Q51" s="250">
        <f t="shared" si="26"/>
        <v>15.319148936170212</v>
      </c>
      <c r="R51" s="250">
        <f t="shared" si="26"/>
        <v>15.319148936170212</v>
      </c>
      <c r="S51" s="250">
        <f t="shared" si="26"/>
        <v>15.319148936170212</v>
      </c>
      <c r="T51" s="250">
        <f t="shared" si="26"/>
        <v>15.319148936170212</v>
      </c>
      <c r="U51" s="250">
        <f t="shared" si="26"/>
        <v>15.319148936170212</v>
      </c>
      <c r="V51" s="250">
        <f t="shared" si="26"/>
        <v>15.319148936170212</v>
      </c>
      <c r="W51" s="250">
        <f t="shared" si="26"/>
        <v>15.319148936170212</v>
      </c>
      <c r="X51" s="250">
        <f t="shared" si="26"/>
        <v>15.319148936170212</v>
      </c>
      <c r="Y51" s="250">
        <f t="shared" si="26"/>
        <v>15.319148936170212</v>
      </c>
      <c r="Z51" s="246"/>
      <c r="AA51" s="246"/>
    </row>
    <row r="52" spans="1:27" x14ac:dyDescent="0.25">
      <c r="A52" s="238"/>
      <c r="B52" s="140" t="s">
        <v>3152</v>
      </c>
      <c r="C52" s="248">
        <f>VLOOKUP(C$45, ArraysBanks!$C$29:$M$45, 4, FALSE)</f>
        <v>4</v>
      </c>
      <c r="F52" s="149"/>
      <c r="G52" s="114"/>
      <c r="I52" s="249" t="s">
        <v>3145</v>
      </c>
      <c r="J52" s="249" t="s">
        <v>3153</v>
      </c>
      <c r="K52" s="249"/>
      <c r="L52" s="249"/>
      <c r="M52" s="246"/>
      <c r="N52" s="250">
        <f t="shared" ref="N52:Y52" ca="1" si="27">IF((N51+N32)&gt;N27*(1+$AA60), N51+N32-N27, N27*$AA60)</f>
        <v>9.0039330849472101</v>
      </c>
      <c r="O52" s="250">
        <f t="shared" ca="1" si="27"/>
        <v>9.4260923992102104</v>
      </c>
      <c r="P52" s="250">
        <f t="shared" ca="1" si="27"/>
        <v>9.6297221860900102</v>
      </c>
      <c r="Q52" s="250">
        <f t="shared" ca="1" si="27"/>
        <v>11.166878748024114</v>
      </c>
      <c r="R52" s="250">
        <f t="shared" ca="1" si="27"/>
        <v>13.026863020865212</v>
      </c>
      <c r="S52" s="250">
        <f t="shared" ca="1" si="27"/>
        <v>15.266790676543014</v>
      </c>
      <c r="T52" s="250">
        <f t="shared" ca="1" si="27"/>
        <v>14.14931013878801</v>
      </c>
      <c r="U52" s="250">
        <f t="shared" ca="1" si="27"/>
        <v>12.654369508280213</v>
      </c>
      <c r="V52" s="250">
        <f t="shared" ca="1" si="27"/>
        <v>10.61310505931441</v>
      </c>
      <c r="W52" s="250">
        <f t="shared" ca="1" si="27"/>
        <v>9.7886527514596064</v>
      </c>
      <c r="X52" s="250">
        <f t="shared" ca="1" si="27"/>
        <v>10.076714401192016</v>
      </c>
      <c r="Y52" s="250">
        <f t="shared" ca="1" si="27"/>
        <v>9.1479639098134058</v>
      </c>
      <c r="Z52" s="246"/>
      <c r="AA52" s="246"/>
    </row>
    <row r="53" spans="1:27" x14ac:dyDescent="0.25">
      <c r="A53" s="238"/>
      <c r="B53" s="140" t="s">
        <v>3154</v>
      </c>
      <c r="C53" s="188">
        <f>C52*C50</f>
        <v>48</v>
      </c>
      <c r="D53" t="s">
        <v>3148</v>
      </c>
      <c r="F53" s="149"/>
      <c r="G53" s="114"/>
      <c r="I53" s="246"/>
      <c r="J53" s="249" t="s">
        <v>3155</v>
      </c>
      <c r="K53" s="246"/>
      <c r="L53" s="246"/>
      <c r="M53" s="246"/>
      <c r="N53" s="250">
        <f t="shared" ref="N53:Y53" ca="1" si="28">IF((N51+N32)&gt;N27*(1+$AA60), N27*$AA60, N27*(1+$AA60)-N51-N32)</f>
        <v>3.2630431702446003</v>
      </c>
      <c r="O53" s="250">
        <f t="shared" ca="1" si="28"/>
        <v>3.1786113073920004</v>
      </c>
      <c r="P53" s="250">
        <f t="shared" ca="1" si="28"/>
        <v>3.1378853500160404</v>
      </c>
      <c r="Q53" s="250">
        <f t="shared" ca="1" si="28"/>
        <v>2.8304540376292198</v>
      </c>
      <c r="R53" s="250">
        <f t="shared" ca="1" si="28"/>
        <v>2.4584571830610003</v>
      </c>
      <c r="S53" s="250">
        <f t="shared" ca="1" si="28"/>
        <v>2.0104716519254398</v>
      </c>
      <c r="T53" s="250">
        <f t="shared" ca="1" si="28"/>
        <v>2.2339677594764402</v>
      </c>
      <c r="U53" s="250">
        <f t="shared" ca="1" si="28"/>
        <v>2.5329558855779997</v>
      </c>
      <c r="V53" s="250">
        <f t="shared" ca="1" si="28"/>
        <v>2.9412087753711607</v>
      </c>
      <c r="W53" s="250">
        <f t="shared" ca="1" si="28"/>
        <v>3.1060992369421214</v>
      </c>
      <c r="X53" s="250">
        <f t="shared" ca="1" si="28"/>
        <v>3.0484869069956395</v>
      </c>
      <c r="Y53" s="250">
        <f t="shared" ca="1" si="28"/>
        <v>3.2342370052713614</v>
      </c>
      <c r="Z53" s="246"/>
      <c r="AA53" s="246"/>
    </row>
    <row r="54" spans="1:27" x14ac:dyDescent="0.25">
      <c r="A54" s="238"/>
      <c r="B54" s="140" t="s">
        <v>3156</v>
      </c>
      <c r="C54" s="248">
        <f>VLOOKUP(VLOOKUP(C$45, ArraysBanks!$C$29:$M$45, 2, FALSE), Equipment!$A$50:$Q$65, 16, FALSE)*C52</f>
        <v>58.4</v>
      </c>
      <c r="D54" t="s">
        <v>3148</v>
      </c>
      <c r="F54" s="149"/>
      <c r="G54" s="114"/>
      <c r="I54" s="246"/>
      <c r="J54" s="13" t="s">
        <v>3157</v>
      </c>
      <c r="K54" s="13"/>
      <c r="L54" s="13"/>
      <c r="M54" s="246" t="s">
        <v>3158</v>
      </c>
      <c r="N54" s="246"/>
      <c r="O54" s="251">
        <v>980</v>
      </c>
      <c r="P54" s="246">
        <f>O54/N48</f>
        <v>32.219178082191782</v>
      </c>
      <c r="Q54" s="246">
        <f>P54*0.2</f>
        <v>6.4438356164383563</v>
      </c>
      <c r="R54" s="246">
        <f>P54*0.8</f>
        <v>25.775342465753425</v>
      </c>
      <c r="S54" s="246"/>
      <c r="T54" s="246"/>
      <c r="U54" s="246"/>
      <c r="V54" s="246" t="e">
        <f>#REF!</f>
        <v>#REF!</v>
      </c>
      <c r="W54" s="246" t="s">
        <v>3159</v>
      </c>
      <c r="X54" s="246"/>
      <c r="Y54" s="246"/>
      <c r="Z54" s="246"/>
      <c r="AA54" s="246"/>
    </row>
    <row r="55" spans="1:27" x14ac:dyDescent="0.25">
      <c r="A55" s="238"/>
      <c r="B55" s="140" t="s">
        <v>3160</v>
      </c>
      <c r="C55" s="252">
        <f>VLOOKUP(VLOOKUP(C$45, ArraysBanks!$C$29:$M$45, 2, FALSE), Equipment!$A$50:$Q$65, 15, FALSE)</f>
        <v>1</v>
      </c>
      <c r="D55" t="s">
        <v>3161</v>
      </c>
      <c r="F55" s="149"/>
      <c r="G55" s="114"/>
      <c r="I55" s="246"/>
      <c r="J55" s="13" t="s">
        <v>3162</v>
      </c>
      <c r="K55" s="13"/>
      <c r="L55" s="13"/>
      <c r="M55" s="246" t="s">
        <v>3096</v>
      </c>
      <c r="N55" s="246"/>
      <c r="O55" s="253">
        <v>1.24003</v>
      </c>
      <c r="P55" s="246" t="s">
        <v>3163</v>
      </c>
      <c r="Q55" s="246">
        <v>1.24003</v>
      </c>
      <c r="R55" s="246"/>
      <c r="S55" s="246"/>
      <c r="T55" s="246"/>
      <c r="U55" s="246"/>
      <c r="V55" s="246" t="e">
        <f>$O71*V49+V51</f>
        <v>#VALUE!</v>
      </c>
      <c r="W55" s="246" t="s">
        <v>3111</v>
      </c>
      <c r="X55" s="246"/>
      <c r="Y55" s="246"/>
      <c r="Z55" s="246"/>
      <c r="AA55" s="246"/>
    </row>
    <row r="56" spans="1:27" x14ac:dyDescent="0.25">
      <c r="A56" s="238"/>
      <c r="B56" s="140" t="s">
        <v>3164</v>
      </c>
      <c r="C56" s="252">
        <v>0.8</v>
      </c>
      <c r="D56" s="142" t="s">
        <v>3161</v>
      </c>
      <c r="F56" s="149"/>
      <c r="G56" s="114"/>
      <c r="I56" s="246"/>
      <c r="J56" s="246"/>
      <c r="K56" s="246"/>
      <c r="L56" s="246"/>
      <c r="M56" s="246" t="s">
        <v>3165</v>
      </c>
      <c r="N56" s="246"/>
      <c r="O56" s="253">
        <v>0.26619999999999999</v>
      </c>
      <c r="P56" s="246" t="s">
        <v>3166</v>
      </c>
      <c r="Q56" s="246">
        <v>0.26619999999999999</v>
      </c>
      <c r="R56" s="246"/>
      <c r="S56" s="246"/>
      <c r="T56" s="246"/>
      <c r="U56" s="246"/>
      <c r="V56" s="246" t="e">
        <f>$O71*V50+$O70</f>
        <v>#VALUE!</v>
      </c>
      <c r="W56" s="246" t="s">
        <v>3115</v>
      </c>
      <c r="X56" s="246"/>
      <c r="Y56" s="246"/>
      <c r="Z56" s="246"/>
      <c r="AA56" s="246"/>
    </row>
    <row r="57" spans="1:27" x14ac:dyDescent="0.25">
      <c r="A57" s="238"/>
      <c r="B57" s="140" t="s">
        <v>3167</v>
      </c>
      <c r="C57" s="188">
        <f>C51*C49</f>
        <v>300</v>
      </c>
      <c r="D57" t="s">
        <v>3168</v>
      </c>
      <c r="F57" s="149"/>
      <c r="G57" s="114"/>
      <c r="I57" s="246"/>
      <c r="J57" s="254"/>
      <c r="K57" s="246"/>
      <c r="L57" s="246"/>
      <c r="M57" s="246" t="s">
        <v>3169</v>
      </c>
      <c r="N57" s="246"/>
      <c r="O57" s="255">
        <f>MROUND(Q57/365, 0.001)</f>
        <v>0.93200000000000005</v>
      </c>
      <c r="P57" s="246" t="s">
        <v>3163</v>
      </c>
      <c r="Q57" s="253">
        <v>340</v>
      </c>
      <c r="R57" s="246" t="s">
        <v>3170</v>
      </c>
      <c r="S57" s="246"/>
      <c r="T57" s="246"/>
      <c r="U57" s="246"/>
      <c r="V57" s="246">
        <f ca="1">(V44-(V49-V50))*V53</f>
        <v>14825.874233191471</v>
      </c>
      <c r="W57" s="246" t="s">
        <v>3171</v>
      </c>
      <c r="X57" s="246"/>
      <c r="Y57" s="246"/>
      <c r="Z57" s="246"/>
      <c r="AA57" s="246"/>
    </row>
    <row r="58" spans="1:27" x14ac:dyDescent="0.25">
      <c r="A58" s="238"/>
      <c r="B58" s="140" t="s">
        <v>3172</v>
      </c>
      <c r="C58" s="188">
        <f>C49*C50/1000</f>
        <v>1.2</v>
      </c>
      <c r="D58" t="s">
        <v>3054</v>
      </c>
      <c r="F58" s="149"/>
      <c r="G58" s="114"/>
      <c r="I58" s="246"/>
      <c r="J58" s="246"/>
      <c r="K58" s="246"/>
      <c r="L58" s="246"/>
      <c r="M58" s="246" t="s">
        <v>3173</v>
      </c>
      <c r="N58" s="246"/>
      <c r="O58" s="253">
        <v>96</v>
      </c>
      <c r="P58" s="246" t="s">
        <v>3174</v>
      </c>
      <c r="Q58" s="246"/>
      <c r="R58" s="246"/>
      <c r="S58" s="246"/>
      <c r="T58" s="246"/>
      <c r="U58" s="246"/>
      <c r="V58" s="246"/>
      <c r="W58" s="246"/>
      <c r="X58" s="246"/>
      <c r="Y58" s="246"/>
      <c r="Z58" s="241"/>
      <c r="AA58" s="256"/>
    </row>
    <row r="59" spans="1:27" x14ac:dyDescent="0.25">
      <c r="A59" s="238"/>
      <c r="B59" s="140" t="s">
        <v>3175</v>
      </c>
      <c r="C59" s="257">
        <f>C58*C46</f>
        <v>14.399999999999999</v>
      </c>
      <c r="D59" t="s">
        <v>3054</v>
      </c>
      <c r="F59" s="149"/>
      <c r="G59" s="114"/>
      <c r="I59" s="246"/>
      <c r="J59" s="246"/>
      <c r="K59" s="246"/>
      <c r="L59" s="246"/>
      <c r="M59" s="246" t="s">
        <v>3176</v>
      </c>
      <c r="N59" s="246"/>
      <c r="O59" s="255">
        <f>O54*O56</f>
        <v>260.87599999999998</v>
      </c>
      <c r="P59" s="246"/>
      <c r="Q59" s="246"/>
      <c r="R59" s="246"/>
      <c r="S59" s="246"/>
      <c r="T59" s="246"/>
      <c r="U59" s="246"/>
      <c r="V59" s="246" t="s">
        <v>3177</v>
      </c>
      <c r="W59" s="246"/>
      <c r="X59" s="246"/>
      <c r="Y59" s="246"/>
      <c r="Z59" s="256" t="s">
        <v>3178</v>
      </c>
      <c r="AA59" s="256">
        <v>0.94</v>
      </c>
    </row>
    <row r="60" spans="1:27" x14ac:dyDescent="0.25">
      <c r="A60" s="238"/>
      <c r="B60" s="140" t="s">
        <v>3179</v>
      </c>
      <c r="C60" s="257">
        <f>C59*C55</f>
        <v>14.399999999999999</v>
      </c>
      <c r="D60" t="s">
        <v>3054</v>
      </c>
      <c r="E60" s="258" t="s">
        <v>129</v>
      </c>
      <c r="F60" s="149"/>
      <c r="G60" s="114"/>
      <c r="I60" s="246"/>
      <c r="J60" s="246"/>
      <c r="K60" s="246"/>
      <c r="L60" s="246"/>
      <c r="M60" s="246" t="s">
        <v>3180</v>
      </c>
      <c r="N60" s="246"/>
      <c r="O60" s="255">
        <f>O55*O58</f>
        <v>119.04288</v>
      </c>
      <c r="P60" s="246"/>
      <c r="Q60" s="259">
        <v>0</v>
      </c>
      <c r="R60" s="246" t="s">
        <v>3181</v>
      </c>
      <c r="S60" s="246"/>
      <c r="T60" s="246"/>
      <c r="U60" s="246"/>
      <c r="V60" s="246"/>
      <c r="W60" s="246" t="s">
        <v>3182</v>
      </c>
      <c r="X60" s="260">
        <v>0.57089999999999996</v>
      </c>
      <c r="Y60" s="246"/>
      <c r="Z60" s="256" t="s">
        <v>129</v>
      </c>
      <c r="AA60" s="256">
        <v>0.2</v>
      </c>
    </row>
    <row r="61" spans="1:27" x14ac:dyDescent="0.25">
      <c r="A61" s="238"/>
      <c r="B61" s="140" t="s">
        <v>3183</v>
      </c>
      <c r="C61" s="239">
        <f>C83*1000/C53</f>
        <v>250</v>
      </c>
      <c r="D61" t="s">
        <v>133</v>
      </c>
      <c r="E61" s="261">
        <f>C61/C57</f>
        <v>0.83333333333333337</v>
      </c>
      <c r="F61" s="149" t="str">
        <f>IF(E61&lt;(VLOOKUP(VLOOKUP(C$45,'[1]Arrays-Banks'!$C$20:$M$31,2,FALSE),Equipment!$A$50:$Q$60,17,FALSE)),"OK",("IncreaseBanksize"))</f>
        <v>IncreaseBanksize</v>
      </c>
      <c r="G61" s="114"/>
      <c r="I61" s="246"/>
      <c r="J61" s="246"/>
      <c r="K61" s="246"/>
      <c r="L61" s="246"/>
      <c r="M61" s="246"/>
      <c r="N61" s="246"/>
      <c r="O61" s="246"/>
      <c r="P61" s="246"/>
      <c r="Q61" s="255">
        <f>O55*(1-Q60)</f>
        <v>1.24003</v>
      </c>
      <c r="R61" s="246" t="s">
        <v>3184</v>
      </c>
      <c r="S61" s="246"/>
      <c r="T61" s="246"/>
      <c r="U61" s="246"/>
      <c r="V61" s="246"/>
      <c r="W61" s="246" t="s">
        <v>3185</v>
      </c>
      <c r="X61" s="260">
        <v>0.35310000000000002</v>
      </c>
      <c r="Y61" s="246"/>
      <c r="Z61" s="256" t="s">
        <v>3186</v>
      </c>
      <c r="AA61" s="256">
        <v>0.03</v>
      </c>
    </row>
    <row r="62" spans="1:27" x14ac:dyDescent="0.25">
      <c r="A62" s="238"/>
      <c r="B62" s="140" t="s">
        <v>3187</v>
      </c>
      <c r="C62" s="239">
        <f>C82*1000/C53</f>
        <v>562.5</v>
      </c>
      <c r="D62" t="s">
        <v>133</v>
      </c>
      <c r="E62" s="261">
        <f>C62/C57</f>
        <v>1.875</v>
      </c>
      <c r="F62" s="149" t="str">
        <f>IF(E62&lt;(VLOOKUP(VLOOKUP(C$45,'[1]Arrays-Banks'!$C$20:$M$31,2,FALSE),Equipment!$A$50:$R$60,18,FALSE)),"OK",("INCREASE BANK SIZE"))</f>
        <v>INCREASE BANK SIZE</v>
      </c>
      <c r="G62" s="114"/>
      <c r="I62" s="246"/>
      <c r="J62" s="246"/>
      <c r="K62" s="246"/>
      <c r="L62" s="246"/>
      <c r="M62" s="262" t="s">
        <v>3188</v>
      </c>
      <c r="N62" s="246"/>
      <c r="O62" s="255"/>
      <c r="P62" s="246"/>
      <c r="Q62" s="263">
        <v>1.9998</v>
      </c>
      <c r="R62" s="246" t="s">
        <v>3189</v>
      </c>
      <c r="S62" s="246"/>
      <c r="T62" s="246"/>
      <c r="U62" s="246"/>
      <c r="V62" s="246"/>
      <c r="W62" s="246" t="s">
        <v>3190</v>
      </c>
      <c r="X62" s="260">
        <v>0.21890000000000001</v>
      </c>
      <c r="Y62" s="246"/>
      <c r="Z62" s="246"/>
      <c r="AA62" s="246"/>
    </row>
    <row r="63" spans="1:27" ht="15.75" thickBot="1" x14ac:dyDescent="0.3">
      <c r="A63" s="238"/>
      <c r="B63" s="140" t="s">
        <v>3187</v>
      </c>
      <c r="C63" s="239">
        <f>C62*C53</f>
        <v>27000</v>
      </c>
      <c r="D63" t="s">
        <v>3028</v>
      </c>
      <c r="F63" s="149" t="s">
        <v>3191</v>
      </c>
      <c r="G63" s="114"/>
      <c r="I63" s="246"/>
      <c r="J63" s="246"/>
      <c r="K63" s="246"/>
      <c r="L63" s="246"/>
      <c r="M63" s="262" t="s">
        <v>3188</v>
      </c>
      <c r="N63" s="246"/>
      <c r="O63" s="255"/>
      <c r="P63" s="246"/>
      <c r="Q63" s="253">
        <v>0.35</v>
      </c>
      <c r="R63" s="246" t="s">
        <v>3192</v>
      </c>
      <c r="S63" s="246"/>
      <c r="T63" s="246"/>
      <c r="U63" s="246"/>
      <c r="V63" s="246"/>
      <c r="W63" s="246"/>
      <c r="X63" s="246"/>
      <c r="Y63" s="246"/>
      <c r="Z63" s="246"/>
      <c r="AA63" s="246"/>
    </row>
    <row r="64" spans="1:27" ht="15.75" thickBot="1" x14ac:dyDescent="0.3">
      <c r="A64" s="264"/>
      <c r="B64" s="140" t="s">
        <v>3193</v>
      </c>
      <c r="C64" s="239">
        <f>VLOOKUP(VLOOKUP(C$45, ArraysBanks!$C$29:$M$45, 2, FALSE), Equipment!$A$50:$Q$65, 8, FALSE)</f>
        <v>1200</v>
      </c>
      <c r="D64" s="142" t="s">
        <v>3194</v>
      </c>
      <c r="F64" s="163" t="s">
        <v>3195</v>
      </c>
      <c r="G64" s="114"/>
      <c r="I64" s="246"/>
      <c r="J64" s="246"/>
      <c r="K64" s="246"/>
      <c r="L64" s="246"/>
      <c r="M64" s="262" t="s">
        <v>3188</v>
      </c>
      <c r="N64" s="246"/>
      <c r="O64" s="255"/>
      <c r="P64" s="246"/>
      <c r="Q64" s="255">
        <v>0.28999999999999998</v>
      </c>
      <c r="R64" s="246" t="s">
        <v>3196</v>
      </c>
      <c r="S64" s="246"/>
      <c r="T64" s="246"/>
      <c r="U64" s="246"/>
      <c r="V64" s="265" t="s">
        <v>3197</v>
      </c>
      <c r="W64" s="266" t="s">
        <v>3198</v>
      </c>
      <c r="X64" s="267">
        <v>10</v>
      </c>
      <c r="Y64" s="246" t="s">
        <v>3054</v>
      </c>
      <c r="Z64" s="246" t="s">
        <v>3199</v>
      </c>
      <c r="AA64" s="246"/>
    </row>
    <row r="65" spans="1:27" ht="15" customHeight="1" thickBot="1" x14ac:dyDescent="0.3">
      <c r="A65" s="268"/>
      <c r="B65" s="140" t="s">
        <v>3200</v>
      </c>
      <c r="C65" s="188">
        <f>C64/365</f>
        <v>3.2876712328767121</v>
      </c>
      <c r="D65" s="142" t="s">
        <v>3131</v>
      </c>
      <c r="F65" s="149"/>
      <c r="G65" s="114"/>
      <c r="I65" s="246"/>
      <c r="J65" s="246"/>
      <c r="K65" s="246"/>
      <c r="L65" s="246"/>
      <c r="M65" s="246"/>
      <c r="N65" s="246"/>
      <c r="O65" s="246"/>
      <c r="P65" s="246"/>
      <c r="Q65" s="269">
        <v>0.57089999999999996</v>
      </c>
      <c r="R65" s="246" t="s">
        <v>3201</v>
      </c>
      <c r="S65" s="246"/>
      <c r="T65" s="246"/>
      <c r="U65" s="246"/>
      <c r="V65" s="265" t="s">
        <v>3202</v>
      </c>
      <c r="W65" s="266" t="s">
        <v>3203</v>
      </c>
      <c r="X65" s="267">
        <v>27.4</v>
      </c>
      <c r="Y65" s="246" t="s">
        <v>3054</v>
      </c>
      <c r="Z65" s="246" t="s">
        <v>3204</v>
      </c>
      <c r="AA65" s="246"/>
    </row>
    <row r="66" spans="1:27" ht="15" customHeight="1" thickBot="1" x14ac:dyDescent="0.3">
      <c r="A66" s="268"/>
      <c r="B66" s="140" t="s">
        <v>3205</v>
      </c>
      <c r="C66" s="239">
        <f>VLOOKUP(VLOOKUP(C$45, ArraysBanks!$C$29:$M$45, 2, FALSE), Equipment!$A$50:$S$65, 19, FALSE)</f>
        <v>2815</v>
      </c>
      <c r="D66" s="142" t="s">
        <v>133</v>
      </c>
      <c r="E66" s="270">
        <v>35</v>
      </c>
      <c r="F66" s="149" t="s">
        <v>3206</v>
      </c>
      <c r="G66" s="114"/>
      <c r="I66" s="246"/>
      <c r="J66" s="246"/>
      <c r="K66" s="246"/>
      <c r="L66" s="246"/>
      <c r="M66" s="246" t="s">
        <v>3207</v>
      </c>
      <c r="N66" s="246"/>
      <c r="O66" s="271">
        <f>O59+O60-O62-O63-O64</f>
        <v>379.91887999999994</v>
      </c>
      <c r="P66" s="246"/>
      <c r="Q66" s="269">
        <v>0.35310000000000002</v>
      </c>
      <c r="R66" s="246" t="s">
        <v>3208</v>
      </c>
      <c r="S66" s="246"/>
      <c r="T66" s="246"/>
      <c r="U66" s="246"/>
      <c r="V66" s="246"/>
      <c r="W66" s="246"/>
      <c r="X66" s="272">
        <f>SUM(X64:X65)</f>
        <v>37.4</v>
      </c>
      <c r="Y66" s="246"/>
      <c r="Z66" s="246"/>
      <c r="AA66" s="246"/>
    </row>
    <row r="67" spans="1:27" ht="15" customHeight="1" x14ac:dyDescent="0.25">
      <c r="A67" s="264"/>
      <c r="B67" s="140" t="s">
        <v>3209</v>
      </c>
      <c r="C67" s="239">
        <f>C51*C66</f>
        <v>8445</v>
      </c>
      <c r="D67" s="142" t="s">
        <v>133</v>
      </c>
      <c r="E67" s="270">
        <v>35</v>
      </c>
      <c r="F67" s="149" t="s">
        <v>3206</v>
      </c>
      <c r="G67" s="114"/>
      <c r="I67" s="246"/>
      <c r="J67" s="246"/>
      <c r="K67" s="246"/>
      <c r="L67" s="246"/>
      <c r="M67" s="246"/>
      <c r="N67" s="246"/>
      <c r="O67" s="246"/>
      <c r="P67" s="246"/>
      <c r="Q67" s="269">
        <v>0.21890000000000001</v>
      </c>
      <c r="R67" s="246" t="s">
        <v>3210</v>
      </c>
      <c r="S67" s="246"/>
      <c r="T67" s="246"/>
      <c r="U67" s="246"/>
      <c r="V67" s="246"/>
      <c r="W67" s="246"/>
      <c r="X67" s="246"/>
      <c r="Y67" s="246"/>
      <c r="Z67" s="246"/>
      <c r="AA67" s="246"/>
    </row>
    <row r="68" spans="1:27" ht="15" customHeight="1" x14ac:dyDescent="0.25">
      <c r="A68" s="268"/>
      <c r="B68" s="140" t="s">
        <v>3211</v>
      </c>
      <c r="C68" s="239" cm="1">
        <f t="array" ref="C68">INDEX(M83:N94, _xlfn.XMATCH(C67, M83:M94, 1), 2)</f>
        <v>50</v>
      </c>
      <c r="D68" s="142" t="s">
        <v>3059</v>
      </c>
      <c r="F68" s="149"/>
      <c r="G68" s="114"/>
      <c r="I68" s="246"/>
      <c r="J68" s="246"/>
      <c r="K68" s="246"/>
      <c r="L68" s="246"/>
      <c r="M68" s="246"/>
      <c r="N68" s="273" t="s">
        <v>2995</v>
      </c>
      <c r="O68" s="273" t="s">
        <v>2996</v>
      </c>
      <c r="P68" s="273" t="s">
        <v>2997</v>
      </c>
      <c r="Q68" s="273" t="s">
        <v>2998</v>
      </c>
      <c r="R68" s="273" t="s">
        <v>2999</v>
      </c>
      <c r="S68" s="273" t="s">
        <v>3000</v>
      </c>
      <c r="T68" s="273" t="s">
        <v>3001</v>
      </c>
      <c r="U68" s="273" t="s">
        <v>3002</v>
      </c>
      <c r="V68" s="273" t="s">
        <v>3003</v>
      </c>
      <c r="W68" s="273" t="s">
        <v>3004</v>
      </c>
      <c r="X68" s="273" t="s">
        <v>3005</v>
      </c>
      <c r="Y68" s="273" t="s">
        <v>3006</v>
      </c>
      <c r="Z68" s="246"/>
      <c r="AA68" s="246"/>
    </row>
    <row r="69" spans="1:27" ht="15" customHeight="1" x14ac:dyDescent="0.25">
      <c r="A69" s="268"/>
      <c r="B69" s="274" t="s">
        <v>3212</v>
      </c>
      <c r="C69" s="141">
        <v>3</v>
      </c>
      <c r="D69" s="275" t="s">
        <v>3039</v>
      </c>
      <c r="F69" s="149"/>
      <c r="G69" s="114"/>
      <c r="I69" s="246"/>
      <c r="J69" s="246"/>
      <c r="K69" s="246"/>
      <c r="L69" s="246"/>
      <c r="M69" s="266" t="s">
        <v>3213</v>
      </c>
      <c r="N69" s="255">
        <v>0.49249547280141825</v>
      </c>
      <c r="O69" s="255">
        <v>0.49249547280141825</v>
      </c>
      <c r="P69" s="255">
        <v>0.49249547280141825</v>
      </c>
      <c r="Q69" s="255">
        <v>0.42343858999999995</v>
      </c>
      <c r="R69" s="255">
        <v>0.42343858999999995</v>
      </c>
      <c r="S69" s="255">
        <v>0.42343858999999995</v>
      </c>
      <c r="T69" s="255">
        <v>0.42343858999999995</v>
      </c>
      <c r="U69" s="255">
        <v>0.42343858999999995</v>
      </c>
      <c r="V69" s="255">
        <v>0.42343858999999995</v>
      </c>
      <c r="W69" s="255">
        <v>0.42343858999999995</v>
      </c>
      <c r="X69" s="255">
        <v>0.49249547280141825</v>
      </c>
      <c r="Y69" s="255">
        <v>0.49249547280141825</v>
      </c>
      <c r="Z69" s="246"/>
      <c r="AA69" s="246"/>
    </row>
    <row r="70" spans="1:27" ht="15" customHeight="1" x14ac:dyDescent="0.25">
      <c r="A70" s="268"/>
      <c r="B70" s="140" t="s">
        <v>3214</v>
      </c>
      <c r="C70" s="141">
        <v>2</v>
      </c>
      <c r="D70" s="82" t="s">
        <v>3215</v>
      </c>
      <c r="F70" s="149"/>
      <c r="G70" s="114"/>
      <c r="I70" s="246"/>
      <c r="J70" s="246"/>
      <c r="K70" s="246"/>
      <c r="L70" s="246"/>
      <c r="M70" s="266" t="s">
        <v>3216</v>
      </c>
      <c r="N70" s="255">
        <v>0.26685204952891234</v>
      </c>
      <c r="O70" s="255">
        <v>0.26685204952891234</v>
      </c>
      <c r="P70" s="255">
        <v>0.26685204952891234</v>
      </c>
      <c r="Q70" s="255">
        <v>0.23137534306569346</v>
      </c>
      <c r="R70" s="255">
        <v>0.23137534306569346</v>
      </c>
      <c r="S70" s="255">
        <v>0.26210209507169846</v>
      </c>
      <c r="T70" s="255">
        <v>0.26210209507169846</v>
      </c>
      <c r="U70" s="255">
        <v>0.26210209507169846</v>
      </c>
      <c r="V70" s="255">
        <v>0.23137534306569346</v>
      </c>
      <c r="W70" s="255">
        <v>0.23137534306569346</v>
      </c>
      <c r="X70" s="255">
        <v>0.26685204952891234</v>
      </c>
      <c r="Y70" s="255">
        <v>0.26685204952891234</v>
      </c>
      <c r="Z70" s="246"/>
      <c r="AA70" s="246"/>
    </row>
    <row r="71" spans="1:27" ht="15" customHeight="1" x14ac:dyDescent="0.25">
      <c r="A71" s="268"/>
      <c r="B71" s="274" t="s">
        <v>3217</v>
      </c>
      <c r="C71" s="239">
        <f>C82*1000/(C84*C81)</f>
        <v>585.9375</v>
      </c>
      <c r="D71" s="275" t="s">
        <v>133</v>
      </c>
      <c r="F71" s="149"/>
      <c r="G71" s="114"/>
      <c r="I71" s="246"/>
      <c r="J71" s="276"/>
      <c r="K71" s="246"/>
      <c r="L71" s="246"/>
      <c r="M71" s="246"/>
      <c r="N71" s="246"/>
      <c r="O71" s="277" t="s">
        <v>3218</v>
      </c>
      <c r="P71" s="277"/>
      <c r="Q71" s="277"/>
      <c r="R71" s="277"/>
      <c r="S71" s="277" t="s">
        <v>3219</v>
      </c>
      <c r="T71" s="277"/>
      <c r="U71" s="277"/>
      <c r="V71" s="277"/>
      <c r="W71" s="246"/>
      <c r="X71" s="246"/>
      <c r="Y71" s="246"/>
      <c r="Z71" s="246"/>
      <c r="AA71" s="246"/>
    </row>
    <row r="72" spans="1:27" ht="15" customHeight="1" x14ac:dyDescent="0.25">
      <c r="A72" s="268"/>
      <c r="B72" s="274" t="s">
        <v>3220</v>
      </c>
      <c r="C72" s="195">
        <f>1.68*10^-8*1.0786*C70/C73</f>
        <v>7.2481919999999988E-4</v>
      </c>
      <c r="D72" s="275" t="s">
        <v>3221</v>
      </c>
      <c r="F72" s="149"/>
      <c r="G72" s="114"/>
      <c r="I72" s="246"/>
      <c r="J72" s="246"/>
      <c r="K72" s="276"/>
      <c r="L72" s="246"/>
      <c r="M72" s="266" t="s">
        <v>3222</v>
      </c>
      <c r="N72" s="255">
        <v>14.236500885106382</v>
      </c>
      <c r="O72" s="255">
        <v>14.236500885106382</v>
      </c>
      <c r="P72" s="255">
        <v>14.236500885106382</v>
      </c>
      <c r="Q72" s="255">
        <v>12.573870300000001</v>
      </c>
      <c r="R72" s="255">
        <v>12.573870300000001</v>
      </c>
      <c r="S72" s="255">
        <v>13.405185592553192</v>
      </c>
      <c r="T72" s="255">
        <v>13.405185592553192</v>
      </c>
      <c r="U72" s="255">
        <v>13.405185592553192</v>
      </c>
      <c r="V72" s="255">
        <v>12.573870300000001</v>
      </c>
      <c r="W72" s="255">
        <v>12.573870300000001</v>
      </c>
      <c r="X72" s="255">
        <v>14.236500885106382</v>
      </c>
      <c r="Y72" s="255">
        <v>14.236500885106382</v>
      </c>
      <c r="Z72" s="246"/>
      <c r="AA72" s="246"/>
    </row>
    <row r="73" spans="1:27" ht="15" customHeight="1" x14ac:dyDescent="0.25">
      <c r="A73" s="268"/>
      <c r="B73" s="140" t="s">
        <v>3223</v>
      </c>
      <c r="C73" s="195">
        <f>C68/1000000</f>
        <v>5.0000000000000002E-5</v>
      </c>
      <c r="D73" s="275" t="s">
        <v>3224</v>
      </c>
      <c r="F73" s="149"/>
      <c r="G73" s="114"/>
    </row>
    <row r="74" spans="1:27" ht="15" customHeight="1" thickBot="1" x14ac:dyDescent="0.3">
      <c r="A74" s="268"/>
      <c r="B74" s="140" t="s">
        <v>3225</v>
      </c>
      <c r="C74" s="278">
        <f>C71*C72</f>
        <v>0.4246987499999999</v>
      </c>
      <c r="D74" s="275" t="s">
        <v>3226</v>
      </c>
      <c r="F74" s="149"/>
      <c r="G74" s="114"/>
    </row>
    <row r="75" spans="1:27" ht="15" customHeight="1" thickBot="1" x14ac:dyDescent="0.3">
      <c r="A75" s="268"/>
      <c r="B75" s="140" t="s">
        <v>3227</v>
      </c>
      <c r="C75" s="279">
        <f>C74/C53</f>
        <v>8.8478906249999986E-3</v>
      </c>
      <c r="D75" s="275"/>
      <c r="F75" s="149"/>
      <c r="G75" s="114"/>
    </row>
    <row r="76" spans="1:27" ht="15" customHeight="1" x14ac:dyDescent="0.25">
      <c r="A76" s="140"/>
      <c r="B76" s="140"/>
      <c r="C76" s="140"/>
      <c r="D76" s="142"/>
      <c r="F76" s="149"/>
      <c r="G76" s="114"/>
    </row>
    <row r="77" spans="1:27" ht="15" customHeight="1" x14ac:dyDescent="0.25">
      <c r="A77" s="132"/>
      <c r="B77" s="236" t="s">
        <v>3228</v>
      </c>
      <c r="C77" s="132">
        <f>Calculator!$E$14</f>
        <v>12</v>
      </c>
      <c r="D77" s="132" t="s">
        <v>3229</v>
      </c>
      <c r="E77" s="132"/>
      <c r="F77" s="135"/>
      <c r="G77" s="114"/>
    </row>
    <row r="78" spans="1:27" ht="15" customHeight="1" x14ac:dyDescent="0.25">
      <c r="A78" s="280" t="s">
        <v>3230</v>
      </c>
      <c r="B78" s="140" t="s">
        <v>3231</v>
      </c>
      <c r="C78" s="184">
        <f>VLOOKUP(C$77, Equipment!$A$36:$T$45, 5, FALSE)</f>
        <v>15000</v>
      </c>
      <c r="D78" t="s">
        <v>3232</v>
      </c>
      <c r="F78" s="149"/>
      <c r="G78" s="114"/>
    </row>
    <row r="79" spans="1:27" ht="15" customHeight="1" x14ac:dyDescent="0.25">
      <c r="A79" s="246"/>
      <c r="B79" s="140" t="s">
        <v>2</v>
      </c>
      <c r="C79" s="220" t="str">
        <f>VLOOKUP(C$77, Equipment!$A$36:$T$45, 3, FALSE)</f>
        <v>Victron</v>
      </c>
      <c r="F79" s="149"/>
      <c r="G79" s="114"/>
    </row>
    <row r="80" spans="1:27" ht="15" customHeight="1" x14ac:dyDescent="0.25">
      <c r="A80" s="246"/>
      <c r="B80" s="140" t="s">
        <v>3024</v>
      </c>
      <c r="C80" s="281" t="str">
        <f>VLOOKUP(C$77, Equipment!$A$36:$T$45, 2, FALSE)</f>
        <v>MultiplusII 48/5000/70 x 3</v>
      </c>
      <c r="F80" s="149" t="s">
        <v>3233</v>
      </c>
      <c r="G80" s="114"/>
      <c r="L80" s="282" t="s">
        <v>3234</v>
      </c>
      <c r="O80" s="283" t="s">
        <v>3235</v>
      </c>
      <c r="P80" s="283" t="s">
        <v>3235</v>
      </c>
      <c r="Q80" s="282" t="s">
        <v>3234</v>
      </c>
    </row>
    <row r="81" spans="1:20" ht="15" customHeight="1" x14ac:dyDescent="0.25">
      <c r="A81" s="246"/>
      <c r="B81" s="140" t="s">
        <v>3236</v>
      </c>
      <c r="C81" s="184">
        <f>VLOOKUP(C$77, Equipment!$A$36:$T$45, 4, FALSE)</f>
        <v>48</v>
      </c>
      <c r="D81" t="s">
        <v>3237</v>
      </c>
      <c r="F81" s="149" t="s">
        <v>3238</v>
      </c>
      <c r="G81" s="114"/>
      <c r="L81" s="284" t="s">
        <v>3239</v>
      </c>
      <c r="M81" s="285"/>
      <c r="N81" s="284" t="s">
        <v>3240</v>
      </c>
      <c r="O81" s="284" t="s">
        <v>3239</v>
      </c>
      <c r="P81" s="284" t="s">
        <v>3241</v>
      </c>
      <c r="Q81" s="284" t="s">
        <v>3241</v>
      </c>
      <c r="R81" s="286" t="s">
        <v>3242</v>
      </c>
      <c r="S81" s="284" t="s">
        <v>3243</v>
      </c>
      <c r="T81" s="287" t="s">
        <v>3244</v>
      </c>
    </row>
    <row r="82" spans="1:20" ht="15" customHeight="1" x14ac:dyDescent="0.25">
      <c r="A82" s="246"/>
      <c r="B82" s="140" t="s">
        <v>3245</v>
      </c>
      <c r="C82" s="288">
        <f>VLOOKUP(C$77, Equipment!$A$36:$T$45, 7, FALSE)</f>
        <v>27</v>
      </c>
      <c r="D82" t="s">
        <v>3229</v>
      </c>
      <c r="F82" s="149" t="s">
        <v>3246</v>
      </c>
      <c r="G82" s="114"/>
      <c r="L82" s="284" t="s">
        <v>3247</v>
      </c>
      <c r="M82" s="285" t="s">
        <v>3248</v>
      </c>
      <c r="N82" s="284" t="s">
        <v>3249</v>
      </c>
      <c r="O82" s="284" t="s">
        <v>3247</v>
      </c>
      <c r="P82" s="284" t="s">
        <v>3239</v>
      </c>
      <c r="Q82" s="284" t="s">
        <v>3239</v>
      </c>
      <c r="R82" s="289"/>
      <c r="S82" s="289"/>
      <c r="T82" s="287" t="s">
        <v>3250</v>
      </c>
    </row>
    <row r="83" spans="1:20" x14ac:dyDescent="0.25">
      <c r="A83" s="246"/>
      <c r="B83" s="140" t="s">
        <v>3231</v>
      </c>
      <c r="C83" s="288">
        <f>VLOOKUP(C$77, Equipment!$A$36:$T$45, 6, FALSE)</f>
        <v>12</v>
      </c>
      <c r="D83" t="s">
        <v>3229</v>
      </c>
      <c r="F83" s="149" t="s">
        <v>3251</v>
      </c>
      <c r="G83" s="114"/>
      <c r="H83" s="290"/>
      <c r="L83" s="291">
        <v>54</v>
      </c>
      <c r="M83" s="285">
        <f>P83</f>
        <v>1790</v>
      </c>
      <c r="N83" s="292">
        <v>10</v>
      </c>
      <c r="O83" s="293">
        <v>102</v>
      </c>
      <c r="P83" s="294">
        <v>1790</v>
      </c>
      <c r="Q83" s="291">
        <v>1460</v>
      </c>
      <c r="R83" s="292"/>
      <c r="S83" s="292"/>
      <c r="T83" s="114"/>
    </row>
    <row r="84" spans="1:20" ht="15" customHeight="1" x14ac:dyDescent="0.25">
      <c r="A84" s="246"/>
      <c r="B84" s="140" t="s">
        <v>3252</v>
      </c>
      <c r="C84" s="295">
        <f>VLOOKUP(C$77, Equipment!$A$36:$T$45, 10, FALSE)</f>
        <v>0.96</v>
      </c>
      <c r="F84" s="149" t="s">
        <v>3253</v>
      </c>
      <c r="G84" s="114"/>
      <c r="H84" s="290"/>
      <c r="L84" s="291">
        <v>63</v>
      </c>
      <c r="M84" s="285">
        <f t="shared" ref="M84:M93" si="29">P84</f>
        <v>2327</v>
      </c>
      <c r="N84" s="292">
        <v>13</v>
      </c>
      <c r="O84" s="291">
        <v>63</v>
      </c>
      <c r="P84" s="294">
        <v>2327</v>
      </c>
      <c r="Q84" s="291">
        <v>1898</v>
      </c>
      <c r="R84" s="292" t="s">
        <v>3254</v>
      </c>
      <c r="S84" s="292"/>
    </row>
    <row r="85" spans="1:20" x14ac:dyDescent="0.25">
      <c r="A85" s="140"/>
      <c r="B85" s="140"/>
      <c r="C85" s="140"/>
      <c r="D85" s="142"/>
      <c r="F85" s="149"/>
      <c r="G85" s="114"/>
      <c r="L85" s="291">
        <v>72</v>
      </c>
      <c r="M85" s="285">
        <f t="shared" si="29"/>
        <v>2864</v>
      </c>
      <c r="N85" s="292">
        <v>16</v>
      </c>
      <c r="O85" s="293">
        <v>135</v>
      </c>
      <c r="P85" s="294">
        <v>2864</v>
      </c>
      <c r="Q85" s="291">
        <v>2336</v>
      </c>
      <c r="R85" s="292"/>
      <c r="S85" s="292"/>
      <c r="T85" s="296" t="s">
        <v>3255</v>
      </c>
    </row>
    <row r="86" spans="1:20" x14ac:dyDescent="0.25">
      <c r="A86" s="297" t="s">
        <v>3256</v>
      </c>
      <c r="B86" s="140" t="s">
        <v>3257</v>
      </c>
      <c r="C86" s="184">
        <v>7</v>
      </c>
      <c r="D86" s="142" t="s">
        <v>3258</v>
      </c>
      <c r="F86" s="149" t="s">
        <v>3259</v>
      </c>
      <c r="G86" s="114"/>
      <c r="L86" s="291">
        <v>85</v>
      </c>
      <c r="M86" s="285">
        <f t="shared" si="29"/>
        <v>2958</v>
      </c>
      <c r="N86" s="292">
        <v>20.260000000000002</v>
      </c>
      <c r="O86" s="291">
        <v>85</v>
      </c>
      <c r="P86" s="298">
        <v>2958</v>
      </c>
      <c r="Q86" s="298">
        <v>2958</v>
      </c>
      <c r="R86" s="292" t="s">
        <v>3260</v>
      </c>
      <c r="S86" s="292" t="s">
        <v>3261</v>
      </c>
      <c r="T86" s="299" t="s">
        <v>3262</v>
      </c>
    </row>
    <row r="87" spans="1:20" x14ac:dyDescent="0.25">
      <c r="A87" s="20"/>
      <c r="B87" s="140" t="s">
        <v>3263</v>
      </c>
      <c r="C87" s="188">
        <f>IF(Calculator!AA27=TRUE,Loads!M9,IF([5]G59Calculator!I10,Calculator!E11))</f>
        <v>31.7</v>
      </c>
      <c r="D87" s="142" t="s">
        <v>3090</v>
      </c>
      <c r="E87" t="s">
        <v>3264</v>
      </c>
      <c r="F87" s="149"/>
      <c r="G87" s="114">
        <f>IF([1]Calculator!AA26=FALSE, 0, 1)</f>
        <v>0</v>
      </c>
      <c r="L87" s="291">
        <v>97</v>
      </c>
      <c r="M87" s="285">
        <f t="shared" si="29"/>
        <v>4475</v>
      </c>
      <c r="N87" s="292">
        <v>25</v>
      </c>
      <c r="O87" s="293">
        <v>178</v>
      </c>
      <c r="P87" s="294">
        <v>4475</v>
      </c>
      <c r="Q87" s="291">
        <v>3650</v>
      </c>
      <c r="R87" s="292" t="s">
        <v>3265</v>
      </c>
      <c r="S87" s="292"/>
      <c r="T87" s="296" t="s">
        <v>3266</v>
      </c>
    </row>
    <row r="88" spans="1:20" x14ac:dyDescent="0.25">
      <c r="A88" s="20"/>
      <c r="B88" s="300" t="s">
        <v>3263</v>
      </c>
      <c r="C88" s="301">
        <f>IF(Calculator!AA27=TRUE,Loads!M11,IF(Calculator!AA26=TRUE,Calculator!I10,Calculator!E11))</f>
        <v>15.507499999999999</v>
      </c>
      <c r="D88" s="223" t="s">
        <v>3090</v>
      </c>
      <c r="E88" s="302" t="s">
        <v>3267</v>
      </c>
      <c r="F88" s="223"/>
      <c r="G88" s="114"/>
      <c r="L88" s="291">
        <v>119</v>
      </c>
      <c r="M88" s="285">
        <f t="shared" si="29"/>
        <v>6265</v>
      </c>
      <c r="N88" s="292">
        <v>35</v>
      </c>
      <c r="O88" s="293">
        <v>221</v>
      </c>
      <c r="P88" s="294">
        <v>6265</v>
      </c>
      <c r="Q88" s="291">
        <v>5110</v>
      </c>
      <c r="R88" s="292"/>
      <c r="S88" s="292"/>
      <c r="T88" s="296"/>
    </row>
    <row r="89" spans="1:20" x14ac:dyDescent="0.25">
      <c r="A89" s="20"/>
      <c r="B89" s="140" t="s">
        <v>3268</v>
      </c>
      <c r="C89" s="188">
        <v>3</v>
      </c>
      <c r="D89" s="142" t="s">
        <v>3269</v>
      </c>
      <c r="E89" t="s">
        <v>3270</v>
      </c>
      <c r="F89" s="149"/>
      <c r="G89" s="114"/>
      <c r="K89" s="290"/>
      <c r="L89" s="291"/>
      <c r="M89" s="285">
        <f t="shared" si="29"/>
        <v>5774</v>
      </c>
      <c r="N89" s="292">
        <v>39.549999999999997</v>
      </c>
      <c r="O89" s="291">
        <v>130</v>
      </c>
      <c r="P89" s="291">
        <v>5774</v>
      </c>
      <c r="Q89" s="291">
        <v>5774</v>
      </c>
      <c r="R89" s="292" t="s">
        <v>3271</v>
      </c>
      <c r="S89" s="292"/>
    </row>
    <row r="90" spans="1:20" x14ac:dyDescent="0.25">
      <c r="A90" s="20"/>
      <c r="B90" s="140" t="s">
        <v>3272</v>
      </c>
      <c r="C90" s="303">
        <f>MIN(N24:Z24)</f>
        <v>2.2999999999999998</v>
      </c>
      <c r="D90" s="142" t="s">
        <v>3273</v>
      </c>
      <c r="E90" s="304" t="str">
        <f>C39</f>
        <v>Sydney</v>
      </c>
      <c r="F90" s="149"/>
      <c r="G90" s="114"/>
      <c r="K90" s="290"/>
      <c r="L90" s="291">
        <v>146</v>
      </c>
      <c r="M90" s="285">
        <f t="shared" si="29"/>
        <v>8950</v>
      </c>
      <c r="N90" s="292">
        <v>50</v>
      </c>
      <c r="O90" s="293">
        <v>279</v>
      </c>
      <c r="P90" s="294">
        <v>8950</v>
      </c>
      <c r="Q90" s="291">
        <v>7300</v>
      </c>
      <c r="R90" s="292" t="s">
        <v>3274</v>
      </c>
      <c r="S90" s="292"/>
    </row>
    <row r="91" spans="1:20" x14ac:dyDescent="0.25">
      <c r="A91" s="20"/>
      <c r="B91" s="140" t="s">
        <v>3275</v>
      </c>
      <c r="C91" s="303">
        <f>MAX(N24:Z24)</f>
        <v>7.4</v>
      </c>
      <c r="D91" s="142" t="s">
        <v>3273</v>
      </c>
      <c r="E91" s="304" t="str">
        <f>E90</f>
        <v>Sydney</v>
      </c>
      <c r="F91" s="149"/>
      <c r="G91" s="114"/>
      <c r="I91" s="305"/>
      <c r="J91" s="296"/>
      <c r="K91" s="296"/>
      <c r="L91" s="291">
        <v>184</v>
      </c>
      <c r="M91" s="285">
        <f t="shared" si="29"/>
        <v>12530</v>
      </c>
      <c r="N91" s="292">
        <v>70</v>
      </c>
      <c r="O91" s="293">
        <v>351</v>
      </c>
      <c r="P91" s="294">
        <v>12530</v>
      </c>
      <c r="Q91" s="291">
        <v>10220</v>
      </c>
      <c r="R91" s="292"/>
      <c r="S91" s="292"/>
    </row>
    <row r="92" spans="1:20" x14ac:dyDescent="0.25">
      <c r="A92" s="20"/>
      <c r="B92" s="140" t="s">
        <v>3276</v>
      </c>
      <c r="C92" s="303">
        <f>C90*C$32*E92*C84/1000</f>
        <v>5.9615999999999989</v>
      </c>
      <c r="D92" s="142" t="s">
        <v>3090</v>
      </c>
      <c r="E92">
        <v>0.9</v>
      </c>
      <c r="F92" s="149" t="s">
        <v>3277</v>
      </c>
      <c r="G92" s="114"/>
      <c r="L92" s="291">
        <v>230</v>
      </c>
      <c r="M92" s="285">
        <f t="shared" si="29"/>
        <v>16110</v>
      </c>
      <c r="N92" s="292">
        <v>95</v>
      </c>
      <c r="O92" s="293">
        <v>422</v>
      </c>
      <c r="P92" s="294">
        <v>16110</v>
      </c>
      <c r="Q92" s="291">
        <v>13870</v>
      </c>
      <c r="R92" s="292"/>
      <c r="S92" s="292"/>
    </row>
    <row r="93" spans="1:20" x14ac:dyDescent="0.25">
      <c r="A93" s="20"/>
      <c r="B93" s="140" t="s">
        <v>3278</v>
      </c>
      <c r="C93" s="303">
        <f>C91*C$32*E93*C84/1000</f>
        <v>19.180799999999998</v>
      </c>
      <c r="D93" s="142" t="s">
        <v>3090</v>
      </c>
      <c r="E93">
        <v>0.9</v>
      </c>
      <c r="F93" s="149" t="s">
        <v>3277</v>
      </c>
      <c r="G93" s="114"/>
      <c r="L93" s="291">
        <v>267</v>
      </c>
      <c r="M93" s="285">
        <f t="shared" si="29"/>
        <v>21480</v>
      </c>
      <c r="N93" s="292">
        <v>120</v>
      </c>
      <c r="O93" s="293">
        <v>500</v>
      </c>
      <c r="P93" s="294">
        <v>21480</v>
      </c>
      <c r="Q93" s="291">
        <v>17520</v>
      </c>
      <c r="R93" s="292"/>
      <c r="S93" s="292"/>
    </row>
    <row r="94" spans="1:20" x14ac:dyDescent="0.25">
      <c r="A94" s="20"/>
      <c r="B94" s="140" t="s">
        <v>3279</v>
      </c>
      <c r="C94" s="303">
        <f>C87*3</f>
        <v>95.1</v>
      </c>
      <c r="D94" s="142" t="s">
        <v>3054</v>
      </c>
      <c r="F94" s="149"/>
      <c r="G94" s="114"/>
      <c r="M94" s="306"/>
      <c r="N94"/>
      <c r="O94"/>
      <c r="P94" t="s">
        <v>3280</v>
      </c>
      <c r="Q94"/>
      <c r="R94"/>
      <c r="S94"/>
    </row>
    <row r="95" spans="1:20" ht="15.75" x14ac:dyDescent="0.25">
      <c r="A95" s="20"/>
      <c r="B95" s="140"/>
      <c r="C95" s="307">
        <f>ROUND(3*C60/C94, 1)</f>
        <v>0.5</v>
      </c>
      <c r="D95" s="142" t="s">
        <v>3281</v>
      </c>
      <c r="F95" s="149"/>
      <c r="L95" s="296"/>
      <c r="N95" s="308" t="s">
        <v>3282</v>
      </c>
      <c r="O95"/>
      <c r="P95" s="309"/>
      <c r="Q95" s="309"/>
      <c r="R95" s="309"/>
      <c r="S95" s="309"/>
    </row>
    <row r="96" spans="1:20" x14ac:dyDescent="0.25">
      <c r="A96" s="20"/>
      <c r="B96" s="140" t="s">
        <v>3283</v>
      </c>
      <c r="C96" s="188">
        <f>Calculator!E11/C84*(1-Calculator!E12/100)</f>
        <v>10.9375</v>
      </c>
      <c r="D96" s="142" t="s">
        <v>3090</v>
      </c>
      <c r="F96" s="149"/>
      <c r="G96" s="296"/>
      <c r="H96" s="310"/>
      <c r="I96" s="296"/>
      <c r="J96" s="296"/>
      <c r="K96" s="296"/>
      <c r="L96" s="311"/>
      <c r="N96" s="312" t="s">
        <v>3242</v>
      </c>
      <c r="O96" s="312" t="s">
        <v>3284</v>
      </c>
      <c r="P96" s="312" t="s">
        <v>3285</v>
      </c>
      <c r="Q96" s="312" t="s">
        <v>3286</v>
      </c>
      <c r="R96" s="312" t="s">
        <v>3287</v>
      </c>
      <c r="S96" s="309"/>
    </row>
    <row r="97" spans="1:19" x14ac:dyDescent="0.25">
      <c r="B97" s="140" t="s">
        <v>3288</v>
      </c>
      <c r="C97" s="303">
        <f>C96*3</f>
        <v>32.8125</v>
      </c>
      <c r="D97" s="142" t="s">
        <v>3054</v>
      </c>
      <c r="I97" s="290"/>
      <c r="K97" s="290"/>
      <c r="L97" s="311"/>
      <c r="N97" s="309" t="s">
        <v>3289</v>
      </c>
      <c r="O97" s="309">
        <v>7.71</v>
      </c>
      <c r="P97" s="309">
        <v>5.5</v>
      </c>
      <c r="Q97" s="309">
        <v>74</v>
      </c>
      <c r="R97" s="309" t="s">
        <v>3290</v>
      </c>
      <c r="S97" s="309"/>
    </row>
    <row r="98" spans="1:19" x14ac:dyDescent="0.25">
      <c r="C98" s="307">
        <f>ROUND(3*C59/C97, 1)</f>
        <v>1.3</v>
      </c>
      <c r="D98" s="142" t="s">
        <v>3281</v>
      </c>
      <c r="I98" s="290"/>
      <c r="K98" s="290"/>
      <c r="L98" s="311"/>
      <c r="N98" s="309" t="s">
        <v>3291</v>
      </c>
      <c r="O98" s="309">
        <v>13.5</v>
      </c>
      <c r="P98" s="309">
        <v>7.2</v>
      </c>
      <c r="Q98" s="309">
        <v>103</v>
      </c>
      <c r="R98" s="309" t="s">
        <v>3292</v>
      </c>
      <c r="S98" s="309"/>
    </row>
    <row r="99" spans="1:19" x14ac:dyDescent="0.25">
      <c r="I99" s="290"/>
      <c r="K99" s="290"/>
      <c r="L99" s="311"/>
      <c r="N99" s="309" t="s">
        <v>3293</v>
      </c>
      <c r="O99" s="309">
        <v>20.260000000000002</v>
      </c>
      <c r="P99" s="309">
        <v>8.3000000000000007</v>
      </c>
      <c r="Q99" s="309">
        <v>135</v>
      </c>
      <c r="R99" s="309" t="s">
        <v>3294</v>
      </c>
      <c r="S99" s="309"/>
    </row>
    <row r="100" spans="1:19" x14ac:dyDescent="0.25">
      <c r="A100" s="16"/>
      <c r="B100" s="16"/>
      <c r="C100" s="16"/>
      <c r="D100" s="16"/>
      <c r="E100" s="16"/>
      <c r="F100" s="313"/>
      <c r="I100" s="290"/>
      <c r="K100" s="290"/>
      <c r="L100" s="311"/>
      <c r="N100" s="309" t="s">
        <v>3295</v>
      </c>
      <c r="O100" s="309">
        <v>26.45</v>
      </c>
      <c r="P100" s="309">
        <v>10.199999999999999</v>
      </c>
      <c r="Q100" s="309">
        <v>168</v>
      </c>
      <c r="R100" s="309" t="s">
        <v>3296</v>
      </c>
      <c r="S100" s="309"/>
    </row>
    <row r="101" spans="1:19" x14ac:dyDescent="0.25">
      <c r="I101" s="290"/>
      <c r="K101" s="290"/>
      <c r="L101" s="311"/>
      <c r="N101" s="309" t="s">
        <v>3297</v>
      </c>
      <c r="O101" s="309">
        <v>32.07</v>
      </c>
      <c r="P101" s="309">
        <v>11.3</v>
      </c>
      <c r="Q101" s="309">
        <v>188</v>
      </c>
      <c r="R101" s="309" t="s">
        <v>3298</v>
      </c>
      <c r="S101" s="309"/>
    </row>
    <row r="102" spans="1:19" ht="20.25" x14ac:dyDescent="0.3">
      <c r="A102" s="314"/>
      <c r="B102" s="315" t="s">
        <v>3299</v>
      </c>
      <c r="C102" s="314"/>
      <c r="D102" s="314"/>
      <c r="E102" s="314"/>
      <c r="F102" s="316"/>
      <c r="I102" s="290"/>
      <c r="K102" s="290"/>
      <c r="N102" s="309" t="s">
        <v>3300</v>
      </c>
      <c r="O102" s="309">
        <v>39.549999999999997</v>
      </c>
      <c r="P102" s="309">
        <v>12.1</v>
      </c>
      <c r="Q102" s="309">
        <v>210</v>
      </c>
      <c r="R102" s="309" t="s">
        <v>3301</v>
      </c>
      <c r="S102" s="309"/>
    </row>
    <row r="103" spans="1:19" x14ac:dyDescent="0.25">
      <c r="A103" s="314"/>
      <c r="B103" s="314"/>
      <c r="C103" s="314"/>
      <c r="D103" s="314"/>
      <c r="E103" s="314"/>
      <c r="F103" s="314"/>
      <c r="N103" s="309" t="s">
        <v>3302</v>
      </c>
      <c r="O103" s="309">
        <v>49</v>
      </c>
      <c r="P103" s="309">
        <v>12.7</v>
      </c>
      <c r="Q103" s="309">
        <v>246</v>
      </c>
      <c r="R103" s="309" t="s">
        <v>3303</v>
      </c>
      <c r="S103" s="309"/>
    </row>
    <row r="104" spans="1:19" x14ac:dyDescent="0.25">
      <c r="A104" s="314"/>
      <c r="B104" s="314"/>
      <c r="C104" s="314"/>
      <c r="D104" s="314"/>
      <c r="E104" s="314"/>
      <c r="F104" s="316"/>
    </row>
    <row r="105" spans="1:19" x14ac:dyDescent="0.25">
      <c r="A105" s="314"/>
      <c r="B105" s="317" t="s">
        <v>3304</v>
      </c>
      <c r="C105" s="314" t="s">
        <v>3305</v>
      </c>
      <c r="D105" s="314" t="s">
        <v>3090</v>
      </c>
      <c r="E105" s="314" t="s">
        <v>3306</v>
      </c>
      <c r="F105" s="316"/>
    </row>
    <row r="106" spans="1:19" x14ac:dyDescent="0.25">
      <c r="A106" s="314">
        <v>1</v>
      </c>
      <c r="B106" s="314">
        <v>2</v>
      </c>
      <c r="C106" s="314" t="s">
        <v>3307</v>
      </c>
      <c r="D106" s="314">
        <v>9</v>
      </c>
      <c r="E106" s="314">
        <v>4</v>
      </c>
      <c r="F106" s="314"/>
    </row>
    <row r="107" spans="1:19" x14ac:dyDescent="0.25">
      <c r="A107" s="314">
        <v>2</v>
      </c>
      <c r="B107" s="314">
        <v>3</v>
      </c>
      <c r="C107" s="314" t="s">
        <v>3308</v>
      </c>
      <c r="D107" s="314">
        <v>14</v>
      </c>
      <c r="E107" s="314">
        <v>4</v>
      </c>
      <c r="F107" s="314"/>
    </row>
    <row r="108" spans="1:19" x14ac:dyDescent="0.25">
      <c r="A108" s="314">
        <v>3</v>
      </c>
      <c r="B108" s="318" t="s">
        <v>3309</v>
      </c>
      <c r="C108" s="314" t="s">
        <v>3310</v>
      </c>
      <c r="D108" s="314">
        <v>19</v>
      </c>
      <c r="E108" s="314">
        <v>5</v>
      </c>
      <c r="F108" s="314"/>
    </row>
    <row r="109" spans="1:19" x14ac:dyDescent="0.25">
      <c r="A109" s="314">
        <v>4</v>
      </c>
      <c r="B109" s="318" t="s">
        <v>3311</v>
      </c>
      <c r="C109" s="314" t="s">
        <v>3312</v>
      </c>
      <c r="D109" s="314">
        <v>26</v>
      </c>
      <c r="E109" s="314">
        <v>6.5</v>
      </c>
      <c r="F109" s="314"/>
    </row>
    <row r="110" spans="1:19" x14ac:dyDescent="0.25">
      <c r="A110" s="314">
        <v>5</v>
      </c>
      <c r="B110" s="317" t="s">
        <v>3313</v>
      </c>
      <c r="C110" s="314" t="s">
        <v>3314</v>
      </c>
      <c r="D110" s="314">
        <v>35</v>
      </c>
      <c r="E110" s="314">
        <v>8</v>
      </c>
      <c r="F110" s="314"/>
    </row>
    <row r="111" spans="1:19" x14ac:dyDescent="0.25">
      <c r="A111" s="314"/>
      <c r="B111" s="314"/>
      <c r="C111" s="314"/>
      <c r="D111" s="314"/>
      <c r="E111" s="314"/>
      <c r="F111" s="316"/>
    </row>
    <row r="112" spans="1:19" x14ac:dyDescent="0.25">
      <c r="A112" s="314"/>
      <c r="B112" s="314"/>
      <c r="C112" s="314"/>
      <c r="D112" s="314"/>
      <c r="E112" s="314"/>
      <c r="F112" s="316"/>
    </row>
    <row r="113" spans="1:6" x14ac:dyDescent="0.25">
      <c r="A113" s="314"/>
      <c r="B113" s="314"/>
      <c r="C113" s="314"/>
      <c r="D113" s="314"/>
      <c r="E113" s="314"/>
      <c r="F113" s="316"/>
    </row>
    <row r="114" spans="1:6" x14ac:dyDescent="0.25">
      <c r="A114" s="314"/>
      <c r="B114" s="314"/>
      <c r="C114" s="314" t="s">
        <v>3315</v>
      </c>
      <c r="D114" s="314"/>
      <c r="E114" s="314" t="s">
        <v>3316</v>
      </c>
      <c r="F114" s="316"/>
    </row>
  </sheetData>
  <sheetProtection selectLockedCells="1"/>
  <mergeCells count="10">
    <mergeCell ref="Y10:AA11"/>
    <mergeCell ref="Y13:AA14"/>
    <mergeCell ref="J24:M24"/>
    <mergeCell ref="J25:M25"/>
    <mergeCell ref="J26:M26"/>
    <mergeCell ref="J27:M27"/>
    <mergeCell ref="J28:M28"/>
    <mergeCell ref="J29:M29"/>
    <mergeCell ref="N47:X47"/>
    <mergeCell ref="J9:K9"/>
  </mergeCells>
  <dataValidations disablePrompts="1" count="1">
    <dataValidation type="list" allowBlank="1" showInputMessage="1" showErrorMessage="1" sqref="D39" xr:uid="{EEB2DB2C-FB2D-477A-B017-621B7EF5F165}">
      <formula1>Locations</formula1>
    </dataValidation>
  </dataValidations>
  <hyperlinks>
    <hyperlink ref="T86" r:id="rId1" xr:uid="{326396E5-8262-46F2-9270-11CDED884BE7}"/>
  </hyperlinks>
  <pageMargins left="0.7" right="0.7" top="0.75" bottom="0.75" header="0.3" footer="0.3"/>
  <pageSetup paperSize="9" scale="18" fitToHeight="0" orientation="portrait" r:id="rId2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0CFB3-27C5-4426-9173-32935D749A0A}">
  <sheetPr>
    <tabColor theme="8" tint="-0.249977111117893"/>
  </sheetPr>
  <dimension ref="A1:Z253"/>
  <sheetViews>
    <sheetView workbookViewId="0">
      <selection activeCell="H16" sqref="H16"/>
    </sheetView>
  </sheetViews>
  <sheetFormatPr defaultRowHeight="15" x14ac:dyDescent="0.25"/>
  <cols>
    <col min="2" max="2" width="25.28515625" customWidth="1"/>
    <col min="6" max="6" width="36.85546875" customWidth="1"/>
  </cols>
  <sheetData>
    <row r="1" spans="1:26" x14ac:dyDescent="0.25">
      <c r="A1" s="503"/>
      <c r="B1" s="503"/>
      <c r="C1" s="503"/>
      <c r="D1" s="503"/>
      <c r="E1" s="503"/>
      <c r="F1" s="503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</row>
    <row r="2" spans="1:26" x14ac:dyDescent="0.25">
      <c r="A2" s="503"/>
      <c r="B2" s="504" t="s">
        <v>2990</v>
      </c>
      <c r="C2" s="505"/>
      <c r="D2" s="504"/>
      <c r="E2" s="504" t="s">
        <v>3755</v>
      </c>
      <c r="F2" s="506">
        <f ca="1">TODAY()</f>
        <v>45379</v>
      </c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</row>
    <row r="3" spans="1:26" ht="20.25" x14ac:dyDescent="0.3">
      <c r="A3" s="503"/>
      <c r="B3" s="511" t="s">
        <v>3957</v>
      </c>
      <c r="C3" s="513"/>
      <c r="D3" s="513"/>
      <c r="E3" s="505"/>
      <c r="F3" s="514" t="s">
        <v>3958</v>
      </c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</row>
    <row r="4" spans="1:26" x14ac:dyDescent="0.25">
      <c r="A4" s="503"/>
      <c r="B4" s="504" t="str">
        <f>[1]Calculator!D3&amp; " C01-03"</f>
        <v>EC114 C01-03</v>
      </c>
      <c r="C4" s="516" t="s">
        <v>3959</v>
      </c>
      <c r="D4" s="661" t="s">
        <v>3757</v>
      </c>
      <c r="E4" s="513" t="str">
        <f>[1]Loads!L3</f>
        <v>EC114</v>
      </c>
      <c r="F4" s="517" t="s">
        <v>3008</v>
      </c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</row>
    <row r="5" spans="1:26" x14ac:dyDescent="0.25">
      <c r="A5" s="503"/>
      <c r="B5" s="504" t="s">
        <v>3960</v>
      </c>
      <c r="C5" s="505"/>
      <c r="D5" s="505"/>
      <c r="E5" s="513"/>
      <c r="F5" s="517">
        <f>[1]Loads!M4</f>
        <v>0</v>
      </c>
      <c r="G5" s="306"/>
      <c r="H5" s="306"/>
      <c r="I5" s="306"/>
      <c r="J5" s="306" t="s">
        <v>3961</v>
      </c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</row>
    <row r="6" spans="1:26" x14ac:dyDescent="0.25">
      <c r="A6" s="662" t="s">
        <v>3962</v>
      </c>
      <c r="B6" s="663" t="s">
        <v>3010</v>
      </c>
      <c r="C6" s="663" t="s">
        <v>3011</v>
      </c>
      <c r="D6" s="663" t="s">
        <v>3012</v>
      </c>
      <c r="E6" s="664" t="s">
        <v>3013</v>
      </c>
      <c r="F6" s="665" t="s">
        <v>3014</v>
      </c>
      <c r="G6" s="306"/>
      <c r="H6" s="306"/>
      <c r="I6" s="306"/>
      <c r="J6" s="306" t="s">
        <v>3963</v>
      </c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</row>
    <row r="7" spans="1:26" x14ac:dyDescent="0.25">
      <c r="F7" s="66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</row>
    <row r="8" spans="1:26" x14ac:dyDescent="0.25">
      <c r="A8" s="667">
        <v>2.2000000000000002</v>
      </c>
      <c r="B8" s="486" t="s">
        <v>3964</v>
      </c>
      <c r="G8" s="306"/>
      <c r="H8" s="306"/>
      <c r="I8" s="306"/>
      <c r="J8" s="306" t="s">
        <v>3965</v>
      </c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</row>
    <row r="9" spans="1:26" x14ac:dyDescent="0.25">
      <c r="A9" s="667"/>
      <c r="B9" s="666"/>
      <c r="C9" s="666"/>
      <c r="D9" s="666"/>
      <c r="E9" s="66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</row>
    <row r="10" spans="1:26" x14ac:dyDescent="0.25">
      <c r="A10" s="667"/>
      <c r="B10" s="668" t="s">
        <v>3966</v>
      </c>
      <c r="C10" s="666"/>
      <c r="D10" s="666"/>
      <c r="E10" s="666"/>
      <c r="F10" s="66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</row>
    <row r="11" spans="1:26" x14ac:dyDescent="0.25">
      <c r="A11" s="667"/>
      <c r="B11" s="666" t="s">
        <v>3967</v>
      </c>
      <c r="C11" s="666"/>
      <c r="D11" s="666"/>
      <c r="E11" s="666"/>
      <c r="F11" s="666"/>
      <c r="G11" s="306"/>
      <c r="H11" s="306"/>
      <c r="I11" s="306"/>
      <c r="J11" s="306" t="s">
        <v>3968</v>
      </c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</row>
    <row r="12" spans="1:26" x14ac:dyDescent="0.25">
      <c r="A12" s="667"/>
      <c r="B12" s="666" t="s">
        <v>3969</v>
      </c>
      <c r="C12" s="666"/>
      <c r="D12" s="666"/>
      <c r="E12" s="666"/>
      <c r="F12" s="666"/>
      <c r="G12" s="306"/>
      <c r="H12" s="306"/>
      <c r="I12" s="306"/>
      <c r="J12" s="306" t="s">
        <v>3970</v>
      </c>
      <c r="K12" s="306"/>
      <c r="L12" s="306"/>
      <c r="M12" s="306"/>
      <c r="N12" s="306" t="s">
        <v>3971</v>
      </c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</row>
    <row r="13" spans="1:26" x14ac:dyDescent="0.25">
      <c r="A13" s="667"/>
      <c r="B13" s="666" t="s">
        <v>3961</v>
      </c>
      <c r="C13" s="666"/>
      <c r="D13" s="666"/>
      <c r="E13" s="666"/>
      <c r="F13" s="666"/>
      <c r="G13" s="306"/>
      <c r="H13" s="306"/>
      <c r="I13" s="306"/>
      <c r="J13" s="13" t="s">
        <v>3972</v>
      </c>
      <c r="K13" s="13"/>
      <c r="L13" s="13"/>
      <c r="M13" s="13"/>
      <c r="N13" s="13"/>
      <c r="O13" s="13"/>
      <c r="P13" s="306"/>
      <c r="Q13" s="306"/>
      <c r="R13" s="306" t="s">
        <v>3973</v>
      </c>
      <c r="S13" s="306"/>
      <c r="T13" s="306"/>
      <c r="U13" s="306"/>
      <c r="V13" s="306"/>
      <c r="W13" s="306"/>
      <c r="X13" s="306"/>
      <c r="Y13" s="306"/>
      <c r="Z13" s="306"/>
    </row>
    <row r="14" spans="1:26" x14ac:dyDescent="0.25">
      <c r="A14" s="667"/>
      <c r="B14" s="666" t="s">
        <v>3974</v>
      </c>
      <c r="C14" s="666"/>
      <c r="D14" s="666"/>
      <c r="E14" s="666"/>
      <c r="F14" s="666"/>
      <c r="G14" s="306"/>
      <c r="H14" s="306"/>
      <c r="I14" s="13" t="s">
        <v>3975</v>
      </c>
      <c r="J14" s="13"/>
      <c r="K14" s="13"/>
      <c r="L14" s="13"/>
      <c r="M14" s="13"/>
      <c r="N14" s="13"/>
      <c r="O14" s="13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</row>
    <row r="15" spans="1:26" x14ac:dyDescent="0.25">
      <c r="A15" s="667"/>
      <c r="B15" s="666" t="s">
        <v>3976</v>
      </c>
      <c r="C15" s="666"/>
      <c r="D15" s="666"/>
      <c r="E15" s="666"/>
      <c r="F15" s="666"/>
      <c r="G15" s="306"/>
      <c r="H15" s="306"/>
      <c r="I15" s="306"/>
      <c r="J15" s="306" t="s">
        <v>3977</v>
      </c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</row>
    <row r="16" spans="1:26" x14ac:dyDescent="0.25">
      <c r="A16" s="667"/>
      <c r="B16" s="666" t="s">
        <v>3978</v>
      </c>
      <c r="C16" s="666"/>
      <c r="D16" s="666"/>
      <c r="E16" s="666"/>
      <c r="F16" s="666"/>
      <c r="G16" s="306"/>
      <c r="H16" s="306"/>
      <c r="I16" s="306" t="s">
        <v>3979</v>
      </c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</row>
    <row r="17" spans="1:26" x14ac:dyDescent="0.25">
      <c r="A17" s="667"/>
      <c r="B17" s="666" t="s">
        <v>3980</v>
      </c>
      <c r="C17" s="666"/>
      <c r="D17" s="666"/>
      <c r="E17" s="666"/>
      <c r="F17" s="666"/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</row>
    <row r="18" spans="1:26" x14ac:dyDescent="0.25">
      <c r="A18" s="667"/>
      <c r="B18" s="666" t="s">
        <v>3981</v>
      </c>
      <c r="C18" s="666"/>
      <c r="D18" s="666"/>
      <c r="E18" s="666"/>
      <c r="F18" s="666"/>
      <c r="G18" s="306"/>
      <c r="H18" s="306"/>
      <c r="I18" s="669" t="s">
        <v>3982</v>
      </c>
      <c r="J18" s="669"/>
      <c r="K18" s="670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</row>
    <row r="19" spans="1:26" x14ac:dyDescent="0.25">
      <c r="A19" s="667"/>
      <c r="B19" s="666" t="s">
        <v>3983</v>
      </c>
      <c r="C19" s="666"/>
      <c r="D19" s="666"/>
      <c r="E19" s="666"/>
      <c r="F19" s="666"/>
      <c r="G19" s="306"/>
      <c r="H19" s="306"/>
      <c r="I19" s="306"/>
      <c r="J19" s="306"/>
      <c r="K19" s="671" t="s">
        <v>3984</v>
      </c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</row>
    <row r="20" spans="1:26" x14ac:dyDescent="0.25">
      <c r="A20" s="667"/>
      <c r="B20" s="666" t="s">
        <v>3985</v>
      </c>
      <c r="C20" s="666"/>
      <c r="D20" s="666"/>
      <c r="E20" s="666"/>
      <c r="F20" s="66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</row>
    <row r="21" spans="1:26" x14ac:dyDescent="0.25">
      <c r="A21" s="667"/>
      <c r="B21" s="666" t="s">
        <v>3986</v>
      </c>
      <c r="C21" s="666"/>
      <c r="D21" s="666"/>
      <c r="E21" s="666"/>
      <c r="F21" s="666"/>
      <c r="G21" s="306"/>
      <c r="H21" s="306" t="s">
        <v>3987</v>
      </c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</row>
    <row r="22" spans="1:26" x14ac:dyDescent="0.25">
      <c r="A22" s="667"/>
      <c r="B22" s="666"/>
      <c r="C22" s="666"/>
      <c r="D22" s="666"/>
      <c r="E22" s="666"/>
      <c r="F22" s="66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</row>
    <row r="23" spans="1:26" x14ac:dyDescent="0.25">
      <c r="A23" s="667"/>
      <c r="B23" s="668" t="s">
        <v>3988</v>
      </c>
      <c r="C23" s="666"/>
      <c r="D23" s="666"/>
      <c r="E23" s="666"/>
      <c r="F23" s="66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</row>
    <row r="24" spans="1:26" x14ac:dyDescent="0.25">
      <c r="A24" s="667"/>
      <c r="B24" s="666" t="s">
        <v>3989</v>
      </c>
      <c r="C24" s="666"/>
      <c r="D24" s="666"/>
      <c r="E24" s="666"/>
      <c r="F24" s="66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</row>
    <row r="25" spans="1:26" x14ac:dyDescent="0.25">
      <c r="A25" s="667"/>
      <c r="B25" s="666" t="s">
        <v>3990</v>
      </c>
      <c r="C25" s="666"/>
      <c r="D25" s="666"/>
      <c r="E25" s="666"/>
      <c r="F25" s="66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</row>
    <row r="26" spans="1:26" x14ac:dyDescent="0.25">
      <c r="A26" s="667"/>
      <c r="B26" s="666" t="s">
        <v>3991</v>
      </c>
      <c r="C26" s="666"/>
      <c r="D26" s="666"/>
      <c r="E26" s="666"/>
      <c r="F26" s="666"/>
      <c r="G26" s="306"/>
      <c r="H26" s="306"/>
      <c r="I26" s="672" t="s">
        <v>3992</v>
      </c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</row>
    <row r="27" spans="1:26" x14ac:dyDescent="0.25">
      <c r="A27" s="667"/>
      <c r="B27" s="666" t="s">
        <v>3993</v>
      </c>
      <c r="C27" s="666"/>
      <c r="D27" s="666"/>
      <c r="E27" s="666"/>
      <c r="F27" s="666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</row>
    <row r="28" spans="1:26" x14ac:dyDescent="0.25">
      <c r="A28" s="667"/>
      <c r="B28" s="666" t="s">
        <v>3994</v>
      </c>
      <c r="C28" s="666"/>
      <c r="D28" s="666"/>
      <c r="E28" s="666"/>
      <c r="F28" s="66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</row>
    <row r="29" spans="1:26" x14ac:dyDescent="0.25">
      <c r="A29" s="667"/>
      <c r="B29" s="666" t="s">
        <v>3995</v>
      </c>
      <c r="C29" s="666"/>
      <c r="D29" s="666"/>
      <c r="E29" s="666"/>
      <c r="F29" s="66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</row>
    <row r="30" spans="1:26" x14ac:dyDescent="0.25">
      <c r="A30" s="667"/>
      <c r="B30" s="666"/>
      <c r="C30" s="666"/>
      <c r="D30" s="666"/>
      <c r="E30" s="666"/>
      <c r="F30" s="66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</row>
    <row r="31" spans="1:26" x14ac:dyDescent="0.25">
      <c r="A31" s="667" t="s">
        <v>3996</v>
      </c>
      <c r="B31" s="486" t="s">
        <v>3997</v>
      </c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</row>
    <row r="32" spans="1:26" x14ac:dyDescent="0.25"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</row>
    <row r="33" spans="1:26" x14ac:dyDescent="0.25">
      <c r="B33" s="668" t="s">
        <v>3998</v>
      </c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</row>
    <row r="34" spans="1:26" x14ac:dyDescent="0.25">
      <c r="B34" s="666" t="s">
        <v>3999</v>
      </c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</row>
    <row r="35" spans="1:26" x14ac:dyDescent="0.25">
      <c r="B35" s="666" t="s">
        <v>4000</v>
      </c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</row>
    <row r="36" spans="1:26" x14ac:dyDescent="0.25">
      <c r="B36" s="666" t="s">
        <v>4001</v>
      </c>
      <c r="F36" s="673" t="s">
        <v>4002</v>
      </c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</row>
    <row r="37" spans="1:26" x14ac:dyDescent="0.25">
      <c r="B37" s="666" t="s">
        <v>4003</v>
      </c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</row>
    <row r="38" spans="1:26" x14ac:dyDescent="0.25">
      <c r="C38" s="666"/>
      <c r="D38" s="666"/>
      <c r="E38" s="666"/>
      <c r="F38" s="66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</row>
    <row r="39" spans="1:26" x14ac:dyDescent="0.25">
      <c r="A39" s="667" t="s">
        <v>4004</v>
      </c>
      <c r="B39" s="486" t="s">
        <v>4005</v>
      </c>
      <c r="C39" s="666"/>
      <c r="D39" s="666"/>
      <c r="E39" s="666"/>
      <c r="F39" s="66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</row>
    <row r="40" spans="1:26" x14ac:dyDescent="0.25">
      <c r="B40" s="666"/>
      <c r="C40" s="666"/>
      <c r="D40" s="666"/>
      <c r="E40" s="666"/>
      <c r="F40" s="66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</row>
    <row r="41" spans="1:26" x14ac:dyDescent="0.25">
      <c r="A41" s="667"/>
      <c r="B41" s="668" t="s">
        <v>4006</v>
      </c>
      <c r="C41" s="492"/>
      <c r="F41" s="66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</row>
    <row r="42" spans="1:26" x14ac:dyDescent="0.25">
      <c r="A42" s="667"/>
      <c r="B42" s="666" t="str">
        <f>[1]Loads!D7</f>
        <v>Fridge/Fr</v>
      </c>
      <c r="C42" s="674">
        <f t="shared" ref="C42:C49" si="0">D42/D$50</f>
        <v>9.677419354838715E-2</v>
      </c>
      <c r="D42" s="195">
        <f>[1]Loads!D9</f>
        <v>2.8800000000000017</v>
      </c>
      <c r="E42" s="666" t="s">
        <v>3229</v>
      </c>
      <c r="F42" s="675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</row>
    <row r="43" spans="1:26" x14ac:dyDescent="0.25">
      <c r="A43" s="667"/>
      <c r="B43" s="666" t="str">
        <f>[1]Loads!E7</f>
        <v>AirCon</v>
      </c>
      <c r="C43" s="674">
        <f t="shared" si="0"/>
        <v>0.6401209677419355</v>
      </c>
      <c r="D43" s="195">
        <f>[1]Loads!E9</f>
        <v>19.05</v>
      </c>
      <c r="E43" s="666" t="s">
        <v>3229</v>
      </c>
      <c r="F43" s="675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</row>
    <row r="44" spans="1:26" x14ac:dyDescent="0.25">
      <c r="B44" s="666" t="str">
        <f>[1]Loads!G7</f>
        <v>TV</v>
      </c>
      <c r="C44" s="674">
        <f t="shared" si="0"/>
        <v>1.7473118279569891E-2</v>
      </c>
      <c r="D44" s="195">
        <f>[1]Loads!G9</f>
        <v>0.52</v>
      </c>
      <c r="E44" s="666" t="s">
        <v>3229</v>
      </c>
      <c r="F44" s="675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</row>
    <row r="45" spans="1:26" x14ac:dyDescent="0.25">
      <c r="B45" s="666" t="str">
        <f>[1]Loads!H7</f>
        <v>Cooking</v>
      </c>
      <c r="C45" s="674">
        <f t="shared" si="0"/>
        <v>5.5443548387096767E-2</v>
      </c>
      <c r="D45" s="195">
        <f>[1]Loads!H9</f>
        <v>1.65</v>
      </c>
      <c r="E45" s="666" t="s">
        <v>3229</v>
      </c>
      <c r="F45" s="60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</row>
    <row r="46" spans="1:26" x14ac:dyDescent="0.25">
      <c r="B46" s="666" t="str">
        <f>[1]Loads!I7</f>
        <v>Lighting</v>
      </c>
      <c r="C46" s="674">
        <f t="shared" si="0"/>
        <v>6.7204301075268812E-4</v>
      </c>
      <c r="D46" s="195">
        <f>[1]Loads!I9</f>
        <v>0.02</v>
      </c>
      <c r="E46" s="666" t="s">
        <v>3229</v>
      </c>
      <c r="F46" s="60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</row>
    <row r="47" spans="1:26" x14ac:dyDescent="0.25">
      <c r="B47" s="666" t="str">
        <f>[1]Loads!J7</f>
        <v>Appli-ances</v>
      </c>
      <c r="C47" s="674">
        <f t="shared" si="0"/>
        <v>4.0322580645161296E-2</v>
      </c>
      <c r="D47" s="257">
        <f>[1]Loads!J9</f>
        <v>1.2000000000000002</v>
      </c>
      <c r="E47" s="666" t="s">
        <v>3229</v>
      </c>
      <c r="F47" s="60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</row>
    <row r="48" spans="1:26" x14ac:dyDescent="0.25">
      <c r="B48" s="666" t="str">
        <f>[1]Loads!F7</f>
        <v>HWS</v>
      </c>
      <c r="C48" s="674">
        <f t="shared" si="0"/>
        <v>0.10080645161290322</v>
      </c>
      <c r="D48" s="195">
        <f>[1]Loads!F9</f>
        <v>3</v>
      </c>
      <c r="E48" s="666" t="s">
        <v>3229</v>
      </c>
      <c r="F48" s="60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</row>
    <row r="49" spans="1:26" x14ac:dyDescent="0.25">
      <c r="B49" s="666" t="str">
        <f>[1]Loads!K7</f>
        <v>System &amp; Comp</v>
      </c>
      <c r="C49" s="674">
        <f t="shared" si="0"/>
        <v>4.8387096774193575E-2</v>
      </c>
      <c r="D49" s="195">
        <f>[1]Loads!K9</f>
        <v>1.4400000000000008</v>
      </c>
      <c r="E49" s="666" t="s">
        <v>3229</v>
      </c>
      <c r="F49" s="60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</row>
    <row r="50" spans="1:26" x14ac:dyDescent="0.25">
      <c r="B50" s="666" t="s">
        <v>4007</v>
      </c>
      <c r="C50" s="674">
        <v>1</v>
      </c>
      <c r="D50" s="195">
        <f>[1]Loads!L9</f>
        <v>29.76</v>
      </c>
      <c r="E50" s="666" t="s">
        <v>3229</v>
      </c>
      <c r="F50" s="676" t="s">
        <v>4008</v>
      </c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</row>
    <row r="51" spans="1:26" ht="15.75" thickBot="1" x14ac:dyDescent="0.3">
      <c r="B51" s="666" t="s">
        <v>4009</v>
      </c>
      <c r="C51" s="613"/>
      <c r="D51" s="677">
        <f>[1]Loads!M8</f>
        <v>0.93898387096774183</v>
      </c>
      <c r="F51" s="67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</row>
    <row r="52" spans="1:26" ht="15.75" thickBot="1" x14ac:dyDescent="0.3">
      <c r="B52" s="666" t="str">
        <f>"Consumption "&amp;[1]Loads!M10</f>
        <v>Consumption KWh/day Summer</v>
      </c>
      <c r="C52" s="613"/>
      <c r="D52" s="678">
        <f>[1]Loads!M9</f>
        <v>31.7</v>
      </c>
      <c r="E52" s="666" t="s">
        <v>3229</v>
      </c>
      <c r="F52" s="676" t="s">
        <v>4010</v>
      </c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</row>
    <row r="53" spans="1:26" ht="15.75" thickBot="1" x14ac:dyDescent="0.3">
      <c r="B53" s="666" t="str">
        <f>"Consumption "&amp;[1]Loads!M12</f>
        <v>Consumption KWh/day Winter</v>
      </c>
      <c r="C53" s="613"/>
      <c r="D53" s="679">
        <f>[1]Loads!M11</f>
        <v>15.507499999999999</v>
      </c>
      <c r="E53" s="666" t="s">
        <v>3229</v>
      </c>
      <c r="F53" s="676" t="s">
        <v>4010</v>
      </c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</row>
    <row r="54" spans="1:26" x14ac:dyDescent="0.25">
      <c r="B54" s="666" t="str">
        <f>[1]Loads!M15</f>
        <v>KWh Daytime use</v>
      </c>
      <c r="C54" s="674">
        <f>[1]Loads!M17</f>
        <v>0.56216397849462363</v>
      </c>
      <c r="D54" s="680">
        <f>[1]Loads!M16</f>
        <v>17.817132452719999</v>
      </c>
      <c r="E54" s="666" t="s">
        <v>3229</v>
      </c>
      <c r="F54" s="60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</row>
    <row r="55" spans="1:26" x14ac:dyDescent="0.25">
      <c r="B55" s="666" t="str">
        <f>[1]Loads!M27</f>
        <v>KWh Night use</v>
      </c>
      <c r="C55" s="674">
        <f>[1]Loads!M29</f>
        <v>0.43775087322862383</v>
      </c>
      <c r="D55" s="188">
        <f>[1]Loads!M28</f>
        <v>13.876702681347375</v>
      </c>
      <c r="E55" s="666" t="s">
        <v>3229</v>
      </c>
      <c r="F55" s="60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</row>
    <row r="56" spans="1:26" x14ac:dyDescent="0.25"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</row>
    <row r="57" spans="1:26" x14ac:dyDescent="0.25">
      <c r="A57" s="667">
        <v>3.2</v>
      </c>
      <c r="B57" s="486" t="s">
        <v>4011</v>
      </c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</row>
    <row r="58" spans="1:26" x14ac:dyDescent="0.25">
      <c r="A58" s="667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</row>
    <row r="59" spans="1:26" x14ac:dyDescent="0.25">
      <c r="A59" s="667"/>
      <c r="B59" s="666" t="s">
        <v>4012</v>
      </c>
      <c r="C59" s="752" t="str">
        <f>IF([1]Calculator!E4=0, [1]Calculator!E5, [1]Calculator!E4)</f>
        <v>Cannonvale, QLD</v>
      </c>
      <c r="D59" s="753"/>
      <c r="F59" s="67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</row>
    <row r="60" spans="1:26" x14ac:dyDescent="0.25">
      <c r="A60" s="667"/>
      <c r="B60" s="666" t="s">
        <v>4013</v>
      </c>
      <c r="C60" s="752" t="s">
        <v>4014</v>
      </c>
      <c r="D60" s="753"/>
      <c r="F60" s="676" t="s">
        <v>4015</v>
      </c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</row>
    <row r="61" spans="1:26" x14ac:dyDescent="0.25">
      <c r="B61" s="666" t="str">
        <f>[1]Calcs!B42</f>
        <v>Solar panel roof tilt from 0</v>
      </c>
      <c r="D61" s="239">
        <f>[1]Calcs!C42</f>
        <v>20</v>
      </c>
      <c r="E61" s="666" t="s">
        <v>4016</v>
      </c>
      <c r="F61" s="67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</row>
    <row r="62" spans="1:26" x14ac:dyDescent="0.25">
      <c r="B62" s="666" t="str">
        <f>[1]Calcs!B43</f>
        <v>Solar aspect (azimuth)</v>
      </c>
      <c r="D62" s="239">
        <f>[1]Calcs!C43</f>
        <v>0</v>
      </c>
      <c r="E62" s="666" t="s">
        <v>4016</v>
      </c>
      <c r="F62" s="67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</row>
    <row r="63" spans="1:26" x14ac:dyDescent="0.25">
      <c r="F63" s="67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</row>
    <row r="64" spans="1:26" x14ac:dyDescent="0.25">
      <c r="A64" s="667">
        <v>3.3</v>
      </c>
      <c r="B64" s="486" t="s">
        <v>4017</v>
      </c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</row>
    <row r="65" spans="1:26" x14ac:dyDescent="0.25">
      <c r="A65" s="667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</row>
    <row r="66" spans="1:26" x14ac:dyDescent="0.25">
      <c r="A66" s="667"/>
      <c r="B66" s="666" t="s">
        <v>4018</v>
      </c>
      <c r="D66" s="681">
        <v>3</v>
      </c>
      <c r="E66" t="s">
        <v>4019</v>
      </c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</row>
    <row r="67" spans="1:26" x14ac:dyDescent="0.25">
      <c r="A67" s="667"/>
      <c r="B67" s="666" t="s">
        <v>4020</v>
      </c>
      <c r="D67" s="141">
        <v>48</v>
      </c>
      <c r="E67" t="s">
        <v>4021</v>
      </c>
      <c r="F67" s="67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</row>
    <row r="68" spans="1:26" x14ac:dyDescent="0.25">
      <c r="A68" s="667"/>
      <c r="B68" s="666" t="s">
        <v>4022</v>
      </c>
      <c r="D68" s="141" t="s">
        <v>4023</v>
      </c>
      <c r="F68" s="67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</row>
    <row r="69" spans="1:26" x14ac:dyDescent="0.25">
      <c r="A69" s="667"/>
      <c r="B69" s="666" t="s">
        <v>4024</v>
      </c>
      <c r="D69" s="141" t="s">
        <v>4025</v>
      </c>
      <c r="F69" s="67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</row>
    <row r="70" spans="1:26" x14ac:dyDescent="0.25">
      <c r="A70" s="667"/>
      <c r="B70" s="666" t="s">
        <v>4026</v>
      </c>
      <c r="D70" s="744" t="s">
        <v>4027</v>
      </c>
      <c r="E70" s="744"/>
      <c r="F70" s="67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</row>
    <row r="71" spans="1:26" x14ac:dyDescent="0.25">
      <c r="A71" s="667"/>
      <c r="B71" s="666"/>
      <c r="D71" s="744" t="s">
        <v>4028</v>
      </c>
      <c r="E71" s="744"/>
      <c r="F71" s="67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</row>
    <row r="72" spans="1:26" x14ac:dyDescent="0.25">
      <c r="D72" s="744" t="s">
        <v>4029</v>
      </c>
      <c r="E72" s="744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</row>
    <row r="73" spans="1:26" x14ac:dyDescent="0.25">
      <c r="B73" s="666"/>
      <c r="D73" s="744" t="s">
        <v>4030</v>
      </c>
      <c r="E73" s="744"/>
      <c r="F73" s="682" t="s">
        <v>4031</v>
      </c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</row>
    <row r="74" spans="1:26" x14ac:dyDescent="0.25">
      <c r="A74" s="667"/>
      <c r="B74" s="666"/>
      <c r="D74" s="744" t="s">
        <v>4032</v>
      </c>
      <c r="E74" s="744"/>
      <c r="F74" s="67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</row>
    <row r="75" spans="1:26" x14ac:dyDescent="0.25">
      <c r="F75" s="67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</row>
    <row r="76" spans="1:26" x14ac:dyDescent="0.25">
      <c r="A76" s="667" t="s">
        <v>4033</v>
      </c>
      <c r="B76" s="668" t="s">
        <v>175</v>
      </c>
      <c r="C76" s="666"/>
      <c r="D76" s="666"/>
      <c r="E76" s="666"/>
      <c r="F76" s="67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</row>
    <row r="77" spans="1:26" x14ac:dyDescent="0.25">
      <c r="A77" s="103" t="s">
        <v>4034</v>
      </c>
      <c r="B77" s="668" t="s">
        <v>4035</v>
      </c>
      <c r="F77" s="676" t="s">
        <v>4036</v>
      </c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</row>
    <row r="78" spans="1:26" x14ac:dyDescent="0.25">
      <c r="B78" s="683" t="s">
        <v>4037</v>
      </c>
      <c r="D78" s="141">
        <v>5500</v>
      </c>
      <c r="E78" t="s">
        <v>3028</v>
      </c>
      <c r="F78" s="676" t="s">
        <v>4038</v>
      </c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</row>
    <row r="79" spans="1:26" x14ac:dyDescent="0.25">
      <c r="B79" s="683" t="s">
        <v>4039</v>
      </c>
      <c r="D79" s="239">
        <f>70*3*48</f>
        <v>10080</v>
      </c>
      <c r="E79" t="s">
        <v>3028</v>
      </c>
      <c r="F79" s="676" t="s">
        <v>4040</v>
      </c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</row>
    <row r="80" spans="1:26" x14ac:dyDescent="0.25">
      <c r="B80" s="683" t="s">
        <v>4041</v>
      </c>
      <c r="D80" s="239">
        <f>3000/51*10*0.5</f>
        <v>294.11764705882354</v>
      </c>
      <c r="E80" t="s">
        <v>133</v>
      </c>
      <c r="F80" s="676" t="s">
        <v>4042</v>
      </c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</row>
    <row r="81" spans="1:26" x14ac:dyDescent="0.25">
      <c r="B81" s="683" t="s">
        <v>4043</v>
      </c>
      <c r="D81" s="239">
        <f>D80*48</f>
        <v>14117.64705882353</v>
      </c>
      <c r="E81" t="s">
        <v>3028</v>
      </c>
      <c r="F81" s="67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</row>
    <row r="82" spans="1:26" x14ac:dyDescent="0.25">
      <c r="B82" s="683" t="s">
        <v>4044</v>
      </c>
      <c r="D82" s="141">
        <v>6500</v>
      </c>
      <c r="E82" t="s">
        <v>3028</v>
      </c>
      <c r="F82" s="676" t="s">
        <v>4045</v>
      </c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</row>
    <row r="83" spans="1:26" x14ac:dyDescent="0.25">
      <c r="B83" s="683" t="s">
        <v>4046</v>
      </c>
      <c r="D83" s="239">
        <f>D82+D78</f>
        <v>12000</v>
      </c>
      <c r="E83" t="s">
        <v>3028</v>
      </c>
      <c r="F83" s="67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</row>
    <row r="84" spans="1:26" x14ac:dyDescent="0.25">
      <c r="B84" s="683" t="s">
        <v>4046</v>
      </c>
      <c r="D84" s="239">
        <f>D83/D85</f>
        <v>15000</v>
      </c>
      <c r="E84" t="s">
        <v>3878</v>
      </c>
      <c r="F84" s="676" t="s">
        <v>4047</v>
      </c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</row>
    <row r="85" spans="1:26" x14ac:dyDescent="0.25">
      <c r="B85" s="683" t="s">
        <v>4048</v>
      </c>
      <c r="D85" s="141">
        <v>0.8</v>
      </c>
      <c r="E85" s="684" t="s">
        <v>4049</v>
      </c>
      <c r="F85" s="676"/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</row>
    <row r="86" spans="1:26" x14ac:dyDescent="0.25">
      <c r="B86" s="683" t="s">
        <v>4050</v>
      </c>
      <c r="D86" s="148" t="s">
        <v>4051</v>
      </c>
      <c r="F86" s="67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</row>
    <row r="87" spans="1:26" x14ac:dyDescent="0.25">
      <c r="B87" s="683" t="s">
        <v>4052</v>
      </c>
      <c r="D87" s="681">
        <v>3</v>
      </c>
      <c r="E87" t="s">
        <v>4019</v>
      </c>
      <c r="F87" s="67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</row>
    <row r="88" spans="1:26" x14ac:dyDescent="0.25">
      <c r="B88" s="683" t="s">
        <v>4053</v>
      </c>
      <c r="D88" s="681" t="s">
        <v>4054</v>
      </c>
      <c r="F88" s="676" t="s">
        <v>4055</v>
      </c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</row>
    <row r="89" spans="1:26" x14ac:dyDescent="0.25">
      <c r="B89" s="683" t="s">
        <v>4056</v>
      </c>
      <c r="D89" s="685" t="s">
        <v>4057</v>
      </c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</row>
    <row r="90" spans="1:26" x14ac:dyDescent="0.25">
      <c r="B90" s="683" t="s">
        <v>4058</v>
      </c>
      <c r="D90" s="685" t="s">
        <v>4059</v>
      </c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</row>
    <row r="91" spans="1:26" x14ac:dyDescent="0.25"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</row>
    <row r="92" spans="1:26" x14ac:dyDescent="0.25">
      <c r="A92" s="103" t="s">
        <v>4060</v>
      </c>
      <c r="B92" s="668" t="s">
        <v>4061</v>
      </c>
      <c r="C92" s="492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</row>
    <row r="93" spans="1:26" x14ac:dyDescent="0.25">
      <c r="B93" s="683" t="s">
        <v>4062</v>
      </c>
      <c r="D93" s="148" t="s">
        <v>4063</v>
      </c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</row>
    <row r="94" spans="1:26" x14ac:dyDescent="0.25">
      <c r="A94" s="667"/>
      <c r="B94" s="683" t="s">
        <v>4064</v>
      </c>
      <c r="D94" s="681">
        <v>10.8</v>
      </c>
      <c r="E94" t="s">
        <v>3229</v>
      </c>
      <c r="G94" s="306"/>
      <c r="H94" s="306" t="s">
        <v>4065</v>
      </c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</row>
    <row r="95" spans="1:26" x14ac:dyDescent="0.25">
      <c r="B95" s="683" t="s">
        <v>4066</v>
      </c>
      <c r="D95" s="188">
        <f>MAX([1]Calculator!M18:X18)</f>
        <v>1.2563655264675062</v>
      </c>
      <c r="G95" s="306"/>
      <c r="H95" s="306" t="s">
        <v>4067</v>
      </c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</row>
    <row r="96" spans="1:26" x14ac:dyDescent="0.25">
      <c r="A96" s="667"/>
      <c r="B96" s="683" t="s">
        <v>4068</v>
      </c>
      <c r="D96" s="188">
        <f>MIN([1]Calculator!M18:X18)</f>
        <v>1.060125474570611</v>
      </c>
      <c r="G96" s="306"/>
      <c r="H96" s="306" t="s">
        <v>4069</v>
      </c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</row>
    <row r="97" spans="1:26" x14ac:dyDescent="0.25">
      <c r="A97" s="667"/>
      <c r="B97" s="683" t="s">
        <v>4070</v>
      </c>
      <c r="D97" s="148" t="s">
        <v>4071</v>
      </c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</row>
    <row r="98" spans="1:26" x14ac:dyDescent="0.25">
      <c r="A98" s="667"/>
      <c r="B98" s="683" t="s">
        <v>4072</v>
      </c>
      <c r="D98" s="188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</row>
    <row r="99" spans="1:26" x14ac:dyDescent="0.25">
      <c r="A99" s="667"/>
      <c r="B99" s="683" t="s">
        <v>4073</v>
      </c>
      <c r="D99" s="188">
        <f>MAX([1]Calculator!M16:X16)</f>
        <v>38.821026979192887</v>
      </c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</row>
    <row r="100" spans="1:26" x14ac:dyDescent="0.25">
      <c r="A100" s="667"/>
      <c r="B100" s="683" t="s">
        <v>4074</v>
      </c>
      <c r="D100" s="188">
        <f>MIN([1]Calculator!M16:X16)</f>
        <v>16.439895796903748</v>
      </c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</row>
    <row r="101" spans="1:26" x14ac:dyDescent="0.25">
      <c r="A101" s="667"/>
      <c r="B101" s="683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</row>
    <row r="102" spans="1:26" x14ac:dyDescent="0.25">
      <c r="A102" s="667" t="s">
        <v>4075</v>
      </c>
      <c r="B102" s="486" t="s">
        <v>4076</v>
      </c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</row>
    <row r="103" spans="1:26" x14ac:dyDescent="0.25">
      <c r="B103" s="66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</row>
    <row r="104" spans="1:26" x14ac:dyDescent="0.25">
      <c r="A104" s="667"/>
      <c r="B104" s="633" t="s">
        <v>4077</v>
      </c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</row>
    <row r="105" spans="1:26" x14ac:dyDescent="0.25">
      <c r="A105" s="667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</row>
    <row r="106" spans="1:26" x14ac:dyDescent="0.25">
      <c r="A106" s="667" t="s">
        <v>4078</v>
      </c>
      <c r="B106" s="486" t="s">
        <v>4079</v>
      </c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</row>
    <row r="107" spans="1:26" x14ac:dyDescent="0.25">
      <c r="B107" s="666"/>
      <c r="G107" s="306"/>
      <c r="H107" s="306" t="s">
        <v>4080</v>
      </c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</row>
    <row r="108" spans="1:26" x14ac:dyDescent="0.25">
      <c r="A108" s="667"/>
      <c r="B108" s="683" t="s">
        <v>4081</v>
      </c>
      <c r="D108" s="639">
        <f>D99/D52</f>
        <v>1.2246380750534034</v>
      </c>
      <c r="F108" s="686" t="s">
        <v>4082</v>
      </c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</row>
    <row r="109" spans="1:26" x14ac:dyDescent="0.25">
      <c r="A109" s="667"/>
      <c r="B109" s="683" t="s">
        <v>4083</v>
      </c>
      <c r="D109" s="639">
        <f>D100/D53</f>
        <v>1.060125474570611</v>
      </c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</row>
    <row r="110" spans="1:26" x14ac:dyDescent="0.25">
      <c r="A110" s="667"/>
      <c r="B110" s="633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</row>
    <row r="111" spans="1:26" x14ac:dyDescent="0.25">
      <c r="A111" s="667" t="s">
        <v>4084</v>
      </c>
      <c r="B111" s="486" t="s">
        <v>4085</v>
      </c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</row>
    <row r="112" spans="1:26" x14ac:dyDescent="0.25">
      <c r="A112" s="667"/>
      <c r="B112" s="683" t="s">
        <v>4086</v>
      </c>
      <c r="D112" s="245" t="str">
        <f>[1]Calcs!C48</f>
        <v>Victron AGM Supercycle 100Ah</v>
      </c>
      <c r="E112" s="245"/>
      <c r="G112" s="132">
        <f>D113*24/30</f>
        <v>240</v>
      </c>
      <c r="H112" s="306" t="s">
        <v>4087</v>
      </c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</row>
    <row r="113" spans="1:26" x14ac:dyDescent="0.25">
      <c r="A113" s="667"/>
      <c r="B113" s="683" t="s">
        <v>4088</v>
      </c>
      <c r="D113" s="188">
        <f>[1]Calcs!C57</f>
        <v>300</v>
      </c>
      <c r="E113" t="s">
        <v>3168</v>
      </c>
      <c r="G113" s="687">
        <f>D113+G112</f>
        <v>540</v>
      </c>
      <c r="H113" s="306" t="s">
        <v>4089</v>
      </c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</row>
    <row r="114" spans="1:26" x14ac:dyDescent="0.25">
      <c r="A114" s="667"/>
      <c r="B114" s="683" t="s">
        <v>4090</v>
      </c>
      <c r="D114" s="188">
        <f>[1]Calcs!C53</f>
        <v>48</v>
      </c>
      <c r="E114" t="s">
        <v>4021</v>
      </c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</row>
    <row r="115" spans="1:26" x14ac:dyDescent="0.25">
      <c r="A115" s="667"/>
      <c r="B115" s="683" t="s">
        <v>4091</v>
      </c>
      <c r="D115" s="188">
        <f>D52</f>
        <v>31.7</v>
      </c>
      <c r="E115" t="s">
        <v>3054</v>
      </c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</row>
    <row r="116" spans="1:26" x14ac:dyDescent="0.25">
      <c r="A116" s="667"/>
      <c r="B116" s="683" t="s">
        <v>4092</v>
      </c>
      <c r="D116" s="688">
        <f>[1]Calcs!C55</f>
        <v>1</v>
      </c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</row>
    <row r="117" spans="1:26" x14ac:dyDescent="0.25">
      <c r="A117" s="667"/>
      <c r="B117" s="683" t="s">
        <v>4093</v>
      </c>
      <c r="D117" s="257">
        <f>D114*(D113/1000)/D115</f>
        <v>0.4542586750788643</v>
      </c>
      <c r="E117" t="s">
        <v>3174</v>
      </c>
      <c r="G117" s="689">
        <f>D114*(G113/1000)/D115</f>
        <v>0.8176656151419559</v>
      </c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</row>
    <row r="118" spans="1:26" x14ac:dyDescent="0.25">
      <c r="A118" s="667"/>
      <c r="B118" s="683" t="s">
        <v>4094</v>
      </c>
      <c r="D118" s="188">
        <f>D117*24</f>
        <v>10.902208201892744</v>
      </c>
      <c r="E118" t="s">
        <v>4095</v>
      </c>
      <c r="G118" s="690">
        <f>G117*24</f>
        <v>19.623974763406942</v>
      </c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</row>
    <row r="119" spans="1:26" x14ac:dyDescent="0.25">
      <c r="A119" s="667"/>
      <c r="B119" s="683" t="s">
        <v>4096</v>
      </c>
      <c r="D119" s="188">
        <f>D114*(D113/1000)/[1]Loads!M28</f>
        <v>1.0377104943925926</v>
      </c>
      <c r="G119" s="690">
        <f>D114*(G113/1000)/[1]Loads!P28</f>
        <v>2.16</v>
      </c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</row>
    <row r="120" spans="1:26" x14ac:dyDescent="0.25">
      <c r="A120" s="667"/>
      <c r="B120" s="683" t="s">
        <v>4097</v>
      </c>
      <c r="D120" s="188">
        <v>1.06</v>
      </c>
      <c r="E120" t="s">
        <v>3174</v>
      </c>
      <c r="F120" s="676" t="s">
        <v>4098</v>
      </c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</row>
    <row r="121" spans="1:26" x14ac:dyDescent="0.25">
      <c r="A121" s="667"/>
      <c r="B121" s="633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</row>
    <row r="122" spans="1:26" x14ac:dyDescent="0.25">
      <c r="A122" s="667">
        <v>3.4</v>
      </c>
      <c r="B122" s="486" t="s">
        <v>4099</v>
      </c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</row>
    <row r="123" spans="1:26" x14ac:dyDescent="0.25">
      <c r="A123" s="667"/>
      <c r="B123" t="s">
        <v>4100</v>
      </c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</row>
    <row r="124" spans="1:26" x14ac:dyDescent="0.25">
      <c r="B124" s="683" t="s">
        <v>4101</v>
      </c>
      <c r="D124" s="681">
        <v>48</v>
      </c>
      <c r="E124" t="s">
        <v>4021</v>
      </c>
      <c r="F124" s="666" t="s">
        <v>4102</v>
      </c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</row>
    <row r="125" spans="1:26" x14ac:dyDescent="0.25">
      <c r="A125" s="103" t="s">
        <v>4103</v>
      </c>
      <c r="B125" s="683" t="s">
        <v>4104</v>
      </c>
      <c r="D125" s="691">
        <f>D109</f>
        <v>1.060125474570611</v>
      </c>
      <c r="E125" s="666" t="s">
        <v>4105</v>
      </c>
      <c r="F125" s="66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</row>
    <row r="126" spans="1:26" x14ac:dyDescent="0.25">
      <c r="B126" s="683" t="s">
        <v>4106</v>
      </c>
      <c r="D126" s="745" t="s">
        <v>4107</v>
      </c>
      <c r="E126" s="746"/>
      <c r="F126" s="747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</row>
    <row r="127" spans="1:26" x14ac:dyDescent="0.25">
      <c r="A127" s="103"/>
      <c r="B127" s="666"/>
      <c r="D127" s="748"/>
      <c r="E127" s="749"/>
      <c r="F127" s="750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</row>
    <row r="128" spans="1:26" x14ac:dyDescent="0.25">
      <c r="A128" s="103" t="s">
        <v>4108</v>
      </c>
      <c r="B128" s="683" t="s">
        <v>4109</v>
      </c>
      <c r="D128" s="666" t="s">
        <v>4110</v>
      </c>
      <c r="E128" s="666"/>
      <c r="F128" s="66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</row>
    <row r="129" spans="1:26" x14ac:dyDescent="0.25">
      <c r="A129" s="103" t="s">
        <v>4111</v>
      </c>
      <c r="B129" s="683" t="s">
        <v>4112</v>
      </c>
      <c r="D129" s="666" t="s">
        <v>4113</v>
      </c>
      <c r="E129" s="666"/>
      <c r="F129" s="66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</row>
    <row r="130" spans="1:26" x14ac:dyDescent="0.25">
      <c r="B130" s="666"/>
      <c r="D130" s="666" t="s">
        <v>4114</v>
      </c>
      <c r="E130" s="666"/>
      <c r="F130" s="66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</row>
    <row r="131" spans="1:26" x14ac:dyDescent="0.25">
      <c r="A131" s="667">
        <v>3.5</v>
      </c>
      <c r="B131" s="486" t="s">
        <v>4115</v>
      </c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</row>
    <row r="132" spans="1:26" x14ac:dyDescent="0.25">
      <c r="A132" s="667"/>
      <c r="B132" s="683" t="s">
        <v>4116</v>
      </c>
      <c r="D132" s="245" t="s">
        <v>4117</v>
      </c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</row>
    <row r="133" spans="1:26" x14ac:dyDescent="0.25">
      <c r="A133" s="667"/>
      <c r="B133" s="683" t="s">
        <v>4118</v>
      </c>
      <c r="D133" s="666" t="s">
        <v>4119</v>
      </c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</row>
    <row r="134" spans="1:26" x14ac:dyDescent="0.25">
      <c r="B134" s="683" t="s">
        <v>4118</v>
      </c>
      <c r="D134" s="666" t="s">
        <v>4120</v>
      </c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</row>
    <row r="135" spans="1:26" x14ac:dyDescent="0.25">
      <c r="B135" s="683" t="s">
        <v>4118</v>
      </c>
      <c r="D135" s="666" t="s">
        <v>4121</v>
      </c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</row>
    <row r="136" spans="1:26" x14ac:dyDescent="0.25">
      <c r="B136" s="683" t="s">
        <v>4122</v>
      </c>
      <c r="D136" s="751" t="s">
        <v>4123</v>
      </c>
      <c r="E136" s="751"/>
      <c r="F136" s="751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</row>
    <row r="137" spans="1:26" x14ac:dyDescent="0.25">
      <c r="D137" s="751"/>
      <c r="E137" s="751"/>
      <c r="F137" s="751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1:26" x14ac:dyDescent="0.25">
      <c r="D138" s="751"/>
      <c r="E138" s="751"/>
      <c r="F138" s="751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</row>
    <row r="139" spans="1:26" x14ac:dyDescent="0.25">
      <c r="G139" s="306"/>
      <c r="H139" s="306"/>
      <c r="I139" s="306" t="s">
        <v>4124</v>
      </c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</row>
    <row r="140" spans="1:26" x14ac:dyDescent="0.25">
      <c r="A140" s="667">
        <v>3.6</v>
      </c>
      <c r="B140" s="486" t="s">
        <v>4125</v>
      </c>
      <c r="G140" s="306"/>
      <c r="H140" s="306"/>
      <c r="I140" s="306" t="s">
        <v>4126</v>
      </c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</row>
    <row r="141" spans="1:26" x14ac:dyDescent="0.25">
      <c r="A141" s="667"/>
      <c r="B141" s="683" t="s">
        <v>4127</v>
      </c>
      <c r="D141" s="681">
        <v>125</v>
      </c>
      <c r="E141" t="s">
        <v>4128</v>
      </c>
      <c r="G141" s="306"/>
      <c r="H141" s="306"/>
      <c r="I141" s="306" t="s">
        <v>4129</v>
      </c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</row>
    <row r="142" spans="1:26" x14ac:dyDescent="0.25">
      <c r="B142" s="683" t="s">
        <v>4127</v>
      </c>
      <c r="D142" s="681">
        <v>125</v>
      </c>
      <c r="E142" t="s">
        <v>4130</v>
      </c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</row>
    <row r="143" spans="1:26" x14ac:dyDescent="0.25">
      <c r="B143" s="683" t="s">
        <v>4127</v>
      </c>
      <c r="D143" s="681">
        <v>400</v>
      </c>
      <c r="E143" t="s">
        <v>4131</v>
      </c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</row>
    <row r="144" spans="1:26" x14ac:dyDescent="0.25">
      <c r="A144" s="667"/>
      <c r="B144" s="683" t="s">
        <v>4127</v>
      </c>
      <c r="D144" s="681">
        <v>60</v>
      </c>
      <c r="E144" t="s">
        <v>4132</v>
      </c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</row>
    <row r="145" spans="1:26" x14ac:dyDescent="0.25">
      <c r="A145" s="667"/>
      <c r="B145" s="683" t="s">
        <v>4133</v>
      </c>
      <c r="D145" s="681">
        <v>25</v>
      </c>
      <c r="E145" t="s">
        <v>4134</v>
      </c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</row>
    <row r="146" spans="1:26" x14ac:dyDescent="0.25">
      <c r="A146" s="667"/>
      <c r="B146" s="683" t="s">
        <v>4133</v>
      </c>
      <c r="D146" s="681">
        <v>20</v>
      </c>
      <c r="E146" t="s">
        <v>4134</v>
      </c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</row>
    <row r="147" spans="1:26" x14ac:dyDescent="0.25">
      <c r="A147" s="667"/>
      <c r="B147" s="683" t="s">
        <v>4133</v>
      </c>
      <c r="D147" t="s">
        <v>4135</v>
      </c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</row>
    <row r="148" spans="1:26" x14ac:dyDescent="0.25">
      <c r="A148" s="667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</row>
    <row r="149" spans="1:26" x14ac:dyDescent="0.25">
      <c r="A149" s="667">
        <v>4.2</v>
      </c>
      <c r="B149" s="486" t="s">
        <v>4136</v>
      </c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</row>
    <row r="150" spans="1:26" x14ac:dyDescent="0.25">
      <c r="A150" s="103" t="s">
        <v>4137</v>
      </c>
      <c r="B150" s="633" t="s">
        <v>4138</v>
      </c>
      <c r="D150" t="s">
        <v>4139</v>
      </c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</row>
    <row r="151" spans="1:26" x14ac:dyDescent="0.25">
      <c r="A151" s="667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</row>
    <row r="152" spans="1:26" x14ac:dyDescent="0.25">
      <c r="A152" s="667">
        <v>4.5</v>
      </c>
      <c r="B152" s="486" t="s">
        <v>4140</v>
      </c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</row>
    <row r="153" spans="1:26" x14ac:dyDescent="0.25">
      <c r="A153" s="667"/>
      <c r="B153" t="s">
        <v>4141</v>
      </c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</row>
    <row r="154" spans="1:26" ht="16.5" hidden="1" customHeight="1" x14ac:dyDescent="0.25">
      <c r="A154" s="667">
        <v>4.5999999999999996</v>
      </c>
      <c r="B154" s="486" t="s">
        <v>4142</v>
      </c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</row>
    <row r="155" spans="1:26" x14ac:dyDescent="0.25">
      <c r="A155" s="667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</row>
    <row r="156" spans="1:26" x14ac:dyDescent="0.25">
      <c r="A156" s="667">
        <v>4.5999999999999996</v>
      </c>
      <c r="B156" s="486" t="s">
        <v>3135</v>
      </c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</row>
    <row r="157" spans="1:26" x14ac:dyDescent="0.25">
      <c r="A157" s="667"/>
      <c r="B157" t="s">
        <v>4143</v>
      </c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</row>
    <row r="158" spans="1:26" x14ac:dyDescent="0.25">
      <c r="A158" s="667"/>
      <c r="B158" t="s">
        <v>4144</v>
      </c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</row>
    <row r="159" spans="1:26" x14ac:dyDescent="0.25">
      <c r="A159" s="667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</row>
    <row r="160" spans="1:26" x14ac:dyDescent="0.25">
      <c r="A160" s="667">
        <v>5</v>
      </c>
      <c r="B160" s="486" t="s">
        <v>4145</v>
      </c>
      <c r="D160" s="103" t="s">
        <v>4146</v>
      </c>
      <c r="E160" s="103" t="s">
        <v>4147</v>
      </c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</row>
    <row r="161" spans="1:26" x14ac:dyDescent="0.25">
      <c r="A161" s="103" t="s">
        <v>4148</v>
      </c>
      <c r="B161" t="s">
        <v>4149</v>
      </c>
      <c r="D161" s="239">
        <f>[1]Loads!L9</f>
        <v>29.76</v>
      </c>
      <c r="E161" s="239">
        <f>[1]Loads!M9</f>
        <v>31.7</v>
      </c>
      <c r="F161" t="s">
        <v>3229</v>
      </c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</row>
    <row r="162" spans="1:26" x14ac:dyDescent="0.25">
      <c r="A162" s="103" t="s">
        <v>4150</v>
      </c>
      <c r="B162" t="s">
        <v>4151</v>
      </c>
      <c r="D162" t="s">
        <v>4152</v>
      </c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</row>
    <row r="163" spans="1:26" x14ac:dyDescent="0.25">
      <c r="A163" s="103" t="s">
        <v>4153</v>
      </c>
      <c r="B163" t="s">
        <v>4154</v>
      </c>
      <c r="D163" s="188">
        <f>MAX([1]Loads!U10:U34)</f>
        <v>3.24</v>
      </c>
      <c r="E163" t="s">
        <v>3229</v>
      </c>
      <c r="F163" s="673" t="s">
        <v>4155</v>
      </c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</row>
    <row r="164" spans="1:26" x14ac:dyDescent="0.25">
      <c r="A164" s="103" t="s">
        <v>4156</v>
      </c>
      <c r="B164" t="s">
        <v>4157</v>
      </c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</row>
    <row r="165" spans="1:26" x14ac:dyDescent="0.25"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</row>
    <row r="166" spans="1:26" x14ac:dyDescent="0.25">
      <c r="A166" s="103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</row>
    <row r="167" spans="1:26" x14ac:dyDescent="0.25">
      <c r="A167" s="103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</row>
    <row r="168" spans="1:26" x14ac:dyDescent="0.25">
      <c r="A168" s="103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</row>
    <row r="169" spans="1:26" x14ac:dyDescent="0.25">
      <c r="A169" s="103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</row>
    <row r="170" spans="1:26" x14ac:dyDescent="0.25">
      <c r="A170" s="103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</row>
    <row r="171" spans="1:26" x14ac:dyDescent="0.25">
      <c r="A171" s="103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</row>
    <row r="172" spans="1:26" x14ac:dyDescent="0.25"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</row>
    <row r="173" spans="1:26" x14ac:dyDescent="0.25"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</row>
    <row r="174" spans="1:26" x14ac:dyDescent="0.25"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</row>
    <row r="175" spans="1:26" x14ac:dyDescent="0.25"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</row>
    <row r="176" spans="1:26" x14ac:dyDescent="0.25"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</row>
    <row r="177" spans="1:26" x14ac:dyDescent="0.25">
      <c r="A177" s="667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</row>
    <row r="178" spans="1:26" x14ac:dyDescent="0.25">
      <c r="A178" s="667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</row>
    <row r="179" spans="1:26" x14ac:dyDescent="0.25">
      <c r="A179" s="103" t="s">
        <v>4158</v>
      </c>
      <c r="B179" t="s">
        <v>4159</v>
      </c>
      <c r="D179" s="639">
        <v>0.95</v>
      </c>
      <c r="E179" t="s">
        <v>4160</v>
      </c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</row>
    <row r="180" spans="1:26" x14ac:dyDescent="0.25">
      <c r="D180" s="639">
        <f>1-D179</f>
        <v>5.0000000000000044E-2</v>
      </c>
      <c r="E180" t="s">
        <v>4161</v>
      </c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</row>
    <row r="181" spans="1:26" x14ac:dyDescent="0.25">
      <c r="A181" s="103" t="s">
        <v>4162</v>
      </c>
      <c r="B181" t="s">
        <v>4163</v>
      </c>
      <c r="D181" s="239">
        <f>J181*D180</f>
        <v>16.800000000000015</v>
      </c>
      <c r="E181" t="s">
        <v>4164</v>
      </c>
      <c r="F181" s="673" t="s">
        <v>4165</v>
      </c>
      <c r="G181" s="306"/>
      <c r="H181" s="563">
        <v>14</v>
      </c>
      <c r="I181" s="563">
        <v>24</v>
      </c>
      <c r="J181" s="563">
        <f>H181*I181</f>
        <v>336</v>
      </c>
      <c r="K181" s="563" t="s">
        <v>4166</v>
      </c>
      <c r="L181" s="563"/>
      <c r="M181" s="563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</row>
    <row r="182" spans="1:26" x14ac:dyDescent="0.25">
      <c r="A182" s="103" t="s">
        <v>4167</v>
      </c>
      <c r="B182" t="s">
        <v>4168</v>
      </c>
      <c r="D182" t="s">
        <v>4169</v>
      </c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</row>
    <row r="183" spans="1:26" x14ac:dyDescent="0.25">
      <c r="A183" s="103" t="s">
        <v>4170</v>
      </c>
      <c r="B183" t="s">
        <v>4101</v>
      </c>
      <c r="D183" s="681" t="s">
        <v>4171</v>
      </c>
      <c r="E183" s="681" t="s">
        <v>4172</v>
      </c>
      <c r="F183" t="s">
        <v>4173</v>
      </c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</row>
    <row r="184" spans="1:26" x14ac:dyDescent="0.25">
      <c r="A184" s="103" t="s">
        <v>4174</v>
      </c>
      <c r="B184" t="s">
        <v>4175</v>
      </c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</row>
    <row r="185" spans="1:26" x14ac:dyDescent="0.25">
      <c r="A185" s="667"/>
      <c r="C185" s="692" t="s">
        <v>4176</v>
      </c>
      <c r="D185" s="681">
        <v>12</v>
      </c>
      <c r="E185" t="s">
        <v>3229</v>
      </c>
      <c r="F185" s="673" t="s">
        <v>4177</v>
      </c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</row>
    <row r="186" spans="1:26" x14ac:dyDescent="0.25">
      <c r="A186" s="667"/>
      <c r="C186" s="692" t="s">
        <v>4178</v>
      </c>
      <c r="D186" s="681">
        <v>100</v>
      </c>
      <c r="E186" t="s">
        <v>133</v>
      </c>
      <c r="F186" s="673" t="s">
        <v>4179</v>
      </c>
      <c r="G186" s="306"/>
      <c r="H186" s="306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</row>
    <row r="187" spans="1:26" x14ac:dyDescent="0.25">
      <c r="A187" s="667"/>
      <c r="C187" s="692" t="s">
        <v>4180</v>
      </c>
      <c r="D187" s="681">
        <v>5</v>
      </c>
      <c r="E187" t="s">
        <v>3229</v>
      </c>
      <c r="F187" s="673" t="s">
        <v>4181</v>
      </c>
      <c r="G187" s="306"/>
      <c r="H187" s="306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6"/>
      <c r="Y187" s="306"/>
      <c r="Z187" s="306"/>
    </row>
    <row r="188" spans="1:26" x14ac:dyDescent="0.25"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</row>
    <row r="189" spans="1:26" x14ac:dyDescent="0.25">
      <c r="A189" s="392"/>
      <c r="B189" s="693" t="str">
        <f>[1]Calculator!D3</f>
        <v>EC114</v>
      </c>
      <c r="C189" s="693" t="str">
        <f>[1]Calculator!J1</f>
        <v>Rev A</v>
      </c>
      <c r="D189" s="392"/>
      <c r="E189" s="392"/>
      <c r="F189" s="392"/>
      <c r="G189" s="306"/>
      <c r="H189" s="306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6"/>
      <c r="Y189" s="306"/>
      <c r="Z189" s="306"/>
    </row>
    <row r="190" spans="1:26" ht="15.75" x14ac:dyDescent="0.25">
      <c r="A190" s="694"/>
      <c r="B190" s="695" t="s">
        <v>4182</v>
      </c>
      <c r="C190" s="392"/>
      <c r="D190" s="392"/>
      <c r="E190" s="392"/>
      <c r="F190" s="392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06"/>
      <c r="R190" s="306"/>
      <c r="S190" s="306"/>
      <c r="T190" s="306"/>
      <c r="U190" s="306"/>
      <c r="V190" s="306"/>
      <c r="W190" s="306"/>
      <c r="X190" s="306"/>
      <c r="Y190" s="306"/>
      <c r="Z190" s="306"/>
    </row>
    <row r="191" spans="1:26" x14ac:dyDescent="0.25">
      <c r="G191" s="306"/>
      <c r="H191" s="306"/>
      <c r="I191" s="306"/>
      <c r="J191" s="306"/>
      <c r="K191" s="306"/>
      <c r="L191" s="306"/>
      <c r="M191" s="306"/>
      <c r="N191" s="306"/>
      <c r="O191" s="306"/>
      <c r="P191" s="306"/>
      <c r="Q191" s="306"/>
      <c r="R191" s="306"/>
      <c r="S191" s="306"/>
      <c r="T191" s="306"/>
      <c r="U191" s="306"/>
      <c r="V191" s="306"/>
      <c r="W191" s="306"/>
      <c r="X191" s="306"/>
      <c r="Y191" s="306"/>
      <c r="Z191" s="306"/>
    </row>
    <row r="192" spans="1:26" x14ac:dyDescent="0.25">
      <c r="B192" s="486" t="s">
        <v>4183</v>
      </c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06"/>
      <c r="R192" s="306"/>
      <c r="S192" s="306"/>
      <c r="T192" s="306"/>
      <c r="U192" s="306"/>
      <c r="V192" s="306"/>
      <c r="W192" s="306"/>
      <c r="X192" s="306"/>
      <c r="Y192" s="306"/>
      <c r="Z192" s="306"/>
    </row>
    <row r="193" spans="1:26" x14ac:dyDescent="0.25">
      <c r="A193" s="667"/>
      <c r="B193" t="s">
        <v>4184</v>
      </c>
      <c r="D193" s="681">
        <v>7</v>
      </c>
      <c r="E193" t="s">
        <v>4185</v>
      </c>
      <c r="G193" s="306"/>
      <c r="H193" s="306"/>
      <c r="I193" s="306"/>
      <c r="J193" s="306"/>
      <c r="K193" s="306"/>
      <c r="L193" s="306"/>
      <c r="M193" s="306"/>
      <c r="N193" s="306"/>
      <c r="O193" s="306"/>
      <c r="P193" s="306"/>
      <c r="Q193" s="306"/>
      <c r="R193" s="306"/>
      <c r="S193" s="306"/>
      <c r="T193" s="306"/>
      <c r="U193" s="306"/>
      <c r="V193" s="306"/>
      <c r="W193" s="306"/>
      <c r="X193" s="306"/>
      <c r="Y193" s="306"/>
      <c r="Z193" s="306"/>
    </row>
    <row r="194" spans="1:26" x14ac:dyDescent="0.25">
      <c r="A194" s="667"/>
      <c r="B194" t="s">
        <v>4186</v>
      </c>
      <c r="D194" s="681">
        <v>4</v>
      </c>
      <c r="E194" t="s">
        <v>4187</v>
      </c>
      <c r="G194" s="306"/>
      <c r="H194" s="306"/>
      <c r="I194" s="306"/>
      <c r="J194" s="306"/>
      <c r="K194" s="306"/>
      <c r="L194" s="306"/>
      <c r="M194" s="306"/>
      <c r="N194" s="306"/>
      <c r="O194" s="306"/>
      <c r="P194" s="306"/>
      <c r="Q194" s="306"/>
      <c r="R194" s="306"/>
      <c r="S194" s="306"/>
      <c r="T194" s="306"/>
      <c r="U194" s="306"/>
      <c r="V194" s="306"/>
      <c r="W194" s="306"/>
      <c r="X194" s="306"/>
      <c r="Y194" s="306"/>
      <c r="Z194" s="306"/>
    </row>
    <row r="195" spans="1:26" x14ac:dyDescent="0.25">
      <c r="A195" s="103"/>
      <c r="D195" s="188">
        <f>D194+D193</f>
        <v>11</v>
      </c>
      <c r="E195" t="s">
        <v>4188</v>
      </c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</row>
    <row r="196" spans="1:26" x14ac:dyDescent="0.25">
      <c r="A196" s="103"/>
      <c r="B196" s="696" t="s">
        <v>4189</v>
      </c>
      <c r="G196" s="306"/>
      <c r="H196" s="306"/>
      <c r="I196" s="306"/>
      <c r="J196" s="306"/>
      <c r="K196" s="306"/>
      <c r="L196" s="306"/>
      <c r="M196" s="306"/>
      <c r="N196" s="306"/>
      <c r="O196" s="306"/>
      <c r="P196" s="306"/>
      <c r="Q196" s="306"/>
      <c r="R196" s="306"/>
      <c r="S196" s="306"/>
      <c r="T196" s="306"/>
      <c r="U196" s="306"/>
      <c r="V196" s="306"/>
      <c r="W196" s="306"/>
      <c r="X196" s="306"/>
      <c r="Y196" s="306"/>
      <c r="Z196" s="306"/>
    </row>
    <row r="197" spans="1:26" x14ac:dyDescent="0.25">
      <c r="A197" s="103"/>
      <c r="G197" s="306"/>
      <c r="H197" s="306"/>
      <c r="I197" s="306"/>
      <c r="J197" s="306"/>
      <c r="K197" s="306"/>
      <c r="L197" s="306"/>
      <c r="M197" s="306"/>
      <c r="N197" s="306"/>
      <c r="O197" s="306"/>
      <c r="P197" s="306"/>
      <c r="Q197" s="306"/>
      <c r="R197" s="306"/>
      <c r="S197" s="306"/>
      <c r="T197" s="306"/>
      <c r="U197" s="306"/>
      <c r="V197" s="306"/>
      <c r="W197" s="306"/>
      <c r="X197" s="306"/>
      <c r="Y197" s="306"/>
      <c r="Z197" s="306"/>
    </row>
    <row r="198" spans="1:26" x14ac:dyDescent="0.25">
      <c r="G198" s="306"/>
      <c r="H198" s="306"/>
      <c r="I198" s="306"/>
      <c r="J198" s="306"/>
      <c r="K198" s="306"/>
      <c r="L198" s="306"/>
      <c r="M198" s="306"/>
      <c r="N198" s="306"/>
      <c r="O198" s="306"/>
      <c r="P198" s="306"/>
      <c r="Q198" s="306"/>
      <c r="R198" s="306"/>
      <c r="S198" s="306"/>
      <c r="T198" s="306"/>
      <c r="U198" s="306"/>
      <c r="V198" s="306"/>
      <c r="W198" s="306"/>
      <c r="X198" s="306"/>
      <c r="Y198" s="306"/>
      <c r="Z198" s="306"/>
    </row>
    <row r="199" spans="1:26" x14ac:dyDescent="0.25">
      <c r="G199" s="306"/>
      <c r="H199" s="306"/>
      <c r="I199" s="306"/>
      <c r="J199" s="306"/>
      <c r="K199" s="306"/>
      <c r="L199" s="306"/>
      <c r="M199" s="306"/>
      <c r="N199" s="306"/>
      <c r="O199" s="306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</row>
    <row r="200" spans="1:26" x14ac:dyDescent="0.25">
      <c r="G200" s="306"/>
      <c r="H200" s="306"/>
      <c r="I200" s="306"/>
      <c r="J200" s="306"/>
      <c r="K200" s="306"/>
      <c r="L200" s="306"/>
      <c r="M200" s="306"/>
      <c r="N200" s="306"/>
      <c r="O200" s="306"/>
      <c r="P200" s="306"/>
      <c r="Q200" s="306"/>
      <c r="R200" s="306"/>
      <c r="S200" s="306"/>
      <c r="T200" s="306"/>
      <c r="U200" s="306"/>
      <c r="V200" s="306"/>
      <c r="W200" s="306"/>
      <c r="X200" s="306"/>
      <c r="Y200" s="306"/>
      <c r="Z200" s="306"/>
    </row>
    <row r="201" spans="1:26" x14ac:dyDescent="0.25">
      <c r="G201" s="306"/>
      <c r="H201" s="306"/>
      <c r="I201" s="306"/>
      <c r="J201" s="306"/>
      <c r="K201" s="306"/>
      <c r="L201" s="306"/>
      <c r="M201" s="306"/>
      <c r="N201" s="306"/>
      <c r="O201" s="306"/>
      <c r="P201" s="306"/>
      <c r="Q201" s="306"/>
      <c r="R201" s="306"/>
      <c r="S201" s="306"/>
      <c r="T201" s="306"/>
      <c r="U201" s="306"/>
      <c r="V201" s="306"/>
      <c r="W201" s="306"/>
      <c r="X201" s="306"/>
      <c r="Y201" s="306"/>
      <c r="Z201" s="306"/>
    </row>
    <row r="202" spans="1:26" x14ac:dyDescent="0.25">
      <c r="G202" s="306"/>
      <c r="H202" s="306"/>
      <c r="I202" s="306"/>
      <c r="J202" s="306"/>
      <c r="K202" s="306"/>
      <c r="L202" s="306"/>
      <c r="M202" s="306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</row>
    <row r="203" spans="1:26" x14ac:dyDescent="0.25">
      <c r="B203" t="s">
        <v>4190</v>
      </c>
      <c r="D203" s="681">
        <v>7</v>
      </c>
      <c r="E203" t="s">
        <v>4185</v>
      </c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</row>
    <row r="204" spans="1:26" x14ac:dyDescent="0.25">
      <c r="B204" t="s">
        <v>4190</v>
      </c>
      <c r="D204" s="681">
        <v>4</v>
      </c>
      <c r="E204" t="s">
        <v>4187</v>
      </c>
      <c r="G204" s="306"/>
      <c r="H204" s="306"/>
      <c r="I204" s="306"/>
      <c r="J204" s="306"/>
      <c r="K204" s="306"/>
      <c r="L204" s="306"/>
      <c r="M204" s="306"/>
      <c r="N204" s="306"/>
      <c r="O204" s="306"/>
      <c r="P204" s="306"/>
      <c r="Q204" s="306"/>
      <c r="R204" s="306"/>
      <c r="S204" s="306"/>
      <c r="T204" s="306"/>
      <c r="U204" s="306"/>
      <c r="V204" s="306"/>
      <c r="W204" s="306"/>
      <c r="X204" s="306"/>
      <c r="Y204" s="306"/>
      <c r="Z204" s="306"/>
    </row>
    <row r="205" spans="1:26" x14ac:dyDescent="0.25">
      <c r="B205" t="s">
        <v>4191</v>
      </c>
      <c r="D205" s="188">
        <f>D204+D203</f>
        <v>11</v>
      </c>
      <c r="E205" t="s">
        <v>4188</v>
      </c>
      <c r="G205" s="306"/>
      <c r="H205" s="306"/>
      <c r="I205" s="306"/>
      <c r="J205" s="306"/>
      <c r="K205" s="306"/>
      <c r="L205" s="306"/>
      <c r="M205" s="306"/>
      <c r="N205" s="306"/>
      <c r="O205" s="306"/>
      <c r="P205" s="306"/>
      <c r="Q205" s="306"/>
      <c r="R205" s="306"/>
      <c r="S205" s="306"/>
      <c r="T205" s="306"/>
      <c r="U205" s="306"/>
      <c r="V205" s="306"/>
      <c r="W205" s="306"/>
      <c r="X205" s="306"/>
      <c r="Y205" s="306"/>
      <c r="Z205" s="306"/>
    </row>
    <row r="206" spans="1:26" x14ac:dyDescent="0.25"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V206" s="306"/>
      <c r="W206" s="306"/>
      <c r="X206" s="306"/>
      <c r="Y206" s="306"/>
      <c r="Z206" s="306"/>
    </row>
    <row r="207" spans="1:26" x14ac:dyDescent="0.25"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W207" s="306"/>
      <c r="X207" s="306"/>
      <c r="Y207" s="306"/>
      <c r="Z207" s="306"/>
    </row>
    <row r="208" spans="1:26" x14ac:dyDescent="0.25">
      <c r="G208" s="306"/>
      <c r="H208" s="306"/>
      <c r="I208" s="306"/>
      <c r="J208" s="306"/>
      <c r="K208" s="306"/>
      <c r="L208" s="306"/>
      <c r="M208" s="306"/>
      <c r="N208" s="306"/>
      <c r="O208" s="306"/>
      <c r="P208" s="306"/>
      <c r="Q208" s="306"/>
      <c r="R208" s="306"/>
      <c r="S208" s="306"/>
      <c r="T208" s="306"/>
      <c r="U208" s="306"/>
      <c r="V208" s="306"/>
      <c r="W208" s="306"/>
      <c r="X208" s="306"/>
      <c r="Y208" s="306"/>
      <c r="Z208" s="306"/>
    </row>
    <row r="209" spans="2:26" x14ac:dyDescent="0.25"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6"/>
      <c r="Y209" s="306"/>
      <c r="Z209" s="306"/>
    </row>
    <row r="210" spans="2:26" x14ac:dyDescent="0.25">
      <c r="B210" t="s">
        <v>4192</v>
      </c>
      <c r="D210" s="681">
        <v>15</v>
      </c>
      <c r="E210" t="s">
        <v>4193</v>
      </c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306"/>
      <c r="R210" s="306"/>
      <c r="S210" s="306"/>
      <c r="T210" s="306"/>
      <c r="U210" s="306"/>
      <c r="V210" s="306"/>
      <c r="W210" s="306"/>
      <c r="X210" s="306"/>
      <c r="Y210" s="306"/>
      <c r="Z210" s="306"/>
    </row>
    <row r="211" spans="2:26" x14ac:dyDescent="0.25">
      <c r="B211" t="s">
        <v>4194</v>
      </c>
      <c r="D211" s="681">
        <v>15</v>
      </c>
      <c r="E211" t="s">
        <v>4195</v>
      </c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306"/>
      <c r="R211" s="306"/>
      <c r="S211" s="306"/>
      <c r="T211" s="306"/>
      <c r="U211" s="306"/>
      <c r="V211" s="306"/>
      <c r="W211" s="306"/>
      <c r="X211" s="306"/>
      <c r="Y211" s="306"/>
      <c r="Z211" s="306"/>
    </row>
    <row r="212" spans="2:26" x14ac:dyDescent="0.25">
      <c r="D212" s="188">
        <f>D211+D210</f>
        <v>30</v>
      </c>
      <c r="E212" t="s">
        <v>4196</v>
      </c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</row>
    <row r="213" spans="2:26" x14ac:dyDescent="0.25">
      <c r="D213" t="s">
        <v>4197</v>
      </c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306"/>
      <c r="R213" s="306"/>
      <c r="S213" s="306"/>
      <c r="T213" s="306"/>
      <c r="U213" s="306"/>
      <c r="V213" s="306"/>
      <c r="W213" s="306"/>
      <c r="X213" s="306"/>
      <c r="Y213" s="306"/>
      <c r="Z213" s="306"/>
    </row>
    <row r="214" spans="2:26" x14ac:dyDescent="0.25"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306"/>
      <c r="R214" s="306"/>
      <c r="S214" s="306"/>
      <c r="T214" s="306"/>
      <c r="U214" s="306"/>
      <c r="V214" s="306"/>
      <c r="W214" s="306"/>
      <c r="X214" s="306"/>
      <c r="Y214" s="306"/>
      <c r="Z214" s="306"/>
    </row>
    <row r="215" spans="2:26" x14ac:dyDescent="0.25"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306"/>
      <c r="R215" s="306"/>
      <c r="S215" s="306"/>
      <c r="T215" s="306"/>
      <c r="U215" s="306"/>
      <c r="V215" s="306"/>
      <c r="W215" s="306"/>
      <c r="X215" s="306"/>
      <c r="Y215" s="306"/>
      <c r="Z215" s="306"/>
    </row>
    <row r="216" spans="2:26" x14ac:dyDescent="0.25"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306"/>
      <c r="R216" s="306"/>
      <c r="S216" s="306"/>
      <c r="T216" s="306"/>
      <c r="U216" s="306"/>
      <c r="V216" s="306"/>
      <c r="W216" s="306"/>
      <c r="X216" s="306"/>
      <c r="Y216" s="306"/>
      <c r="Z216" s="306"/>
    </row>
    <row r="217" spans="2:26" x14ac:dyDescent="0.25">
      <c r="B217" t="s">
        <v>4198</v>
      </c>
      <c r="D217" s="681">
        <v>5</v>
      </c>
      <c r="E217" t="s">
        <v>4199</v>
      </c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306"/>
      <c r="R217" s="306"/>
      <c r="S217" s="306"/>
      <c r="T217" s="306"/>
      <c r="U217" s="306"/>
      <c r="V217" s="306"/>
      <c r="W217" s="306"/>
      <c r="X217" s="306"/>
      <c r="Y217" s="306"/>
      <c r="Z217" s="306"/>
    </row>
    <row r="218" spans="2:26" x14ac:dyDescent="0.25">
      <c r="B218" s="696" t="s">
        <v>4200</v>
      </c>
      <c r="D218" s="681">
        <v>5</v>
      </c>
      <c r="E218" t="s">
        <v>4201</v>
      </c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306"/>
      <c r="R218" s="306"/>
      <c r="S218" s="306"/>
      <c r="T218" s="306"/>
      <c r="U218" s="306"/>
      <c r="V218" s="306"/>
      <c r="W218" s="306"/>
      <c r="X218" s="306"/>
      <c r="Y218" s="306"/>
      <c r="Z218" s="306"/>
    </row>
    <row r="219" spans="2:26" x14ac:dyDescent="0.25">
      <c r="B219" s="696" t="s">
        <v>4202</v>
      </c>
      <c r="D219" s="188">
        <f>D218+D217</f>
        <v>10</v>
      </c>
      <c r="E219" t="s">
        <v>4203</v>
      </c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306"/>
      <c r="S219" s="306"/>
      <c r="T219" s="306"/>
      <c r="U219" s="306"/>
      <c r="V219" s="306"/>
      <c r="W219" s="306"/>
      <c r="X219" s="306"/>
      <c r="Y219" s="306"/>
      <c r="Z219" s="306"/>
    </row>
    <row r="220" spans="2:26" x14ac:dyDescent="0.25"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6"/>
      <c r="Y220" s="306"/>
      <c r="Z220" s="306"/>
    </row>
    <row r="221" spans="2:26" x14ac:dyDescent="0.25">
      <c r="B221" s="486" t="s">
        <v>4204</v>
      </c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6"/>
      <c r="Y221" s="306"/>
      <c r="Z221" s="306"/>
    </row>
    <row r="222" spans="2:26" x14ac:dyDescent="0.25">
      <c r="B222" s="666" t="s">
        <v>4205</v>
      </c>
      <c r="D222" s="195">
        <f>[1]Calculator!E12</f>
        <v>25</v>
      </c>
      <c r="E222" s="697" t="s">
        <v>3039</v>
      </c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6"/>
      <c r="Y222" s="306"/>
      <c r="Z222" s="306"/>
    </row>
    <row r="223" spans="2:26" x14ac:dyDescent="0.25">
      <c r="B223" s="666" t="s">
        <v>4206</v>
      </c>
      <c r="C223" s="698" t="str">
        <f>ROUND(D223/24,1)&amp;" days"</f>
        <v>1 days</v>
      </c>
      <c r="D223" s="188">
        <f>[1]Calculator!E16/'Load-calcs'!D55*24</f>
        <v>24.905051865422223</v>
      </c>
      <c r="E223" s="666" t="s">
        <v>4207</v>
      </c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306"/>
      <c r="R223" s="306"/>
      <c r="S223" s="306"/>
      <c r="T223" s="306"/>
      <c r="U223" s="306"/>
      <c r="V223" s="306"/>
      <c r="W223" s="306"/>
      <c r="X223" s="306"/>
      <c r="Y223" s="306"/>
      <c r="Z223" s="306"/>
    </row>
    <row r="224" spans="2:26" x14ac:dyDescent="0.25"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306"/>
      <c r="R224" s="306"/>
      <c r="S224" s="306"/>
      <c r="T224" s="306"/>
      <c r="U224" s="306"/>
      <c r="V224" s="306"/>
      <c r="W224" s="306"/>
      <c r="X224" s="306"/>
      <c r="Y224" s="306"/>
      <c r="Z224" s="306"/>
    </row>
    <row r="225" spans="2:26" x14ac:dyDescent="0.25">
      <c r="B225" s="486" t="s">
        <v>4208</v>
      </c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</row>
    <row r="226" spans="2:26" x14ac:dyDescent="0.25">
      <c r="C226" t="s">
        <v>4209</v>
      </c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306"/>
      <c r="R226" s="306"/>
      <c r="S226" s="306"/>
      <c r="T226" s="306"/>
      <c r="U226" s="306"/>
      <c r="V226" s="306"/>
      <c r="W226" s="306"/>
      <c r="X226" s="306"/>
      <c r="Y226" s="306"/>
      <c r="Z226" s="306"/>
    </row>
    <row r="227" spans="2:26" x14ac:dyDescent="0.25">
      <c r="C227" t="s">
        <v>4210</v>
      </c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306"/>
      <c r="R227" s="306"/>
      <c r="S227" s="306"/>
      <c r="T227" s="306"/>
      <c r="U227" s="306"/>
      <c r="V227" s="306"/>
      <c r="W227" s="306"/>
      <c r="X227" s="306"/>
      <c r="Y227" s="306"/>
      <c r="Z227" s="306"/>
    </row>
    <row r="228" spans="2:26" x14ac:dyDescent="0.25">
      <c r="C228" t="s">
        <v>4211</v>
      </c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306"/>
      <c r="R228" s="306"/>
      <c r="S228" s="306"/>
      <c r="T228" s="306"/>
      <c r="U228" s="306"/>
      <c r="V228" s="306"/>
      <c r="W228" s="306"/>
      <c r="X228" s="306"/>
      <c r="Y228" s="306"/>
      <c r="Z228" s="306"/>
    </row>
    <row r="229" spans="2:26" x14ac:dyDescent="0.25">
      <c r="C229" t="s">
        <v>4212</v>
      </c>
      <c r="D229" s="66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306"/>
      <c r="R229" s="306"/>
      <c r="S229" s="306"/>
      <c r="T229" s="306"/>
      <c r="U229" s="306"/>
      <c r="V229" s="306"/>
      <c r="W229" s="306"/>
      <c r="X229" s="306"/>
      <c r="Y229" s="306"/>
      <c r="Z229" s="306"/>
    </row>
    <row r="230" spans="2:26" x14ac:dyDescent="0.25">
      <c r="C230" t="s">
        <v>4213</v>
      </c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306"/>
      <c r="R230" s="306"/>
      <c r="S230" s="306"/>
      <c r="T230" s="306"/>
      <c r="U230" s="306"/>
      <c r="V230" s="306"/>
      <c r="W230" s="306"/>
      <c r="X230" s="306"/>
      <c r="Y230" s="306"/>
      <c r="Z230" s="306"/>
    </row>
    <row r="231" spans="2:26" x14ac:dyDescent="0.25"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306"/>
      <c r="R231" s="306"/>
      <c r="S231" s="306"/>
      <c r="T231" s="306"/>
      <c r="U231" s="306"/>
      <c r="V231" s="306"/>
      <c r="W231" s="306"/>
      <c r="X231" s="306"/>
      <c r="Y231" s="306"/>
      <c r="Z231" s="306"/>
    </row>
    <row r="232" spans="2:26" x14ac:dyDescent="0.25">
      <c r="B232" s="486" t="s">
        <v>4214</v>
      </c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306"/>
      <c r="R232" s="306"/>
      <c r="S232" s="306"/>
      <c r="T232" s="306"/>
      <c r="U232" s="306"/>
      <c r="V232" s="306"/>
      <c r="W232" s="306"/>
      <c r="X232" s="306"/>
      <c r="Y232" s="306"/>
      <c r="Z232" s="306"/>
    </row>
    <row r="233" spans="2:26" x14ac:dyDescent="0.25">
      <c r="C233" t="s">
        <v>4215</v>
      </c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306"/>
      <c r="R233" s="306"/>
      <c r="S233" s="306"/>
      <c r="T233" s="306"/>
      <c r="U233" s="306"/>
      <c r="V233" s="306"/>
      <c r="W233" s="306"/>
      <c r="X233" s="306"/>
      <c r="Y233" s="306"/>
      <c r="Z233" s="306"/>
    </row>
    <row r="234" spans="2:26" x14ac:dyDescent="0.25">
      <c r="C234" t="s">
        <v>4216</v>
      </c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306"/>
      <c r="R234" s="306"/>
      <c r="S234" s="306"/>
      <c r="T234" s="306"/>
      <c r="U234" s="306"/>
      <c r="V234" s="306"/>
      <c r="W234" s="306"/>
      <c r="X234" s="306"/>
      <c r="Y234" s="306"/>
      <c r="Z234" s="306"/>
    </row>
    <row r="235" spans="2:26" x14ac:dyDescent="0.25">
      <c r="C235" t="s">
        <v>4217</v>
      </c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306"/>
      <c r="R235" s="306"/>
      <c r="S235" s="306"/>
      <c r="T235" s="306"/>
      <c r="U235" s="306"/>
      <c r="V235" s="306"/>
      <c r="W235" s="306"/>
      <c r="X235" s="306"/>
      <c r="Y235" s="306"/>
      <c r="Z235" s="306"/>
    </row>
    <row r="236" spans="2:26" x14ac:dyDescent="0.25">
      <c r="C236" t="s">
        <v>4218</v>
      </c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306"/>
      <c r="R236" s="306"/>
      <c r="S236" s="306"/>
      <c r="T236" s="306"/>
      <c r="U236" s="306"/>
      <c r="V236" s="306"/>
      <c r="W236" s="306"/>
      <c r="X236" s="306"/>
      <c r="Y236" s="306"/>
      <c r="Z236" s="306"/>
    </row>
    <row r="237" spans="2:26" x14ac:dyDescent="0.25"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306"/>
      <c r="R237" s="306"/>
      <c r="S237" s="306"/>
      <c r="T237" s="306"/>
      <c r="U237" s="306"/>
      <c r="V237" s="306"/>
      <c r="W237" s="306"/>
      <c r="X237" s="306"/>
      <c r="Y237" s="306"/>
      <c r="Z237" s="306"/>
    </row>
    <row r="238" spans="2:26" x14ac:dyDescent="0.25"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</row>
    <row r="239" spans="2:26" x14ac:dyDescent="0.25"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306"/>
      <c r="R239" s="306"/>
      <c r="S239" s="306"/>
      <c r="T239" s="306"/>
      <c r="U239" s="306"/>
      <c r="V239" s="306"/>
      <c r="W239" s="306"/>
      <c r="X239" s="306"/>
      <c r="Y239" s="306"/>
      <c r="Z239" s="306"/>
    </row>
    <row r="240" spans="2:26" x14ac:dyDescent="0.25"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306"/>
      <c r="R240" s="306"/>
      <c r="S240" s="306"/>
      <c r="T240" s="306"/>
      <c r="U240" s="306"/>
      <c r="V240" s="306"/>
      <c r="W240" s="306"/>
      <c r="X240" s="306"/>
      <c r="Y240" s="306"/>
      <c r="Z240" s="306"/>
    </row>
    <row r="241" spans="1:26" x14ac:dyDescent="0.25"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306"/>
      <c r="R241" s="306"/>
      <c r="S241" s="306"/>
      <c r="T241" s="306"/>
      <c r="U241" s="306"/>
      <c r="V241" s="306"/>
      <c r="W241" s="306"/>
      <c r="X241" s="306"/>
      <c r="Y241" s="306"/>
      <c r="Z241" s="306"/>
    </row>
    <row r="242" spans="1:26" x14ac:dyDescent="0.25"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306"/>
      <c r="R242" s="306"/>
      <c r="S242" s="306"/>
      <c r="T242" s="306"/>
      <c r="U242" s="306"/>
      <c r="V242" s="306"/>
      <c r="W242" s="306"/>
      <c r="X242" s="306"/>
      <c r="Y242" s="306"/>
      <c r="Z242" s="306"/>
    </row>
    <row r="243" spans="1:26" x14ac:dyDescent="0.25"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306"/>
      <c r="R243" s="306"/>
      <c r="S243" s="306"/>
      <c r="T243" s="306"/>
      <c r="U243" s="306"/>
      <c r="V243" s="306"/>
      <c r="W243" s="306"/>
      <c r="X243" s="306"/>
      <c r="Y243" s="306"/>
      <c r="Z243" s="306"/>
    </row>
    <row r="244" spans="1:26" x14ac:dyDescent="0.25"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306"/>
      <c r="R244" s="306"/>
      <c r="S244" s="306"/>
      <c r="T244" s="306"/>
      <c r="U244" s="306"/>
      <c r="V244" s="306"/>
      <c r="W244" s="306"/>
      <c r="X244" s="306"/>
      <c r="Y244" s="306"/>
      <c r="Z244" s="306"/>
    </row>
    <row r="245" spans="1:26" x14ac:dyDescent="0.25"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306"/>
      <c r="R245" s="306"/>
      <c r="S245" s="306"/>
      <c r="T245" s="306"/>
      <c r="U245" s="306"/>
      <c r="V245" s="306"/>
      <c r="W245" s="306"/>
      <c r="X245" s="306"/>
      <c r="Y245" s="306"/>
      <c r="Z245" s="306"/>
    </row>
    <row r="246" spans="1:26" x14ac:dyDescent="0.25"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306"/>
      <c r="R246" s="306"/>
      <c r="S246" s="306"/>
      <c r="T246" s="306"/>
      <c r="U246" s="306"/>
      <c r="V246" s="306"/>
      <c r="W246" s="306"/>
      <c r="X246" s="306"/>
      <c r="Y246" s="306"/>
      <c r="Z246" s="306"/>
    </row>
    <row r="247" spans="1:26" x14ac:dyDescent="0.25"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306"/>
      <c r="R247" s="306"/>
      <c r="S247" s="306"/>
      <c r="T247" s="306"/>
      <c r="U247" s="306"/>
      <c r="V247" s="306"/>
      <c r="W247" s="306"/>
      <c r="X247" s="306"/>
      <c r="Y247" s="306"/>
      <c r="Z247" s="306"/>
    </row>
    <row r="248" spans="1:26" x14ac:dyDescent="0.25">
      <c r="A248" s="699"/>
      <c r="B248" s="700" t="s">
        <v>4219</v>
      </c>
      <c r="C248" s="699"/>
      <c r="D248" s="699"/>
      <c r="E248" s="699"/>
      <c r="F248" s="699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306"/>
      <c r="R248" s="306"/>
      <c r="S248" s="306"/>
      <c r="T248" s="306"/>
      <c r="U248" s="306"/>
      <c r="V248" s="306"/>
      <c r="W248" s="306"/>
      <c r="X248" s="306"/>
      <c r="Y248" s="306"/>
      <c r="Z248" s="306"/>
    </row>
    <row r="249" spans="1:26" x14ac:dyDescent="0.25">
      <c r="A249" s="699"/>
      <c r="B249" s="700" t="s">
        <v>4220</v>
      </c>
      <c r="C249" s="699"/>
      <c r="D249" s="699"/>
      <c r="E249" s="699"/>
      <c r="F249" s="699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306"/>
      <c r="R249" s="306"/>
      <c r="S249" s="306"/>
      <c r="T249" s="306"/>
      <c r="U249" s="306"/>
      <c r="V249" s="306"/>
      <c r="W249" s="306"/>
      <c r="X249" s="306"/>
      <c r="Y249" s="306"/>
      <c r="Z249" s="306"/>
    </row>
    <row r="250" spans="1:26" x14ac:dyDescent="0.25">
      <c r="A250" s="699"/>
      <c r="B250" s="700" t="s">
        <v>4221</v>
      </c>
      <c r="C250" s="699"/>
      <c r="D250" s="699"/>
      <c r="E250" s="699"/>
      <c r="F250" s="699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306"/>
      <c r="R250" s="306"/>
      <c r="S250" s="306"/>
      <c r="T250" s="306"/>
      <c r="U250" s="306"/>
      <c r="V250" s="306"/>
      <c r="W250" s="306"/>
      <c r="X250" s="306"/>
      <c r="Y250" s="306"/>
      <c r="Z250" s="306"/>
    </row>
    <row r="251" spans="1:26" x14ac:dyDescent="0.25">
      <c r="A251" s="699"/>
      <c r="B251" s="700" t="s">
        <v>4222</v>
      </c>
      <c r="C251" s="701" t="s">
        <v>3049</v>
      </c>
      <c r="D251" s="699"/>
      <c r="E251" s="699"/>
      <c r="F251" s="702" t="str">
        <f ca="1">"Copyright © "&amp;YEAR(TODAY())</f>
        <v>Copyright © 2024</v>
      </c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</row>
    <row r="252" spans="1:26" x14ac:dyDescent="0.25"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306"/>
      <c r="R252" s="306"/>
      <c r="S252" s="306"/>
      <c r="T252" s="306"/>
      <c r="U252" s="306"/>
      <c r="V252" s="306"/>
      <c r="W252" s="306"/>
      <c r="X252" s="306"/>
      <c r="Y252" s="306"/>
      <c r="Z252" s="306"/>
    </row>
    <row r="253" spans="1:26" x14ac:dyDescent="0.25"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306"/>
      <c r="R253" s="306"/>
      <c r="S253" s="306"/>
      <c r="T253" s="306"/>
      <c r="U253" s="306"/>
      <c r="V253" s="306"/>
      <c r="W253" s="306"/>
      <c r="X253" s="306"/>
      <c r="Y253" s="306"/>
      <c r="Z253" s="306"/>
    </row>
  </sheetData>
  <mergeCells count="9">
    <mergeCell ref="D74:E74"/>
    <mergeCell ref="D126:F127"/>
    <mergeCell ref="D136:F138"/>
    <mergeCell ref="C59:D59"/>
    <mergeCell ref="C60:D60"/>
    <mergeCell ref="D70:E70"/>
    <mergeCell ref="D71:E71"/>
    <mergeCell ref="D72:E72"/>
    <mergeCell ref="D73:E73"/>
  </mergeCells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90E7-1000-4776-85DB-621E2C4033C6}">
  <sheetPr>
    <tabColor rgb="FFFFC000"/>
    <pageSetUpPr fitToPage="1"/>
  </sheetPr>
  <dimension ref="A1:AH56"/>
  <sheetViews>
    <sheetView zoomScaleNormal="100" workbookViewId="0">
      <selection activeCell="G13" sqref="G13"/>
    </sheetView>
  </sheetViews>
  <sheetFormatPr defaultRowHeight="15" x14ac:dyDescent="0.25"/>
  <cols>
    <col min="1" max="3" width="9.140625" style="144"/>
    <col min="4" max="4" width="16" style="144" customWidth="1"/>
    <col min="5" max="10" width="9.140625" style="144"/>
    <col min="11" max="11" width="4.5703125" style="144" customWidth="1"/>
    <col min="12" max="26" width="7.7109375" style="144" customWidth="1"/>
    <col min="27" max="27" width="9.140625" style="144"/>
    <col min="28" max="28" width="9.5703125" style="144" bestFit="1" customWidth="1"/>
    <col min="29" max="16384" width="9.140625" style="144"/>
  </cols>
  <sheetData>
    <row r="1" spans="1:34" ht="15" customHeight="1" x14ac:dyDescent="0.25">
      <c r="D1" s="754" t="s">
        <v>3446</v>
      </c>
      <c r="E1" s="754"/>
      <c r="F1" s="754"/>
      <c r="H1" s="339" t="str">
        <f>D3&amp; " C01-01"</f>
        <v>EC114 C01-01</v>
      </c>
      <c r="I1" s="339"/>
      <c r="J1" s="339" t="s">
        <v>3447</v>
      </c>
      <c r="L1" s="340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2"/>
    </row>
    <row r="2" spans="1:34" ht="15" customHeight="1" x14ac:dyDescent="0.25">
      <c r="D2" s="754"/>
      <c r="E2" s="754"/>
      <c r="F2" s="754"/>
      <c r="I2" s="343">
        <f ca="1">TODAY()</f>
        <v>45379</v>
      </c>
      <c r="L2" s="344"/>
      <c r="Z2" s="345"/>
    </row>
    <row r="3" spans="1:34" ht="15" customHeight="1" x14ac:dyDescent="0.25">
      <c r="D3" s="346" t="s">
        <v>3448</v>
      </c>
      <c r="E3" s="347" t="s">
        <v>3449</v>
      </c>
      <c r="L3" s="348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50"/>
    </row>
    <row r="4" spans="1:34" x14ac:dyDescent="0.25">
      <c r="A4" s="351"/>
      <c r="B4" s="351"/>
      <c r="C4" s="351"/>
      <c r="D4" s="352"/>
      <c r="E4" s="353" t="str">
        <f>IF([1]Calcs!E40="","", [1]Calcs!E40)</f>
        <v>Cannonvale, QLD</v>
      </c>
      <c r="F4" s="351"/>
      <c r="G4" s="351"/>
      <c r="H4" s="351"/>
      <c r="I4" s="351"/>
      <c r="J4" s="351"/>
      <c r="L4" s="348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54"/>
    </row>
    <row r="5" spans="1:34" x14ac:dyDescent="0.25">
      <c r="A5" s="355" t="s">
        <v>133</v>
      </c>
      <c r="B5" s="351"/>
      <c r="C5" s="351"/>
      <c r="D5" s="352" t="s">
        <v>3450</v>
      </c>
      <c r="E5" s="356" t="s">
        <v>3451</v>
      </c>
      <c r="F5" s="357" t="s">
        <v>3452</v>
      </c>
      <c r="G5" s="357"/>
      <c r="H5" s="351"/>
      <c r="I5" s="351"/>
      <c r="J5" s="358" t="s">
        <v>3453</v>
      </c>
      <c r="L5" s="348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54"/>
    </row>
    <row r="6" spans="1:34" x14ac:dyDescent="0.25">
      <c r="A6" s="351"/>
      <c r="B6" s="351"/>
      <c r="C6" s="351"/>
      <c r="D6" s="359"/>
      <c r="E6" s="351"/>
      <c r="F6" s="351"/>
      <c r="G6" s="351"/>
      <c r="H6" s="351"/>
      <c r="I6" s="351"/>
      <c r="J6" s="351"/>
      <c r="L6" s="348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54"/>
    </row>
    <row r="7" spans="1:34" x14ac:dyDescent="0.25">
      <c r="A7" s="355" t="s">
        <v>131</v>
      </c>
      <c r="B7" s="351"/>
      <c r="C7" s="351"/>
      <c r="D7" s="360" t="s">
        <v>3454</v>
      </c>
      <c r="E7" s="361">
        <f>AB20</f>
        <v>4</v>
      </c>
      <c r="F7" s="362">
        <f>AB21</f>
        <v>3</v>
      </c>
      <c r="G7" s="357" t="s">
        <v>3455</v>
      </c>
      <c r="H7" s="351"/>
      <c r="I7" s="351"/>
      <c r="J7" s="363" t="str">
        <f>ROUND(E7+F7, 2)&amp;" KW"</f>
        <v>7 KW</v>
      </c>
      <c r="L7" s="348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54"/>
    </row>
    <row r="8" spans="1:34" x14ac:dyDescent="0.25">
      <c r="A8" s="351"/>
      <c r="B8" s="351"/>
      <c r="C8" s="351"/>
      <c r="D8" s="360" t="s">
        <v>3456</v>
      </c>
      <c r="E8" s="364">
        <f>AA22</f>
        <v>0</v>
      </c>
      <c r="F8" s="364">
        <f>AB22</f>
        <v>40</v>
      </c>
      <c r="G8" s="357" t="s">
        <v>3457</v>
      </c>
      <c r="H8" s="351"/>
      <c r="I8" s="351"/>
      <c r="J8" s="365"/>
      <c r="L8" s="348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54"/>
    </row>
    <row r="9" spans="1:34" x14ac:dyDescent="0.25">
      <c r="A9" s="351"/>
      <c r="B9" s="351"/>
      <c r="C9" s="351"/>
      <c r="D9" s="359"/>
      <c r="E9" s="351"/>
      <c r="F9" s="351"/>
      <c r="G9" s="351"/>
      <c r="H9" s="359"/>
      <c r="I9" s="366"/>
      <c r="J9" s="351"/>
      <c r="L9" s="348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54"/>
    </row>
    <row r="10" spans="1:34" x14ac:dyDescent="0.25">
      <c r="A10" s="355" t="s">
        <v>129</v>
      </c>
      <c r="B10" s="351"/>
      <c r="C10" s="351"/>
      <c r="D10" s="352" t="s">
        <v>3458</v>
      </c>
      <c r="E10" s="367">
        <v>2</v>
      </c>
      <c r="F10" s="368" t="s">
        <v>3459</v>
      </c>
      <c r="G10" s="369" t="s">
        <v>3460</v>
      </c>
      <c r="H10" s="369"/>
      <c r="I10" s="370">
        <v>10</v>
      </c>
      <c r="J10" s="371" t="s">
        <v>3090</v>
      </c>
      <c r="L10" s="348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54"/>
    </row>
    <row r="11" spans="1:34" x14ac:dyDescent="0.25">
      <c r="A11" s="355" t="s">
        <v>127</v>
      </c>
      <c r="B11" s="351"/>
      <c r="C11" s="351"/>
      <c r="D11" s="352" t="s">
        <v>3461</v>
      </c>
      <c r="E11" s="364" cm="1">
        <f t="array" ref="E11">IF(AA26=TRUE, I10, INDEX([1]Calcs!A106:E113, E10, 4))</f>
        <v>14</v>
      </c>
      <c r="F11" s="372" t="s">
        <v>3090</v>
      </c>
      <c r="G11" s="369" t="s">
        <v>3462</v>
      </c>
      <c r="H11" s="369"/>
      <c r="I11" s="373" t="str">
        <f>ROUND([1]Calcs!C88,0)&amp;"-"&amp;ROUND([1]Calcs!C87,0)</f>
        <v>16-32</v>
      </c>
      <c r="J11" s="371" t="s">
        <v>3090</v>
      </c>
      <c r="L11" s="348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54"/>
    </row>
    <row r="12" spans="1:34" x14ac:dyDescent="0.25">
      <c r="A12" s="355" t="s">
        <v>135</v>
      </c>
      <c r="B12" s="351"/>
      <c r="C12" s="351"/>
      <c r="D12" s="352" t="s">
        <v>3463</v>
      </c>
      <c r="E12" s="374">
        <v>25</v>
      </c>
      <c r="F12" s="351" t="s">
        <v>3464</v>
      </c>
      <c r="G12" s="357" t="s">
        <v>3465</v>
      </c>
      <c r="H12" s="351"/>
      <c r="I12" s="351"/>
      <c r="J12" s="351"/>
      <c r="L12" s="348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54"/>
      <c r="AG12" s="375"/>
      <c r="AH12" s="376" t="e">
        <f>NA()</f>
        <v>#N/A</v>
      </c>
    </row>
    <row r="13" spans="1:34" x14ac:dyDescent="0.25">
      <c r="A13" s="351"/>
      <c r="B13" s="351"/>
      <c r="C13" s="351"/>
      <c r="D13" s="377"/>
      <c r="E13" s="366"/>
      <c r="F13" s="351"/>
      <c r="G13" s="351"/>
      <c r="H13" s="351"/>
      <c r="I13" s="351"/>
      <c r="J13" s="351"/>
      <c r="L13" s="348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  <c r="Z13" s="354"/>
      <c r="AG13" s="375"/>
      <c r="AH13" s="376" t="e">
        <f>NA()</f>
        <v>#N/A</v>
      </c>
    </row>
    <row r="14" spans="1:34" x14ac:dyDescent="0.25">
      <c r="A14" s="355" t="s">
        <v>3466</v>
      </c>
      <c r="B14" s="351"/>
      <c r="C14" s="351"/>
      <c r="D14" s="352" t="s">
        <v>3467</v>
      </c>
      <c r="E14" s="378">
        <f>AB24</f>
        <v>12</v>
      </c>
      <c r="F14" s="372" t="s">
        <v>3229</v>
      </c>
      <c r="G14" s="357" t="s">
        <v>3468</v>
      </c>
      <c r="H14" s="351"/>
      <c r="I14" s="351"/>
      <c r="J14" s="351"/>
      <c r="L14" s="348"/>
      <c r="M14" s="349"/>
      <c r="N14" s="349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49"/>
      <c r="Z14" s="354"/>
      <c r="AG14" s="375"/>
      <c r="AH14" s="376" t="e">
        <f>NA()</f>
        <v>#N/A</v>
      </c>
    </row>
    <row r="15" spans="1:34" x14ac:dyDescent="0.25">
      <c r="A15" s="355" t="s">
        <v>3469</v>
      </c>
      <c r="B15" s="351"/>
      <c r="C15" s="351"/>
      <c r="D15" s="352" t="s">
        <v>3470</v>
      </c>
      <c r="E15" s="379">
        <v>10</v>
      </c>
      <c r="F15" s="372" t="s">
        <v>3471</v>
      </c>
      <c r="G15" s="357" t="s">
        <v>3472</v>
      </c>
      <c r="H15" s="351"/>
      <c r="I15" s="351"/>
      <c r="J15" s="351"/>
      <c r="L15" s="348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0"/>
      <c r="Z15" s="354"/>
      <c r="AG15" s="376" t="e">
        <f>NA()</f>
        <v>#N/A</v>
      </c>
      <c r="AH15" s="376" t="e">
        <f>NA()</f>
        <v>#N/A</v>
      </c>
    </row>
    <row r="16" spans="1:34" x14ac:dyDescent="0.25">
      <c r="A16" s="355" t="s">
        <v>3473</v>
      </c>
      <c r="B16" s="351"/>
      <c r="C16" s="351"/>
      <c r="D16" s="352" t="s">
        <v>3474</v>
      </c>
      <c r="E16" s="362" cm="1">
        <f t="array" ref="E16">INDEX('[1]Arrays-Banks'!B20:C37, AA25, 2)</f>
        <v>14.4</v>
      </c>
      <c r="F16" s="381" t="s">
        <v>3475</v>
      </c>
      <c r="G16" s="357" t="s">
        <v>3476</v>
      </c>
      <c r="H16" s="351"/>
      <c r="I16" s="351"/>
      <c r="J16" s="351"/>
      <c r="L16" s="382" t="s">
        <v>3090</v>
      </c>
      <c r="M16" s="383">
        <f>[1]Calcs!N28</f>
        <v>38.821026979192887</v>
      </c>
      <c r="N16" s="383">
        <f>[1]Calcs!O28</f>
        <v>35.864704848062729</v>
      </c>
      <c r="O16" s="383">
        <f>[1]Calcs!P28</f>
        <v>32.422333623806708</v>
      </c>
      <c r="P16" s="383">
        <f>[1]Calcs!Q28</f>
        <v>26.492534687671323</v>
      </c>
      <c r="Q16" s="383">
        <f>[1]Calcs!R28</f>
        <v>20.928702127536599</v>
      </c>
      <c r="R16" s="383">
        <f>[1]Calcs!S28</f>
        <v>16.439895796903748</v>
      </c>
      <c r="S16" s="383">
        <f>[1]Calcs!T28</f>
        <v>18.435556191032241</v>
      </c>
      <c r="T16" s="383">
        <f>[1]Calcs!U28</f>
        <v>22.941517195540115</v>
      </c>
      <c r="U16" s="383">
        <f>[1]Calcs!V28</f>
        <v>29.294464753926235</v>
      </c>
      <c r="V16" s="383">
        <f>[1]Calcs!W28</f>
        <v>33.737525287559009</v>
      </c>
      <c r="W16" s="383">
        <f>[1]Calcs!X28</f>
        <v>35.475865573562032</v>
      </c>
      <c r="X16" s="383">
        <f>[1]Calcs!Y28</f>
        <v>38.506524624817345</v>
      </c>
      <c r="Y16" s="384">
        <f>[1]Calcs!Z28</f>
        <v>29.549183142139306</v>
      </c>
      <c r="Z16" s="354"/>
      <c r="AG16" s="376" t="e">
        <f>NA()</f>
        <v>#N/A</v>
      </c>
      <c r="AH16" s="376" t="e">
        <f>NA()</f>
        <v>#N/A</v>
      </c>
    </row>
    <row r="17" spans="1:34" x14ac:dyDescent="0.25">
      <c r="A17" s="351"/>
      <c r="B17" s="351"/>
      <c r="C17" s="351"/>
      <c r="D17" s="352"/>
      <c r="E17" s="351"/>
      <c r="F17" s="372"/>
      <c r="G17" s="357"/>
      <c r="H17" s="351"/>
      <c r="I17" s="351"/>
      <c r="J17" s="351"/>
      <c r="L17" s="382" t="s">
        <v>3477</v>
      </c>
      <c r="M17" s="385" t="s">
        <v>2995</v>
      </c>
      <c r="N17" s="385" t="s">
        <v>2996</v>
      </c>
      <c r="O17" s="385" t="s">
        <v>2997</v>
      </c>
      <c r="P17" s="385" t="s">
        <v>2998</v>
      </c>
      <c r="Q17" s="385" t="s">
        <v>2999</v>
      </c>
      <c r="R17" s="385" t="s">
        <v>3000</v>
      </c>
      <c r="S17" s="385" t="s">
        <v>3001</v>
      </c>
      <c r="T17" s="385" t="s">
        <v>3002</v>
      </c>
      <c r="U17" s="385" t="s">
        <v>3003</v>
      </c>
      <c r="V17" s="385" t="s">
        <v>3004</v>
      </c>
      <c r="W17" s="385" t="s">
        <v>3005</v>
      </c>
      <c r="X17" s="385" t="s">
        <v>3006</v>
      </c>
      <c r="Y17" s="386" t="s">
        <v>3007</v>
      </c>
      <c r="Z17" s="354"/>
      <c r="AB17" s="387"/>
      <c r="AC17" s="387"/>
      <c r="AD17" s="387"/>
      <c r="AG17" s="376" t="e">
        <f>NA()</f>
        <v>#N/A</v>
      </c>
      <c r="AH17" s="376" t="e">
        <f>NA()</f>
        <v>#N/A</v>
      </c>
    </row>
    <row r="18" spans="1:34" x14ac:dyDescent="0.25">
      <c r="A18" s="351"/>
      <c r="B18" s="351"/>
      <c r="C18" s="351"/>
      <c r="D18" s="359"/>
      <c r="E18" s="351"/>
      <c r="F18" s="351"/>
      <c r="G18" s="351"/>
      <c r="H18" s="357"/>
      <c r="I18" s="366"/>
      <c r="J18" s="351"/>
      <c r="L18" s="388" t="s">
        <v>3478</v>
      </c>
      <c r="M18" s="389">
        <f>M16/[1]Calcs!N31</f>
        <v>1.2246380750534034</v>
      </c>
      <c r="N18" s="389">
        <f>N16/[1]Calcs!O31</f>
        <v>1.1313787018316319</v>
      </c>
      <c r="O18" s="389">
        <f>O16/[1]Calcs!P31</f>
        <v>1.1076558766978279</v>
      </c>
      <c r="P18" s="389">
        <f>P16/[1]Calcs!Q31</f>
        <v>1.1223866837969105</v>
      </c>
      <c r="Q18" s="389">
        <f>Q16/[1]Calcs!R31</f>
        <v>1.1461360485720522</v>
      </c>
      <c r="R18" s="389">
        <f>R16/[1]Calcs!S31</f>
        <v>1.060125474570611</v>
      </c>
      <c r="S18" s="389">
        <f>S16/[1]Calcs!T31</f>
        <v>1.1888154887010958</v>
      </c>
      <c r="T18" s="389">
        <f>T16/[1]Calcs!U31</f>
        <v>1.2563655264675062</v>
      </c>
      <c r="U18" s="389">
        <f>U16/[1]Calcs!V31</f>
        <v>1.2410936717227661</v>
      </c>
      <c r="V18" s="389">
        <f>V16/[1]Calcs!W31</f>
        <v>1.1525872438301914</v>
      </c>
      <c r="W18" s="389">
        <f>W16/[1]Calcs!X31</f>
        <v>1.1191124786612627</v>
      </c>
      <c r="X18" s="389">
        <f>X16/[1]Calcs!Y31</f>
        <v>1.2147168651361939</v>
      </c>
      <c r="Y18" s="390" t="s">
        <v>3479</v>
      </c>
      <c r="Z18" s="391"/>
      <c r="AG18" s="376" t="e">
        <f>NA()</f>
        <v>#N/A</v>
      </c>
      <c r="AH18" s="376" t="e">
        <f>NA()</f>
        <v>#N/A</v>
      </c>
    </row>
    <row r="19" spans="1:34" x14ac:dyDescent="0.25">
      <c r="A19" s="392"/>
      <c r="B19" s="392"/>
      <c r="C19" s="392"/>
      <c r="D19" s="392"/>
      <c r="E19" s="392"/>
      <c r="F19" s="392"/>
      <c r="G19" s="392"/>
      <c r="H19" s="392"/>
      <c r="I19" s="392"/>
      <c r="J19" s="392"/>
      <c r="L19" s="393"/>
      <c r="M19" s="394" t="str">
        <f>IF(M18=MIN($M18:$X18), "MIN.", "")</f>
        <v/>
      </c>
      <c r="N19" s="394" t="str">
        <f t="shared" ref="N19:Q19" si="0">IF(N18=MIN($M18:$X18), "MIN.", "")</f>
        <v/>
      </c>
      <c r="O19" s="394" t="str">
        <f t="shared" si="0"/>
        <v/>
      </c>
      <c r="P19" s="394" t="str">
        <f t="shared" si="0"/>
        <v/>
      </c>
      <c r="Q19" s="394" t="str">
        <f t="shared" si="0"/>
        <v/>
      </c>
      <c r="R19" s="395" t="str">
        <f>IF(R18=MIN($M18:$X18), "MIN.", "")</f>
        <v>MIN.</v>
      </c>
      <c r="S19" s="394" t="str">
        <f>IF(S18=MIN($M18:$X18), "MIN.", "")</f>
        <v/>
      </c>
      <c r="T19" s="394" t="str">
        <f t="shared" ref="T19:X19" si="1">IF(T18=MIN($M18:$X18), "MIN.", "")</f>
        <v/>
      </c>
      <c r="U19" s="394" t="str">
        <f t="shared" si="1"/>
        <v/>
      </c>
      <c r="V19" s="394" t="str">
        <f t="shared" si="1"/>
        <v/>
      </c>
      <c r="W19" s="394" t="str">
        <f t="shared" si="1"/>
        <v/>
      </c>
      <c r="X19" s="394" t="str">
        <f t="shared" si="1"/>
        <v/>
      </c>
      <c r="Y19" s="396"/>
      <c r="Z19" s="397"/>
      <c r="AA19" s="398"/>
      <c r="AG19" s="376" t="e">
        <f>NA()</f>
        <v>#N/A</v>
      </c>
      <c r="AH19" s="376" t="e">
        <f>NA()</f>
        <v>#N/A</v>
      </c>
    </row>
    <row r="20" spans="1:34" x14ac:dyDescent="0.25">
      <c r="A20" s="399"/>
      <c r="AA20" s="400">
        <v>5</v>
      </c>
      <c r="AB20" s="400">
        <f>VLOOKUP(AA20, '[1]Arrays-Banks'!B4:C17, 2, FALSE)</f>
        <v>4</v>
      </c>
      <c r="AC20" s="401" t="s">
        <v>3480</v>
      </c>
      <c r="AG20" s="376" t="e">
        <f>NA()</f>
        <v>#N/A</v>
      </c>
      <c r="AH20" s="376" t="e">
        <f>NA()</f>
        <v>#N/A</v>
      </c>
    </row>
    <row r="21" spans="1:34" ht="15" customHeight="1" x14ac:dyDescent="0.25">
      <c r="A21" s="402"/>
      <c r="B21" s="403"/>
      <c r="C21" s="755" t="s">
        <v>3481</v>
      </c>
      <c r="D21" s="755"/>
      <c r="E21" s="755"/>
      <c r="F21" s="755"/>
      <c r="G21" s="755"/>
      <c r="H21" s="755"/>
      <c r="I21" s="403"/>
      <c r="J21" s="404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0">
        <v>2</v>
      </c>
      <c r="AB21" s="400">
        <f>IFERROR(VLOOKUP(AA21, '[1]Arrays-Banks'!B4:C17, 2, FALSE), 0)</f>
        <v>3</v>
      </c>
      <c r="AC21" s="401" t="s">
        <v>3016</v>
      </c>
      <c r="AG21" s="376" t="e">
        <f>NA()</f>
        <v>#N/A</v>
      </c>
      <c r="AH21" s="376" t="e">
        <f>NA()</f>
        <v>#N/A</v>
      </c>
    </row>
    <row r="22" spans="1:34" ht="15" customHeight="1" x14ac:dyDescent="0.25">
      <c r="A22" s="406"/>
      <c r="C22" s="754"/>
      <c r="D22" s="754"/>
      <c r="E22" s="754"/>
      <c r="F22" s="754"/>
      <c r="G22" s="754"/>
      <c r="H22" s="754"/>
      <c r="J22" s="407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0">
        <v>0</v>
      </c>
      <c r="AB22" s="400">
        <v>40</v>
      </c>
      <c r="AC22" s="401" t="s">
        <v>3482</v>
      </c>
      <c r="AG22" s="376" t="e">
        <f>NA()</f>
        <v>#N/A</v>
      </c>
      <c r="AH22" s="376" t="e">
        <f>NA()</f>
        <v>#N/A</v>
      </c>
    </row>
    <row r="23" spans="1:34" ht="15" customHeight="1" x14ac:dyDescent="0.45">
      <c r="A23" s="406"/>
      <c r="C23" s="338"/>
      <c r="D23" s="338"/>
      <c r="E23" s="338"/>
      <c r="F23" s="338"/>
      <c r="G23" s="338"/>
      <c r="H23" s="338"/>
      <c r="J23" s="407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0">
        <v>5</v>
      </c>
      <c r="AB23" s="400" t="str" cm="1">
        <f t="array" ref="AB23">INDEX(Locations, Calculator!AA23)</f>
        <v>Sydney</v>
      </c>
      <c r="AC23" s="401" t="s">
        <v>3483</v>
      </c>
      <c r="AG23" s="376" t="e">
        <f>NA()</f>
        <v>#N/A</v>
      </c>
      <c r="AH23" s="408">
        <f>X16</f>
        <v>38.506524624817345</v>
      </c>
    </row>
    <row r="24" spans="1:34" ht="15" customHeight="1" x14ac:dyDescent="0.25">
      <c r="A24" s="409"/>
      <c r="B24" s="405"/>
      <c r="C24" s="405"/>
      <c r="D24" s="410" t="s">
        <v>3484</v>
      </c>
      <c r="E24" s="405"/>
      <c r="F24" s="405"/>
      <c r="G24" s="405"/>
      <c r="H24" s="405"/>
      <c r="I24" s="405"/>
      <c r="J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0">
        <v>8</v>
      </c>
      <c r="AB24" s="400" cm="1">
        <f t="array" ref="AB24">INDEX(Equipment!A36:A47, AA24, 1)</f>
        <v>12</v>
      </c>
      <c r="AC24" s="401" t="s">
        <v>3485</v>
      </c>
      <c r="AG24" s="376" t="e">
        <f>NA()</f>
        <v>#N/A</v>
      </c>
      <c r="AH24" s="411" t="s">
        <v>3486</v>
      </c>
    </row>
    <row r="25" spans="1:34" x14ac:dyDescent="0.25">
      <c r="A25" s="412"/>
      <c r="B25" s="413"/>
      <c r="C25" s="413"/>
      <c r="D25" s="414" t="s">
        <v>3487</v>
      </c>
      <c r="E25" s="415">
        <f>[1]Calcs!C87</f>
        <v>31.7</v>
      </c>
      <c r="F25" s="416" t="s">
        <v>3054</v>
      </c>
      <c r="G25" s="417" t="s">
        <v>3488</v>
      </c>
      <c r="H25" s="413"/>
      <c r="I25" s="413"/>
      <c r="J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00">
        <v>6</v>
      </c>
      <c r="AB25" s="401" t="s">
        <v>3489</v>
      </c>
      <c r="AG25" s="376" t="e">
        <f>NA()</f>
        <v>#N/A</v>
      </c>
      <c r="AH25" s="418" t="s">
        <v>3490</v>
      </c>
    </row>
    <row r="26" spans="1:34" x14ac:dyDescent="0.25">
      <c r="A26" s="412"/>
      <c r="B26" s="413"/>
      <c r="C26" s="413"/>
      <c r="D26" s="414" t="s">
        <v>3491</v>
      </c>
      <c r="E26" s="419">
        <f>E14</f>
        <v>12</v>
      </c>
      <c r="F26" s="416" t="s">
        <v>3269</v>
      </c>
      <c r="G26" s="417" t="s">
        <v>3492</v>
      </c>
      <c r="H26" s="413"/>
      <c r="I26" s="413"/>
      <c r="J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20" t="b">
        <v>0</v>
      </c>
      <c r="AB26" s="401" t="s">
        <v>3493</v>
      </c>
      <c r="AG26" s="408">
        <f>[1]Calcs!C87</f>
        <v>31.7</v>
      </c>
      <c r="AH26" s="376"/>
    </row>
    <row r="27" spans="1:34" x14ac:dyDescent="0.25">
      <c r="A27" s="412"/>
      <c r="B27" s="413"/>
      <c r="C27" s="413"/>
      <c r="D27" s="414" t="s">
        <v>3494</v>
      </c>
      <c r="E27" s="421">
        <f>IF(AB5=AB1, MAX([1]Calcs!N27:Z27), MAX([1]Calcs!N28:Z28))</f>
        <v>22.478741839462799</v>
      </c>
      <c r="F27" s="416" t="s">
        <v>3495</v>
      </c>
      <c r="G27" s="417" t="s">
        <v>3496</v>
      </c>
      <c r="H27" s="413"/>
      <c r="I27" s="413"/>
      <c r="J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20" t="b">
        <v>1</v>
      </c>
      <c r="AB27" s="401" t="s">
        <v>3497</v>
      </c>
      <c r="AG27" s="411" t="s">
        <v>3498</v>
      </c>
      <c r="AH27" s="376"/>
    </row>
    <row r="28" spans="1:34" x14ac:dyDescent="0.25">
      <c r="A28" s="412"/>
      <c r="B28" s="413"/>
      <c r="C28" s="413"/>
      <c r="D28" s="414" t="s">
        <v>3499</v>
      </c>
      <c r="E28" s="421">
        <f>[1]Calcs!C60</f>
        <v>14.399999999999999</v>
      </c>
      <c r="F28" s="416" t="s">
        <v>3054</v>
      </c>
      <c r="G28" s="417" t="s">
        <v>3500</v>
      </c>
      <c r="H28" s="413"/>
      <c r="I28" s="413"/>
      <c r="J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G28" s="422" t="s">
        <v>3501</v>
      </c>
    </row>
    <row r="29" spans="1:34" x14ac:dyDescent="0.25">
      <c r="A29" s="423"/>
      <c r="B29" s="424" t="s">
        <v>3502</v>
      </c>
      <c r="C29" s="424" t="str">
        <f>[1]Calcs!C95&amp;" nom. "</f>
        <v xml:space="preserve">0.5 nom. </v>
      </c>
      <c r="D29" s="414" t="s">
        <v>3503</v>
      </c>
      <c r="E29" s="425">
        <f>[1]Calcs!C98</f>
        <v>1.3</v>
      </c>
      <c r="F29" s="416" t="s">
        <v>3504</v>
      </c>
      <c r="G29" s="417" t="s">
        <v>3505</v>
      </c>
      <c r="H29" s="413"/>
      <c r="I29" s="413"/>
      <c r="J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</row>
    <row r="30" spans="1:34" x14ac:dyDescent="0.25">
      <c r="A30" s="423"/>
      <c r="B30" s="413"/>
      <c r="C30" s="413"/>
      <c r="D30" s="414" t="s">
        <v>3506</v>
      </c>
      <c r="E30" s="426" t="str">
        <f>IF(E29&lt;1.5,"Frequent",IF(AND(E29&gt;=1.5, E29&lt;2.5), "Occasional", "Rare"))</f>
        <v>Frequent</v>
      </c>
      <c r="F30" s="416" t="s">
        <v>3507</v>
      </c>
      <c r="G30" s="417" t="s">
        <v>3508</v>
      </c>
      <c r="H30" s="413"/>
      <c r="I30" s="413"/>
      <c r="J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</row>
    <row r="31" spans="1:34" x14ac:dyDescent="0.25">
      <c r="A31" s="427"/>
      <c r="B31" s="413"/>
      <c r="C31" s="413"/>
      <c r="D31" s="413"/>
      <c r="E31" s="413"/>
      <c r="F31" s="413"/>
      <c r="G31" s="413"/>
      <c r="H31" s="413"/>
      <c r="I31" s="413"/>
      <c r="J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B31" s="428"/>
      <c r="AC31" s="429" t="str">
        <f>IF(AND(AE32="OK",AE33="OK",AE34="OK",AE35="OK",AE36="OK",AE37="OK"), "Accepted", "Provisionally ACCEPTED")</f>
        <v>Provisionally ACCEPTED</v>
      </c>
      <c r="AD31" s="430"/>
    </row>
    <row r="32" spans="1:34" x14ac:dyDescent="0.25">
      <c r="A32" s="427"/>
      <c r="B32" s="413"/>
      <c r="C32" s="413"/>
      <c r="D32" s="413"/>
      <c r="E32" s="413"/>
      <c r="F32" s="413"/>
      <c r="G32" s="413"/>
      <c r="H32" s="413"/>
      <c r="I32" s="413"/>
      <c r="J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E32" s="431" t="str">
        <f>IF(E25&lt;E27, "OK", "Power!")</f>
        <v>Power!</v>
      </c>
    </row>
    <row r="33" spans="1:31" x14ac:dyDescent="0.25">
      <c r="A33" s="427"/>
      <c r="B33" s="413"/>
      <c r="C33" s="413"/>
      <c r="D33" s="413"/>
      <c r="E33" s="413"/>
      <c r="F33" s="413"/>
      <c r="G33" s="413"/>
      <c r="H33" s="413"/>
      <c r="I33" s="413"/>
      <c r="J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  <c r="V33" s="413"/>
      <c r="W33" s="413"/>
      <c r="X33" s="413"/>
      <c r="Y33" s="413"/>
      <c r="Z33" s="413"/>
      <c r="AB33" s="432" t="str">
        <f>IF(AE32="Power!", "C - Decrease power use", "")</f>
        <v>C - Decrease power use</v>
      </c>
      <c r="AE33" s="431" t="s">
        <v>3509</v>
      </c>
    </row>
    <row r="34" spans="1:31" x14ac:dyDescent="0.25">
      <c r="A34" s="427"/>
      <c r="B34" s="413"/>
      <c r="C34" s="413"/>
      <c r="D34" s="413"/>
      <c r="E34" s="419">
        <f>[1]Calcs!C11</f>
        <v>500</v>
      </c>
      <c r="F34" s="413" t="s">
        <v>3510</v>
      </c>
      <c r="G34" s="413"/>
      <c r="H34" s="413"/>
      <c r="I34" s="413"/>
      <c r="J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756">
        <f>[1]Loads!M17</f>
        <v>0.56216397849462363</v>
      </c>
      <c r="Y34" s="757">
        <f>[1]Loads!M29</f>
        <v>0.43775087322862383</v>
      </c>
      <c r="Z34" s="413"/>
      <c r="AB34" s="432" t="str">
        <f>IF(AE34="Solar!", "B - Increase Solar", "")</f>
        <v>B - Increase Solar</v>
      </c>
      <c r="AE34" s="431" t="str">
        <f>IF(E25&lt;E27, "OK", "Solar!")</f>
        <v>Solar!</v>
      </c>
    </row>
    <row r="35" spans="1:31" x14ac:dyDescent="0.25">
      <c r="A35" s="413"/>
      <c r="B35" s="413"/>
      <c r="C35" s="413"/>
      <c r="D35" s="413"/>
      <c r="E35" s="433" t="str">
        <f>[1]Calcs!C47</f>
        <v>AGM</v>
      </c>
      <c r="F35" s="413" t="s">
        <v>3511</v>
      </c>
      <c r="G35" s="413"/>
      <c r="H35" s="413"/>
      <c r="I35" s="413"/>
      <c r="J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756"/>
      <c r="Y35" s="757"/>
      <c r="Z35" s="434"/>
      <c r="AB35" s="432" t="str">
        <f>IF(AE35="Battery!", "H - Increase Battery Size", "")</f>
        <v>H - Increase Battery Size</v>
      </c>
      <c r="AE35" s="431" t="str">
        <f>IF(E30="Frequent", "Battery!", "OK")</f>
        <v>Battery!</v>
      </c>
    </row>
    <row r="36" spans="1:31" x14ac:dyDescent="0.25">
      <c r="A36" s="413"/>
      <c r="B36" s="413"/>
      <c r="C36" s="413"/>
      <c r="D36" s="413"/>
      <c r="E36" s="413"/>
      <c r="F36" s="413"/>
      <c r="G36" s="413"/>
      <c r="H36" s="413"/>
      <c r="I36" s="413"/>
      <c r="J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35" t="s">
        <v>3512</v>
      </c>
      <c r="Y36" s="435" t="s">
        <v>3103</v>
      </c>
      <c r="Z36" s="413"/>
      <c r="AE36" s="431" t="str">
        <f>IF(E30="Frequent", "Battery Sz", "OK")</f>
        <v>Battery Sz</v>
      </c>
    </row>
    <row r="37" spans="1:31" x14ac:dyDescent="0.25">
      <c r="AE37" s="431" t="str">
        <f>IF(E30="Frequent", "Battery!", "OK")</f>
        <v>Battery!</v>
      </c>
    </row>
    <row r="38" spans="1:31" ht="15.75" x14ac:dyDescent="0.25">
      <c r="A38" s="436"/>
      <c r="B38" s="437" t="s">
        <v>3513</v>
      </c>
      <c r="L38" s="402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4"/>
    </row>
    <row r="39" spans="1:31" x14ac:dyDescent="0.25">
      <c r="A39" s="438" t="s">
        <v>133</v>
      </c>
      <c r="B39" s="436" t="s">
        <v>3514</v>
      </c>
      <c r="L39" s="406"/>
      <c r="P39" s="758" t="s">
        <v>3515</v>
      </c>
      <c r="Q39" s="758"/>
      <c r="R39" s="758"/>
      <c r="S39" s="758"/>
      <c r="T39" s="758"/>
      <c r="U39" s="758"/>
      <c r="X39" s="439"/>
      <c r="Z39" s="407"/>
    </row>
    <row r="40" spans="1:31" x14ac:dyDescent="0.25">
      <c r="A40" s="440" t="s">
        <v>131</v>
      </c>
      <c r="B40" s="436" t="s">
        <v>3516</v>
      </c>
      <c r="L40" s="406"/>
      <c r="P40" s="758"/>
      <c r="Q40" s="758"/>
      <c r="R40" s="758"/>
      <c r="S40" s="758"/>
      <c r="T40" s="758"/>
      <c r="U40" s="758"/>
      <c r="Z40" s="407"/>
    </row>
    <row r="41" spans="1:31" x14ac:dyDescent="0.25">
      <c r="A41" s="438" t="s">
        <v>129</v>
      </c>
      <c r="B41" s="436" t="s">
        <v>3517</v>
      </c>
      <c r="L41" s="441"/>
      <c r="M41" s="441"/>
      <c r="N41" s="442">
        <f>E14</f>
        <v>12</v>
      </c>
      <c r="O41" s="441" t="s">
        <v>3518</v>
      </c>
      <c r="P41" s="441"/>
      <c r="Q41" s="105">
        <f>VLOOKUP(E$14, Equipment!A36:T45, 20, FALSE)</f>
        <v>3</v>
      </c>
      <c r="R41" s="443" t="str">
        <f>VLOOKUP(E$14, Equipment!A36:T45, 3, FALSE)&amp;" "&amp;VLOOKUP(E$14, Equipment!A36:T45, 2, FALSE)</f>
        <v>Victron MultiplusII 48/5000/70 x 3</v>
      </c>
      <c r="S41" s="444"/>
      <c r="T41" s="444"/>
      <c r="U41" s="444"/>
      <c r="V41" s="444"/>
      <c r="W41" s="444"/>
      <c r="X41" s="441"/>
      <c r="Y41" s="441"/>
      <c r="Z41" s="441"/>
    </row>
    <row r="42" spans="1:31" x14ac:dyDescent="0.25">
      <c r="A42" s="440" t="s">
        <v>127</v>
      </c>
      <c r="B42" s="436" t="s">
        <v>3519</v>
      </c>
      <c r="L42" s="441"/>
      <c r="M42" s="445" t="s">
        <v>3069</v>
      </c>
      <c r="N42" s="442">
        <f>IFERROR(VLOOKUP(R42,Equipment!B5:T26,14,FALSE)/1000, "")</f>
        <v>8.1199999999999992</v>
      </c>
      <c r="O42" s="441" t="s">
        <v>3520</v>
      </c>
      <c r="P42" s="441"/>
      <c r="Q42" s="105">
        <f>IFERROR(VLOOKUP([1]Calcs!C7, '[1]Arrays-Banks'!$C$4:$AB$15, 25, FALSE), "")</f>
        <v>1</v>
      </c>
      <c r="R42" s="443" t="str">
        <f>IFERROR(VLOOKUP(VLOOKUP([1]Calcs!C7, '[1]Arrays-Banks'!$C$4:$AC$15, 24, FALSE),Equipment!$A$5:$U$26, 2, FALSE), "")</f>
        <v>SmartSolar MPPT 450/100 Tr</v>
      </c>
      <c r="S42" s="444"/>
      <c r="T42" s="444"/>
      <c r="U42" s="444"/>
      <c r="V42" s="446"/>
      <c r="W42" s="446"/>
      <c r="X42" s="441"/>
      <c r="Y42" s="441"/>
      <c r="Z42" s="441"/>
    </row>
    <row r="43" spans="1:31" x14ac:dyDescent="0.25">
      <c r="A43" s="438" t="s">
        <v>135</v>
      </c>
      <c r="B43" s="436" t="s">
        <v>3521</v>
      </c>
      <c r="L43" s="441"/>
      <c r="M43" s="445" t="s">
        <v>3016</v>
      </c>
      <c r="N43" s="442">
        <f>IFERROR(VLOOKUP(R43,Equipment!B6:T30,14,FALSE), "")</f>
        <v>7500</v>
      </c>
      <c r="O43" s="441" t="s">
        <v>3520</v>
      </c>
      <c r="P43" s="441"/>
      <c r="Q43" s="105">
        <f>IFERROR(VLOOKUP('[1]Calcs.2'!C5, '[1]Arrays-Banks'!$C$4:$AB$15, 25, FALSE), "")</f>
        <v>1</v>
      </c>
      <c r="R43" s="443" t="str">
        <f>IFERROR(VLOOKUP(VLOOKUP('[1]Calcs.2'!C5, '[1]Arrays-Banks'!$C$4:$AC$15, 24, FALSE),Equipment!$A$5:$U$26, 2, FALSE), "")</f>
        <v>Fronius Primo 5KW Inverter</v>
      </c>
      <c r="S43" s="444"/>
      <c r="T43" s="444"/>
      <c r="U43" s="444"/>
      <c r="V43" s="446"/>
      <c r="W43" s="446"/>
      <c r="X43" s="441"/>
      <c r="Y43" s="441"/>
      <c r="Z43" s="441"/>
    </row>
    <row r="44" spans="1:31" x14ac:dyDescent="0.25">
      <c r="A44" s="440" t="s">
        <v>3466</v>
      </c>
      <c r="B44" s="436" t="s">
        <v>3522</v>
      </c>
      <c r="L44" s="441"/>
      <c r="M44" s="445"/>
      <c r="N44" s="442">
        <f>E16</f>
        <v>14.4</v>
      </c>
      <c r="O44" s="441" t="s">
        <v>3523</v>
      </c>
      <c r="P44" s="441"/>
      <c r="Q44" s="105">
        <f>VLOOKUP(E$16, '[1]Arrays-Banks'!C20:L36, 10, FALSE)</f>
        <v>12</v>
      </c>
      <c r="R44" s="443" t="str">
        <f>VLOOKUP(VLOOKUP(E$16, '[1]Arrays-Banks'!C20:K36, 2, FALSE),Equipment!A50:S65, 2, FALSE)</f>
        <v>Victron AGM Supercycle 100Ah</v>
      </c>
      <c r="S44" s="444"/>
      <c r="T44" s="444"/>
      <c r="U44" s="444"/>
      <c r="V44" s="444"/>
      <c r="W44" s="444"/>
      <c r="X44" s="447"/>
      <c r="Y44" s="441"/>
      <c r="Z44" s="441"/>
    </row>
    <row r="45" spans="1:31" x14ac:dyDescent="0.25">
      <c r="A45" s="438" t="s">
        <v>3469</v>
      </c>
      <c r="B45" s="436" t="s">
        <v>3524</v>
      </c>
      <c r="L45" s="441"/>
      <c r="M45" s="445" t="s">
        <v>3069</v>
      </c>
      <c r="N45" s="448">
        <f>E7</f>
        <v>4</v>
      </c>
      <c r="O45" s="441" t="s">
        <v>3525</v>
      </c>
      <c r="P45" s="441"/>
      <c r="Q45" s="105">
        <f>VLOOKUP([1]Calcs!C7, '[1]Arrays-Banks'!$C$4:$AB$15, 6, FALSE)</f>
        <v>8</v>
      </c>
      <c r="R45" s="443" t="str">
        <f>VLOOKUP(VLOOKUP([1]Calcs!C7, '[1]Arrays-Banks'!$C$4:$AC$15, 2, FALSE),Equipment!A68:T77, 2, FALSE)&amp; " Solar Panels"</f>
        <v>Trina 500W Solar Panels</v>
      </c>
      <c r="S45" s="444"/>
      <c r="T45" s="441"/>
      <c r="U45" s="441"/>
      <c r="V45" s="441"/>
      <c r="W45" s="441"/>
      <c r="X45" s="441"/>
      <c r="Y45" s="441"/>
      <c r="Z45" s="441"/>
    </row>
    <row r="46" spans="1:31" x14ac:dyDescent="0.25">
      <c r="A46" s="440" t="s">
        <v>3473</v>
      </c>
      <c r="B46" s="436" t="s">
        <v>3526</v>
      </c>
      <c r="L46" s="441"/>
      <c r="M46" s="445" t="str">
        <f>IF($AB5=$AB3,"Array2",(IF($AB5=$AB2, "Array2", "")))</f>
        <v>Array2</v>
      </c>
      <c r="N46" s="448">
        <f>IF($AB5=$AB3, F7,(IF($AB5=$AB2, F7, "")))</f>
        <v>3</v>
      </c>
      <c r="O46" s="441" t="str">
        <f>IF($AB5=$AB3,"KW Solar Array",(IF($AB5=$AB2, "KW Solar Array", "")))</f>
        <v>KW Solar Array</v>
      </c>
      <c r="P46" s="441"/>
      <c r="Q46" s="105">
        <f>IFERROR(IF($AB5=$AB3, VLOOKUP('[1]Calcs.2'!C5, '[1]Arrays-Banks'!$C$4:$AB$15, 6, FALSE),(IF($AB5=$AB2, VLOOKUP('[1]Calcs.2'!C5, '[1]Arrays-Banks'!$C$4:$AB$15, 6, FALSE), ""))),"")</f>
        <v>6</v>
      </c>
      <c r="R46" s="443" t="str">
        <f>IFERROR(IF($AB5=$AB3, (VLOOKUP(VLOOKUP('[1]Calcs.2'!C5, '[1]Arrays-Banks'!$C$4:$AC$15, 2, FALSE),Equipment!A69:T78, 2, FALSE)&amp; " Solar Panels"),(IF($AB5=$AB2, (VLOOKUP(VLOOKUP('[1]Calcs.2'!C5, '[1]Arrays-Banks'!$C$4:$AC$15, 2, FALSE),Equipment!A69:T78, 2, FALSE)&amp; " Solar Panels"), ""))),"")</f>
        <v>Trina 500W Solar Panels</v>
      </c>
      <c r="S46" s="444"/>
      <c r="T46" s="444"/>
      <c r="U46" s="444"/>
      <c r="V46" s="444"/>
      <c r="W46" s="446"/>
      <c r="X46" s="441"/>
      <c r="Y46" s="441"/>
      <c r="Z46" s="441"/>
    </row>
    <row r="47" spans="1:31" x14ac:dyDescent="0.25">
      <c r="B47" s="436" t="s">
        <v>3527</v>
      </c>
      <c r="L47" s="441"/>
      <c r="M47" s="441"/>
      <c r="N47" s="449">
        <f>SUM(N45:N46)</f>
        <v>7</v>
      </c>
      <c r="O47" s="445" t="s">
        <v>3528</v>
      </c>
      <c r="P47" s="441"/>
      <c r="Q47" s="450">
        <v>1</v>
      </c>
      <c r="R47" s="451" t="s">
        <v>3529</v>
      </c>
      <c r="S47" s="452"/>
      <c r="T47" s="452"/>
      <c r="U47" s="452"/>
      <c r="V47" s="452"/>
      <c r="W47" s="452"/>
      <c r="X47" s="452"/>
      <c r="Y47" s="441"/>
      <c r="Z47" s="441"/>
    </row>
    <row r="48" spans="1:31" ht="15.75" x14ac:dyDescent="0.25">
      <c r="A48" s="437" t="s">
        <v>3530</v>
      </c>
      <c r="L48" s="441"/>
      <c r="M48" s="441"/>
      <c r="N48" s="441"/>
      <c r="O48" s="441"/>
      <c r="P48" s="441"/>
      <c r="Q48" s="450">
        <v>1</v>
      </c>
      <c r="R48" s="451" t="s">
        <v>3531</v>
      </c>
      <c r="S48" s="452"/>
      <c r="T48" s="452"/>
      <c r="U48" s="452"/>
      <c r="V48" s="452"/>
      <c r="W48" s="452"/>
      <c r="X48" s="452"/>
      <c r="Y48" s="441"/>
      <c r="Z48" s="441"/>
    </row>
    <row r="49" spans="1:26" x14ac:dyDescent="0.25">
      <c r="A49" s="436" t="s">
        <v>3532</v>
      </c>
      <c r="L49" s="441"/>
      <c r="M49" s="441"/>
      <c r="N49" s="441"/>
      <c r="O49" s="441"/>
      <c r="P49" s="441"/>
      <c r="Q49" s="450">
        <v>1</v>
      </c>
      <c r="R49" s="451" t="s">
        <v>3533</v>
      </c>
      <c r="S49" s="452"/>
      <c r="T49" s="452"/>
      <c r="U49" s="452"/>
      <c r="V49" s="452"/>
      <c r="W49" s="452"/>
      <c r="X49" s="452"/>
      <c r="Y49" s="441"/>
      <c r="Z49" s="441"/>
    </row>
    <row r="50" spans="1:26" x14ac:dyDescent="0.25">
      <c r="A50" s="436" t="s">
        <v>3534</v>
      </c>
      <c r="L50" s="441"/>
      <c r="M50" s="441"/>
      <c r="N50" s="441"/>
      <c r="O50" s="441"/>
      <c r="P50" s="441"/>
      <c r="Q50" s="450">
        <v>1</v>
      </c>
      <c r="R50" s="451" t="s">
        <v>3535</v>
      </c>
      <c r="S50" s="452"/>
      <c r="T50" s="452"/>
      <c r="U50" s="452"/>
      <c r="V50" s="452"/>
      <c r="W50" s="452"/>
      <c r="X50" s="452"/>
      <c r="Y50" s="441"/>
      <c r="Z50" s="441"/>
    </row>
    <row r="51" spans="1:26" x14ac:dyDescent="0.25">
      <c r="L51" s="441"/>
      <c r="M51" s="441"/>
      <c r="N51" s="441"/>
      <c r="O51" s="441"/>
      <c r="P51" s="441"/>
      <c r="Q51" s="450">
        <v>1</v>
      </c>
      <c r="R51" s="453" t="s">
        <v>3536</v>
      </c>
      <c r="S51" s="453"/>
      <c r="T51" s="453"/>
      <c r="U51" s="453"/>
      <c r="V51" s="453"/>
      <c r="W51" s="453"/>
      <c r="X51" s="453"/>
      <c r="Y51" s="441"/>
      <c r="Z51" s="441"/>
    </row>
    <row r="52" spans="1:26" ht="15.75" x14ac:dyDescent="0.25">
      <c r="A52" s="436"/>
      <c r="D52" s="454" t="s">
        <v>3537</v>
      </c>
      <c r="L52" s="441"/>
      <c r="M52" s="441"/>
      <c r="N52" s="441"/>
      <c r="O52" s="441"/>
      <c r="P52" s="441"/>
      <c r="Q52" s="450">
        <v>1</v>
      </c>
      <c r="R52" s="453" t="s">
        <v>3538</v>
      </c>
      <c r="S52" s="441"/>
      <c r="T52" s="441"/>
      <c r="U52" s="441"/>
      <c r="V52" s="441"/>
      <c r="W52" s="441"/>
      <c r="X52" s="441"/>
      <c r="Y52" s="441"/>
      <c r="Z52" s="441"/>
    </row>
    <row r="53" spans="1:26" x14ac:dyDescent="0.25">
      <c r="A53" s="436"/>
      <c r="D53" s="455" t="s">
        <v>3049</v>
      </c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</row>
    <row r="54" spans="1:26" x14ac:dyDescent="0.25">
      <c r="A54" s="339" t="s">
        <v>3539</v>
      </c>
      <c r="D54" s="339" t="s">
        <v>3540</v>
      </c>
    </row>
    <row r="55" spans="1:26" x14ac:dyDescent="0.25">
      <c r="D55" s="456" t="s">
        <v>3055</v>
      </c>
    </row>
    <row r="56" spans="1:26" x14ac:dyDescent="0.25">
      <c r="D56" s="339" t="s">
        <v>3541</v>
      </c>
    </row>
  </sheetData>
  <sheetProtection selectLockedCells="1"/>
  <dataConsolidate/>
  <mergeCells count="5">
    <mergeCell ref="D1:F2"/>
    <mergeCell ref="C21:H22"/>
    <mergeCell ref="X34:X35"/>
    <mergeCell ref="Y34:Y35"/>
    <mergeCell ref="P39:U40"/>
  </mergeCells>
  <conditionalFormatting sqref="I10">
    <cfRule type="expression" dxfId="6" priority="1">
      <formula>($AA$26=TRUE)</formula>
    </cfRule>
  </conditionalFormatting>
  <conditionalFormatting sqref="I11">
    <cfRule type="expression" dxfId="5" priority="2">
      <formula>($AA$27=TRUE)</formula>
    </cfRule>
  </conditionalFormatting>
  <conditionalFormatting sqref="AA29">
    <cfRule type="expression" dxfId="4" priority="3">
      <formula>($E$30="Frequent")</formula>
    </cfRule>
    <cfRule type="expression" dxfId="3" priority="4">
      <formula>($E$30="Occasional")</formula>
    </cfRule>
    <cfRule type="expression" dxfId="2" priority="5">
      <formula>($E$30="Frequent")</formula>
    </cfRule>
    <cfRule type="expression" dxfId="1" priority="6">
      <formula>($E$27&lt;$E$25)</formula>
    </cfRule>
    <cfRule type="expression" dxfId="0" priority="7">
      <formula>($E$30="Occasional")</formula>
    </cfRule>
  </conditionalFormatting>
  <dataValidations count="2">
    <dataValidation type="list" allowBlank="1" showInputMessage="1" showErrorMessage="1" sqref="E10" xr:uid="{AAA5E43B-40F3-4E8C-B8F9-35CDCA0F75B1}">
      <formula1>UserProfiles</formula1>
    </dataValidation>
    <dataValidation type="list" allowBlank="1" showInputMessage="1" showErrorMessage="1" sqref="E5:E6" xr:uid="{E5DF756D-0609-4DB8-BD21-C9D47DBE4D52}">
      <formula1>Locations</formula1>
    </dataValidation>
  </dataValidations>
  <hyperlinks>
    <hyperlink ref="D55" r:id="rId1" xr:uid="{F182340F-EBC0-4BED-9B78-CE682CD24143}"/>
    <hyperlink ref="D53" r:id="rId2" xr:uid="{D111E0B6-6345-4D9D-ABED-54F0EFB5AED0}"/>
  </hyperlinks>
  <pageMargins left="0.7" right="0.7" top="0.75" bottom="0.75" header="0.3" footer="0.3"/>
  <pageSetup paperSize="9" scale="59" fitToHeight="0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6" name="Drop Down 1">
              <controlPr defaultSize="0" autoLine="0" autoPict="0" altText="People">
                <anchor moveWithCells="1">
                  <from>
                    <xdr:col>4</xdr:col>
                    <xdr:colOff>0</xdr:colOff>
                    <xdr:row>8</xdr:row>
                    <xdr:rowOff>171450</xdr:rowOff>
                  </from>
                  <to>
                    <xdr:col>5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7" name="Drop Down 2">
              <controlPr defaultSize="0" autoLine="0" autoPict="0">
                <anchor moveWithCells="1">
                  <from>
                    <xdr:col>3</xdr:col>
                    <xdr:colOff>1057275</xdr:colOff>
                    <xdr:row>5</xdr:row>
                    <xdr:rowOff>161925</xdr:rowOff>
                  </from>
                  <to>
                    <xdr:col>5</xdr:col>
                    <xdr:colOff>200025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8" name="Drop Down 3">
              <controlPr defaultSize="0" autoLine="0" autoPict="0">
                <anchor moveWithCells="1">
                  <from>
                    <xdr:col>4</xdr:col>
                    <xdr:colOff>800100</xdr:colOff>
                    <xdr:row>5</xdr:row>
                    <xdr:rowOff>171450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" name="Drop Down 4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0</xdr:rowOff>
                  </from>
                  <to>
                    <xdr:col>5</xdr:col>
                    <xdr:colOff>200025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10" name="Spinner 5">
              <controlPr defaultSize="0" autoPict="0">
                <anchor moveWithCells="1" sizeWithCells="1">
                  <from>
                    <xdr:col>5</xdr:col>
                    <xdr:colOff>0</xdr:colOff>
                    <xdr:row>11</xdr:row>
                    <xdr:rowOff>0</xdr:rowOff>
                  </from>
                  <to>
                    <xdr:col>5</xdr:col>
                    <xdr:colOff>276225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1" name="Drop Down 6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171450</xdr:rowOff>
                  </from>
                  <to>
                    <xdr:col>5</xdr:col>
                    <xdr:colOff>200025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2" name="Spinner 7">
              <controlPr defaultSize="0" autoPict="0">
                <anchor moveWithCells="1" sizeWithCells="1">
                  <from>
                    <xdr:col>5</xdr:col>
                    <xdr:colOff>9525</xdr:colOff>
                    <xdr:row>14</xdr:row>
                    <xdr:rowOff>0</xdr:rowOff>
                  </from>
                  <to>
                    <xdr:col>5</xdr:col>
                    <xdr:colOff>276225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3" name="Drop Down 8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200025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4" name="Spinner 9">
              <controlPr defaultSize="0" autoPict="0">
                <anchor moveWithCells="1" sizeWithCells="1">
                  <from>
                    <xdr:col>3</xdr:col>
                    <xdr:colOff>809625</xdr:colOff>
                    <xdr:row>6</xdr:row>
                    <xdr:rowOff>200025</xdr:rowOff>
                  </from>
                  <to>
                    <xdr:col>3</xdr:col>
                    <xdr:colOff>1057275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5" name="Spinner 10">
              <controlPr defaultSize="0" autoPict="0">
                <anchor moveWithCells="1" sizeWithCells="1">
                  <from>
                    <xdr:col>6</xdr:col>
                    <xdr:colOff>9525</xdr:colOff>
                    <xdr:row>7</xdr:row>
                    <xdr:rowOff>0</xdr:rowOff>
                  </from>
                  <to>
                    <xdr:col>6</xdr:col>
                    <xdr:colOff>266700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6" name="Check Box 11">
              <controlPr defaultSize="0" autoFill="0" autoLine="0" autoPict="0">
                <anchor moveWithCells="1">
                  <from>
                    <xdr:col>6</xdr:col>
                    <xdr:colOff>28575</xdr:colOff>
                    <xdr:row>8</xdr:row>
                    <xdr:rowOff>180975</xdr:rowOff>
                  </from>
                  <to>
                    <xdr:col>6</xdr:col>
                    <xdr:colOff>247650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7" name="Check Box 12">
              <controlPr defaultSize="0" autoFill="0" autoLine="0" autoPict="0">
                <anchor moveWithCells="1">
                  <from>
                    <xdr:col>6</xdr:col>
                    <xdr:colOff>28575</xdr:colOff>
                    <xdr:row>9</xdr:row>
                    <xdr:rowOff>180975</xdr:rowOff>
                  </from>
                  <to>
                    <xdr:col>6</xdr:col>
                    <xdr:colOff>247650</xdr:colOff>
                    <xdr:row>11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20</vt:i4>
      </vt:variant>
    </vt:vector>
  </HeadingPairs>
  <TitlesOfParts>
    <vt:vector size="36" baseType="lpstr">
      <vt:lpstr>Packages</vt:lpstr>
      <vt:lpstr>OffGridPackages</vt:lpstr>
      <vt:lpstr>Sheet1</vt:lpstr>
      <vt:lpstr>Sheet2</vt:lpstr>
      <vt:lpstr>ArraysBanks</vt:lpstr>
      <vt:lpstr>Calcs.2</vt:lpstr>
      <vt:lpstr>Calcs</vt:lpstr>
      <vt:lpstr>Load-calcs</vt:lpstr>
      <vt:lpstr>Calculator</vt:lpstr>
      <vt:lpstr>Equipment</vt:lpstr>
      <vt:lpstr>Store-Products</vt:lpstr>
      <vt:lpstr>SolarRegions</vt:lpstr>
      <vt:lpstr>Upload</vt:lpstr>
      <vt:lpstr>Solar-tables</vt:lpstr>
      <vt:lpstr>Loads</vt:lpstr>
      <vt:lpstr>.process</vt:lpstr>
      <vt:lpstr>Array.Type</vt:lpstr>
      <vt:lpstr>Batteries</vt:lpstr>
      <vt:lpstr>Battery_Banks</vt:lpstr>
      <vt:lpstr>Battery_Modules</vt:lpstr>
      <vt:lpstr>Brands</vt:lpstr>
      <vt:lpstr>Electrical</vt:lpstr>
      <vt:lpstr>Inverter_Chargers</vt:lpstr>
      <vt:lpstr>Locations</vt:lpstr>
      <vt:lpstr>Monitoring</vt:lpstr>
      <vt:lpstr>Offgrid.Equip</vt:lpstr>
      <vt:lpstr>Calculator!Print_Area</vt:lpstr>
      <vt:lpstr>Loads!Print_Area</vt:lpstr>
      <vt:lpstr>Solar.Panels</vt:lpstr>
      <vt:lpstr>Solar_Arrays</vt:lpstr>
      <vt:lpstr>Solar_Controllers</vt:lpstr>
      <vt:lpstr>Solar_Panels</vt:lpstr>
      <vt:lpstr>StoreCategory</vt:lpstr>
      <vt:lpstr>Subscriptions</vt:lpstr>
      <vt:lpstr>Systems</vt:lpstr>
      <vt:lpstr>UserProfiles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Craig1</dc:creator>
  <cp:lastModifiedBy>Support</cp:lastModifiedBy>
  <dcterms:created xsi:type="dcterms:W3CDTF">2015-06-05T18:17:20Z</dcterms:created>
  <dcterms:modified xsi:type="dcterms:W3CDTF">2024-03-27T23:55:01Z</dcterms:modified>
</cp:coreProperties>
</file>